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500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工业" sheetId="37" r:id="rId19"/>
    <sheet name="比较案例" sheetId="78" r:id="rId20"/>
    <sheet name="收益法" sheetId="15" r:id="rId21"/>
    <sheet name="成本法" sheetId="68" r:id="rId22"/>
    <sheet name="基准地价修正" sheetId="43" r:id="rId23"/>
    <sheet name="成本法 (元)" sheetId="69" state="hidden" r:id="rId24"/>
    <sheet name="假设开发法" sheetId="12"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18"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18">'比较法-工业'!$A$1:$K$48,'比较法-工业'!$A$51:$M$113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2">基准地价修正!$A$1:$J$41,基准地价修正!$A$45:$H$88,基准地价修正!$R$1:$V$16</definedName>
    <definedName name="_xlnm.Print_Area" localSheetId="24">假设开发法!$A$1:$K$32</definedName>
    <definedName name="_xlnm.Print_Area" localSheetId="17">结果表!$A$1:$I$127</definedName>
    <definedName name="_xlnm.Print_Area" localSheetId="20">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11">'数据-基础表'!$A$1:$I$13</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4" i="15" l="1"/>
  <c r="H43" i="15"/>
  <c r="G12" i="15"/>
  <c r="D29" i="43" l="1"/>
  <c r="C33" i="37"/>
  <c r="G33" i="37" s="1"/>
  <c r="E53" i="37"/>
  <c r="F53" i="37"/>
  <c r="G53" i="37" s="1"/>
  <c r="H53" i="37" s="1"/>
  <c r="I53" i="37" s="1"/>
  <c r="J53" i="37" s="1"/>
  <c r="K53" i="37" s="1"/>
  <c r="L53" i="37" s="1"/>
  <c r="M53" i="37" s="1"/>
  <c r="D53" i="37"/>
  <c r="I33" i="37"/>
  <c r="E33" i="37"/>
  <c r="C30" i="37"/>
  <c r="G82" i="43"/>
  <c r="G83" i="43"/>
  <c r="G84" i="43"/>
  <c r="G85" i="43"/>
  <c r="G86" i="43"/>
  <c r="G87" i="43"/>
  <c r="G88" i="43"/>
  <c r="G81" i="43"/>
  <c r="D14" i="9"/>
  <c r="Y6" i="1"/>
  <c r="N6" i="1"/>
  <c r="N18" i="1"/>
  <c r="F19" i="6"/>
  <c r="D3" i="4" l="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B66" i="72" s="1"/>
  <c r="A22" i="51"/>
  <c r="A21" i="51"/>
  <c r="A20" i="51"/>
  <c r="A14" i="62"/>
  <c r="B60" i="72" s="1"/>
  <c r="A13" i="62"/>
  <c r="B59" i="72" s="1"/>
  <c r="A19" i="62"/>
  <c r="A12" i="62"/>
  <c r="B58" i="72" s="1"/>
  <c r="A120" i="9"/>
  <c r="H2" i="52"/>
  <c r="A1" i="52"/>
  <c r="A3" i="53"/>
  <c r="Q23" i="71"/>
  <c r="P23" i="71"/>
  <c r="O23" i="71"/>
  <c r="Y21" i="71" s="1"/>
  <c r="Z21" i="71" s="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16" i="72"/>
  <c r="B65" i="72"/>
  <c r="B10" i="72"/>
  <c r="C53" i="10"/>
  <c r="B51" i="10"/>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S65" i="71" s="1"/>
  <c r="F64" i="71"/>
  <c r="F63" i="71" s="1"/>
  <c r="D62" i="71"/>
  <c r="Q61" i="71"/>
  <c r="P61" i="71"/>
  <c r="O61" i="71"/>
  <c r="N61" i="71"/>
  <c r="Q60" i="71"/>
  <c r="P60" i="71"/>
  <c r="O60" i="71"/>
  <c r="N60" i="71"/>
  <c r="Q59" i="71"/>
  <c r="P59" i="71"/>
  <c r="O59" i="71"/>
  <c r="N59" i="71"/>
  <c r="Q58" i="71"/>
  <c r="F59" i="7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O54" i="71"/>
  <c r="C55" i="71"/>
  <c r="N54" i="71"/>
  <c r="B55" i="71"/>
  <c r="B56" i="71" s="1"/>
  <c r="B57" i="71" s="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B35" i="71" s="1"/>
  <c r="B36" i="71" s="1"/>
  <c r="B37" i="71" s="1"/>
  <c r="S37" i="71" s="1"/>
  <c r="D34" i="71"/>
  <c r="Q33" i="71"/>
  <c r="AB33" i="71" s="1"/>
  <c r="P33" i="71"/>
  <c r="AA32" i="71" s="1"/>
  <c r="O33" i="71"/>
  <c r="Y33" i="71"/>
  <c r="Z33" i="71" s="1"/>
  <c r="N33" i="71"/>
  <c r="Q32" i="71"/>
  <c r="AB32" i="71"/>
  <c r="P32" i="71"/>
  <c r="O32" i="71"/>
  <c r="Y32" i="71" s="1"/>
  <c r="Z32" i="71" s="1"/>
  <c r="N32" i="71"/>
  <c r="Q31" i="71"/>
  <c r="AB31" i="71" s="1"/>
  <c r="P31" i="71"/>
  <c r="AA31" i="71" s="1"/>
  <c r="O31" i="71"/>
  <c r="Y31" i="71"/>
  <c r="Z31" i="71" s="1"/>
  <c r="N31" i="71"/>
  <c r="Q30" i="71"/>
  <c r="F31" i="71" s="1"/>
  <c r="F32" i="71" s="1"/>
  <c r="F33" i="71" s="1"/>
  <c r="V33" i="71" s="1"/>
  <c r="P30" i="71"/>
  <c r="O30" i="71"/>
  <c r="N30" i="71"/>
  <c r="D30" i="71"/>
  <c r="Q29" i="71"/>
  <c r="AB29" i="71" s="1"/>
  <c r="P29" i="71"/>
  <c r="O29" i="71"/>
  <c r="Y29" i="71"/>
  <c r="Z29" i="71" s="1"/>
  <c r="N29" i="71"/>
  <c r="X28" i="71" s="1"/>
  <c r="Q28" i="71"/>
  <c r="AB28" i="71"/>
  <c r="P28" i="71"/>
  <c r="O28" i="71"/>
  <c r="Y28" i="71" s="1"/>
  <c r="Z28" i="71" s="1"/>
  <c r="N28" i="71"/>
  <c r="Q27" i="71"/>
  <c r="AB27" i="71" s="1"/>
  <c r="P27" i="71"/>
  <c r="O27" i="71"/>
  <c r="Y27" i="71"/>
  <c r="Z27" i="71" s="1"/>
  <c r="N27" i="71"/>
  <c r="X27" i="71" s="1"/>
  <c r="Q26" i="71"/>
  <c r="F27" i="71" s="1"/>
  <c r="F28" i="71" s="1"/>
  <c r="F29" i="71" s="1"/>
  <c r="V29" i="71" s="1"/>
  <c r="P26" i="71"/>
  <c r="E27" i="71" s="1"/>
  <c r="E28" i="71" s="1"/>
  <c r="E29" i="71" s="1"/>
  <c r="U29" i="71" s="1"/>
  <c r="O26" i="71"/>
  <c r="N26" i="71"/>
  <c r="X22" i="71" s="1"/>
  <c r="D26" i="71"/>
  <c r="O25" i="71"/>
  <c r="C25" i="71" s="1"/>
  <c r="N25" i="71"/>
  <c r="B27" i="71"/>
  <c r="B28" i="71" s="1"/>
  <c r="B29" i="71" s="1"/>
  <c r="S29" i="71" s="1"/>
  <c r="X26" i="71"/>
  <c r="B31" i="71"/>
  <c r="B32" i="71" s="1"/>
  <c r="B33" i="71" s="1"/>
  <c r="S33" i="71" s="1"/>
  <c r="X30" i="71"/>
  <c r="E35" i="71"/>
  <c r="E36" i="71" s="1"/>
  <c r="E37" i="71" s="1"/>
  <c r="U37" i="71" s="1"/>
  <c r="AA34" i="71"/>
  <c r="E31" i="71"/>
  <c r="E32" i="71" s="1"/>
  <c r="E33" i="71" s="1"/>
  <c r="U33" i="71" s="1"/>
  <c r="AA30" i="71"/>
  <c r="C27" i="71"/>
  <c r="Y26" i="71"/>
  <c r="Z26" i="71" s="1"/>
  <c r="AB26" i="71"/>
  <c r="AA27" i="71"/>
  <c r="AA28" i="71"/>
  <c r="AA29" i="71"/>
  <c r="C31" i="71"/>
  <c r="C32" i="71"/>
  <c r="C33" i="71" s="1"/>
  <c r="X31" i="71"/>
  <c r="X32" i="71"/>
  <c r="X33" i="71"/>
  <c r="C35" i="71"/>
  <c r="D35" i="71" s="1"/>
  <c r="Y34" i="71"/>
  <c r="Z34" i="71"/>
  <c r="AB34" i="71"/>
  <c r="X35" i="71"/>
  <c r="AA35" i="71"/>
  <c r="Y22" i="71"/>
  <c r="Z22" i="71" s="1"/>
  <c r="Y23" i="71"/>
  <c r="Z23" i="71" s="1"/>
  <c r="Y24" i="71"/>
  <c r="Z24" i="71" s="1"/>
  <c r="Y25" i="71"/>
  <c r="Z25" i="71" s="1"/>
  <c r="B25" i="71"/>
  <c r="B24" i="71" s="1"/>
  <c r="B23" i="71" s="1"/>
  <c r="X23" i="71"/>
  <c r="X25" i="71"/>
  <c r="C28" i="71"/>
  <c r="D27" i="71"/>
  <c r="D31" i="71"/>
  <c r="C36" i="71"/>
  <c r="C37" i="71" s="1"/>
  <c r="C40" i="71"/>
  <c r="C41" i="71" s="1"/>
  <c r="D39" i="71"/>
  <c r="C44" i="71"/>
  <c r="D44" i="71" s="1"/>
  <c r="D43" i="71"/>
  <c r="C48" i="71"/>
  <c r="D47" i="71"/>
  <c r="P25" i="71"/>
  <c r="E52" i="71"/>
  <c r="E53" i="71" s="1"/>
  <c r="U53" i="71" s="1"/>
  <c r="E56" i="71"/>
  <c r="E57" i="71"/>
  <c r="U57" i="71" s="1"/>
  <c r="U65" i="71"/>
  <c r="E64" i="71"/>
  <c r="Q25" i="71"/>
  <c r="AB22" i="71" s="1"/>
  <c r="C56" i="71"/>
  <c r="D55" i="71"/>
  <c r="Q64" i="71"/>
  <c r="T65" i="71"/>
  <c r="O65" i="71"/>
  <c r="D65" i="71"/>
  <c r="C64" i="71"/>
  <c r="Q65" i="71"/>
  <c r="C68" i="71"/>
  <c r="E68" i="71"/>
  <c r="E67" i="71" s="1"/>
  <c r="D69" i="71"/>
  <c r="C72" i="71"/>
  <c r="E72" i="71"/>
  <c r="E71" i="71" s="1"/>
  <c r="D73" i="71"/>
  <c r="C76" i="71"/>
  <c r="E76" i="71"/>
  <c r="E75" i="71" s="1"/>
  <c r="D77" i="71"/>
  <c r="C80" i="71"/>
  <c r="C84" i="71"/>
  <c r="C83" i="71" s="1"/>
  <c r="D83" i="71" s="1"/>
  <c r="F25" i="71"/>
  <c r="F24" i="71" s="1"/>
  <c r="F23" i="71" s="1"/>
  <c r="AB23" i="71"/>
  <c r="AB25" i="71"/>
  <c r="E25" i="71"/>
  <c r="E24" i="71"/>
  <c r="E23" i="71" s="1"/>
  <c r="AA3" i="71"/>
  <c r="AA22" i="71"/>
  <c r="AA23" i="71"/>
  <c r="AA24" i="71"/>
  <c r="AA25" i="71"/>
  <c r="C63" i="71"/>
  <c r="O64" i="71"/>
  <c r="D64" i="71"/>
  <c r="D80" i="71"/>
  <c r="C79" i="71"/>
  <c r="D79" i="71"/>
  <c r="D72" i="71"/>
  <c r="C71" i="71"/>
  <c r="D71" i="71" s="1"/>
  <c r="D84" i="71"/>
  <c r="D76" i="71"/>
  <c r="C75" i="71"/>
  <c r="D75" i="71" s="1"/>
  <c r="D68" i="71"/>
  <c r="C67" i="71"/>
  <c r="D67" i="71"/>
  <c r="C57" i="71"/>
  <c r="D56" i="71"/>
  <c r="P64" i="71"/>
  <c r="E63" i="71"/>
  <c r="P62" i="71" s="1"/>
  <c r="C49" i="71"/>
  <c r="D48" i="71"/>
  <c r="D40" i="71"/>
  <c r="D36" i="71"/>
  <c r="D32" i="71"/>
  <c r="C29" i="71"/>
  <c r="D28" i="71"/>
  <c r="V25" i="71"/>
  <c r="P63" i="71"/>
  <c r="O63" i="71"/>
  <c r="D63" i="71"/>
  <c r="O62" i="71"/>
  <c r="T29" i="71"/>
  <c r="D29" i="71"/>
  <c r="T49" i="71"/>
  <c r="D49"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29" i="39"/>
  <c r="AA29" i="39" s="1"/>
  <c r="Q18" i="36"/>
  <c r="Z18" i="36" s="1"/>
  <c r="D66" i="36"/>
  <c r="E66" i="36" s="1"/>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H18" i="35"/>
  <c r="AB18" i="35" s="1"/>
  <c r="S18" i="35"/>
  <c r="G68" i="35"/>
  <c r="J18" i="35"/>
  <c r="H21" i="37"/>
  <c r="AB21" i="37" s="1"/>
  <c r="F21" i="37"/>
  <c r="AA21" i="37" s="1"/>
  <c r="F84" i="34"/>
  <c r="H21" i="34"/>
  <c r="AB21" i="34" s="1"/>
  <c r="H21" i="33"/>
  <c r="U21" i="33" s="1"/>
  <c r="F21" i="33"/>
  <c r="E83" i="21"/>
  <c r="F83" i="21" s="1"/>
  <c r="G83" i="21" s="1"/>
  <c r="S21" i="21"/>
  <c r="H1" i="69"/>
  <c r="AC25" i="40"/>
  <c r="W25" i="40"/>
  <c r="AB25" i="40"/>
  <c r="U25" i="40"/>
  <c r="AB29" i="39"/>
  <c r="U29" i="39"/>
  <c r="AC29" i="39"/>
  <c r="W29" i="39"/>
  <c r="AC18" i="36"/>
  <c r="W18" i="36"/>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C7"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I15" i="4"/>
  <c r="H15" i="4"/>
  <c r="G15" i="4"/>
  <c r="E15" i="4"/>
  <c r="D15" i="4"/>
  <c r="F7" i="1"/>
  <c r="G7" i="1" s="1"/>
  <c r="L21" i="4"/>
  <c r="A15" i="62" s="1"/>
  <c r="B61" i="72" s="1"/>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G105" i="37" s="1"/>
  <c r="D103"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c r="D73" i="37"/>
  <c r="E73" i="37" s="1"/>
  <c r="D71" i="37"/>
  <c r="H15" i="37"/>
  <c r="AB15" i="37" s="1"/>
  <c r="B68" i="37"/>
  <c r="H14" i="37" s="1"/>
  <c r="B66" i="37"/>
  <c r="B64" i="37"/>
  <c r="D63" i="37"/>
  <c r="E63" i="37"/>
  <c r="M61" i="37"/>
  <c r="L61" i="37"/>
  <c r="K61" i="37"/>
  <c r="J61" i="37"/>
  <c r="I61" i="37"/>
  <c r="H61" i="37"/>
  <c r="G61" i="37"/>
  <c r="F61" i="37"/>
  <c r="E61" i="37"/>
  <c r="D61" i="37"/>
  <c r="C61" i="37"/>
  <c r="F60" i="37"/>
  <c r="G60" i="37" s="1"/>
  <c r="H6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E103" i="37"/>
  <c r="F103" i="37" s="1"/>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s="1"/>
  <c r="S10" i="37"/>
  <c r="AA39"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s="1"/>
  <c r="F33" i="37"/>
  <c r="AA33" i="37" s="1"/>
  <c r="W33"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s="1"/>
  <c r="J28" i="37"/>
  <c r="AC28" i="37" s="1"/>
  <c r="H28" i="37"/>
  <c r="U28" i="37" s="1"/>
  <c r="H38" i="37"/>
  <c r="AB38" i="37" s="1"/>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s="1"/>
  <c r="F27" i="37"/>
  <c r="AA27" i="37" s="1"/>
  <c r="F13" i="39"/>
  <c r="J13" i="39"/>
  <c r="W13" i="39" s="1"/>
  <c r="H13" i="39"/>
  <c r="H14" i="40"/>
  <c r="AB14" i="40"/>
  <c r="J14" i="40"/>
  <c r="W14" i="40"/>
  <c r="F14" i="40"/>
  <c r="AA14" i="40"/>
  <c r="J14" i="37"/>
  <c r="AC14" i="37"/>
  <c r="J27" i="37"/>
  <c r="AC27" i="37" s="1"/>
  <c r="AA13" i="35"/>
  <c r="U31" i="34"/>
  <c r="U46" i="33"/>
  <c r="J36" i="37"/>
  <c r="AC36" i="37" s="1"/>
  <c r="AB11" i="35"/>
  <c r="J10" i="36"/>
  <c r="AC10" i="36"/>
  <c r="AB26" i="33"/>
  <c r="AB30" i="21"/>
  <c r="W31" i="34"/>
  <c r="W13"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7" i="37"/>
  <c r="AA37" i="37" s="1"/>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H9" i="37"/>
  <c r="AB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s="1"/>
  <c r="B16" i="53"/>
  <c r="B33" i="72" s="1"/>
  <c r="C7" i="37"/>
  <c r="C7" i="34"/>
  <c r="C7" i="36"/>
  <c r="W35" i="40"/>
  <c r="A118" i="9"/>
  <c r="A4" i="52"/>
  <c r="B41" i="72" s="1"/>
  <c r="J11" i="39"/>
  <c r="W11" i="39"/>
  <c r="F11" i="39"/>
  <c r="AA11" i="39"/>
  <c r="S11" i="39"/>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5" i="6" s="1"/>
  <c r="BR5" i="3"/>
  <c r="G28" i="6"/>
  <c r="AZ384" i="3"/>
  <c r="AZ388" i="3"/>
  <c r="AZ392" i="3"/>
  <c r="AZ396" i="3"/>
  <c r="AZ394" i="3"/>
  <c r="E8" i="6"/>
  <c r="F27" i="6" s="1"/>
  <c r="G509" i="3"/>
  <c r="BL493" i="3"/>
  <c r="AZ493" i="3" s="1"/>
  <c r="AZ491" i="3"/>
  <c r="AZ376" i="3"/>
  <c r="AZ382" i="3"/>
  <c r="U36" i="40"/>
  <c r="F36" i="43"/>
  <c r="H113" i="43"/>
  <c r="F48" i="43"/>
  <c r="H52" i="43" s="1"/>
  <c r="F70" i="43"/>
  <c r="H73" i="43" s="1"/>
  <c r="M11" i="43"/>
  <c r="D17" i="43"/>
  <c r="F39" i="43"/>
  <c r="I17" i="43"/>
  <c r="F35" i="43"/>
  <c r="J17" i="43"/>
  <c r="F6" i="1"/>
  <c r="U17" i="39"/>
  <c r="S14" i="35"/>
  <c r="U43" i="21"/>
  <c r="U35" i="21"/>
  <c r="AC35" i="21"/>
  <c r="U10" i="21"/>
  <c r="G8" i="1"/>
  <c r="G9" i="1"/>
  <c r="G10" i="1"/>
  <c r="AC11" i="39"/>
  <c r="W37" i="37"/>
  <c r="W44" i="34"/>
  <c r="AC44" i="34"/>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F20" i="36"/>
  <c r="AA20" i="36"/>
  <c r="J33" i="34"/>
  <c r="AC33" i="34"/>
  <c r="H23" i="39"/>
  <c r="U23" i="39"/>
  <c r="K9" i="1"/>
  <c r="M9" i="1" s="1"/>
  <c r="AE9" i="1"/>
  <c r="D93" i="9"/>
  <c r="E12" i="6"/>
  <c r="E57" i="40" s="1"/>
  <c r="K6" i="1"/>
  <c r="M6" i="1" s="1"/>
  <c r="O6" i="1" s="1"/>
  <c r="P6" i="1" s="1"/>
  <c r="G29" i="6"/>
  <c r="AC26" i="33"/>
  <c r="W26" i="33"/>
  <c r="W27" i="34"/>
  <c r="AC27" i="34"/>
  <c r="AC12" i="39"/>
  <c r="W12" i="39"/>
  <c r="AC39" i="40"/>
  <c r="W39" i="40"/>
  <c r="AZ401" i="3"/>
  <c r="AZ412" i="3"/>
  <c r="AZ417" i="3"/>
  <c r="AZ428" i="3"/>
  <c r="AZ433" i="3"/>
  <c r="AZ465" i="3"/>
  <c r="W12" i="33"/>
  <c r="AC12" i="33"/>
  <c r="AZ550" i="3"/>
  <c r="AZ408" i="3"/>
  <c r="AZ437" i="3"/>
  <c r="AZ441" i="3"/>
  <c r="AZ457" i="3"/>
  <c r="AZ473" i="3"/>
  <c r="AZ490" i="3"/>
  <c r="AA39" i="34"/>
  <c r="F28" i="6"/>
  <c r="BL14" i="3"/>
  <c r="AZ266" i="3"/>
  <c r="U30" i="33"/>
  <c r="AC13" i="34"/>
  <c r="AA47" i="34"/>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c r="AZ80" i="3"/>
  <c r="AZ84" i="3"/>
  <c r="AZ88" i="3"/>
  <c r="AZ107" i="3"/>
  <c r="AZ111" i="3"/>
  <c r="K12" i="1"/>
  <c r="M12" i="1" s="1"/>
  <c r="S13" i="1"/>
  <c r="AR13" i="1" s="1"/>
  <c r="R13" i="1"/>
  <c r="S11" i="1"/>
  <c r="AQ11" i="1" s="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29" i="37"/>
  <c r="AB31" i="37"/>
  <c r="AA38" i="37"/>
  <c r="U32" i="37"/>
  <c r="W38" i="37"/>
  <c r="W39" i="37"/>
  <c r="S30" i="37"/>
  <c r="S37" i="37"/>
  <c r="F75" i="37"/>
  <c r="F19" i="37"/>
  <c r="S19" i="37" s="1"/>
  <c r="F23" i="37"/>
  <c r="S23" i="37" s="1"/>
  <c r="AC13" i="37"/>
  <c r="U9" i="37"/>
  <c r="AA13" i="37"/>
  <c r="H10" i="37"/>
  <c r="U10" i="37" s="1"/>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BA13" i="3"/>
  <c r="E10" i="6"/>
  <c r="BA5" i="3"/>
  <c r="E11" i="6"/>
  <c r="E61" i="39" s="1"/>
  <c r="BL17" i="3"/>
  <c r="AZ17" i="3" s="1"/>
  <c r="BL13" i="3"/>
  <c r="G30" i="6"/>
  <c r="G31" i="6" s="1"/>
  <c r="J56" i="9"/>
  <c r="J57" i="9" s="1"/>
  <c r="J59" i="9" s="1"/>
  <c r="J61" i="9" s="1"/>
  <c r="A24" i="51"/>
  <c r="B18" i="72" s="1"/>
  <c r="U29" i="34"/>
  <c r="E14" i="6"/>
  <c r="E64" i="39" s="1"/>
  <c r="E5" i="6"/>
  <c r="D9" i="11" s="1"/>
  <c r="E32" i="6"/>
  <c r="L19" i="6"/>
  <c r="G1" i="68"/>
  <c r="K1" i="12"/>
  <c r="E28" i="6"/>
  <c r="AQ12" i="1"/>
  <c r="T10" i="1"/>
  <c r="E19" i="69"/>
  <c r="E19" i="68"/>
  <c r="E19" i="11"/>
  <c r="G22" i="69"/>
  <c r="G26" i="12"/>
  <c r="C100" i="43"/>
  <c r="E11" i="43"/>
  <c r="E10" i="43"/>
  <c r="E9" i="43"/>
  <c r="E8" i="43"/>
  <c r="C7" i="43" s="1"/>
  <c r="E81" i="43"/>
  <c r="B79" i="43" s="1"/>
  <c r="C24" i="43" s="1"/>
  <c r="E48" i="43"/>
  <c r="B46" i="43"/>
  <c r="E70" i="43"/>
  <c r="B68" i="43"/>
  <c r="F100" i="43"/>
  <c r="H17" i="43"/>
  <c r="G6" i="1"/>
  <c r="H53" i="43"/>
  <c r="H71" i="43"/>
  <c r="C17" i="43"/>
  <c r="F33" i="43"/>
  <c r="K17" i="43"/>
  <c r="F34" i="43"/>
  <c r="N6" i="43"/>
  <c r="N3" i="43"/>
  <c r="F38" i="43"/>
  <c r="F37" i="43"/>
  <c r="M9" i="43"/>
  <c r="C6" i="43" s="1"/>
  <c r="N5" i="43"/>
  <c r="M12" i="43"/>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E62" i="39"/>
  <c r="E51" i="40"/>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S27" i="37"/>
  <c r="U36" i="37"/>
  <c r="S40" i="37"/>
  <c r="U38" i="37"/>
  <c r="AC34" i="37"/>
  <c r="AA11"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K101" i="21"/>
  <c r="L101" i="21" s="1"/>
  <c r="M101" i="21"/>
  <c r="F33" i="21"/>
  <c r="J33" i="21"/>
  <c r="H33" i="21"/>
  <c r="AB33" i="21"/>
  <c r="F37" i="21"/>
  <c r="AA37" i="21"/>
  <c r="AA26" i="21"/>
  <c r="AB14" i="21"/>
  <c r="AB46" i="21"/>
  <c r="U40" i="21"/>
  <c r="U31" i="21"/>
  <c r="AC15" i="21"/>
  <c r="U13" i="21"/>
  <c r="AB13" i="21"/>
  <c r="W8" i="21"/>
  <c r="S35" i="21"/>
  <c r="AB37" i="21"/>
  <c r="J37" i="21"/>
  <c r="W37" i="21"/>
  <c r="H15" i="21"/>
  <c r="U15" i="2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D22" i="15"/>
  <c r="E4" i="4"/>
  <c r="B5" i="62" s="1"/>
  <c r="B73" i="72" s="1"/>
  <c r="C4" i="4"/>
  <c r="AZ13" i="3"/>
  <c r="F30" i="11"/>
  <c r="C48" i="11" s="1"/>
  <c r="F30" i="69"/>
  <c r="F48" i="69" s="1"/>
  <c r="D9" i="69"/>
  <c r="C9" i="69" s="1"/>
  <c r="D19" i="12"/>
  <c r="AR11" i="1"/>
  <c r="D9" i="68"/>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J19" i="37"/>
  <c r="AC19" i="37" s="1"/>
  <c r="G75" i="37"/>
  <c r="AA19" i="37"/>
  <c r="J23" i="37"/>
  <c r="AC23" i="37" s="1"/>
  <c r="J10" i="37"/>
  <c r="W10" i="37" s="1"/>
  <c r="I60" i="37"/>
  <c r="G63" i="37"/>
  <c r="H11" i="37"/>
  <c r="AB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K14" i="1"/>
  <c r="M14" i="1" s="1"/>
  <c r="O14" i="1" s="1"/>
  <c r="P14" i="1" s="1"/>
  <c r="BL5" i="3"/>
  <c r="AR8" i="1"/>
  <c r="T8" i="1"/>
  <c r="R22" i="31"/>
  <c r="L27" i="6"/>
  <c r="AP7" i="1"/>
  <c r="H16" i="1"/>
  <c r="AB45" i="21"/>
  <c r="AC33" i="21"/>
  <c r="W33" i="21"/>
  <c r="S33" i="21"/>
  <c r="AA33" i="21"/>
  <c r="W32" i="21"/>
  <c r="AC32" i="21"/>
  <c r="AB9" i="21"/>
  <c r="U9" i="21"/>
  <c r="AA32" i="21"/>
  <c r="S32" i="21"/>
  <c r="W9" i="21"/>
  <c r="AC9" i="21"/>
  <c r="AB32" i="21"/>
  <c r="U32" i="21"/>
  <c r="AA10" i="21"/>
  <c r="S10" i="21"/>
  <c r="C36" i="69"/>
  <c r="E6" i="70"/>
  <c r="U32" i="39"/>
  <c r="AB32" i="39"/>
  <c r="AC32" i="39"/>
  <c r="W32" i="39"/>
  <c r="W23" i="37"/>
  <c r="AB11" i="37"/>
  <c r="U11" i="37"/>
  <c r="H63" i="37"/>
  <c r="I63" i="37"/>
  <c r="J63" i="37" s="1"/>
  <c r="K63" i="37" s="1"/>
  <c r="L63" i="37" s="1"/>
  <c r="M63" i="37" s="1"/>
  <c r="J11"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R7" i="1"/>
  <c r="F34" i="11"/>
  <c r="F34" i="68"/>
  <c r="R8" i="1"/>
  <c r="AE7" i="1"/>
  <c r="AE8" i="1"/>
  <c r="AG6" i="1"/>
  <c r="H109" i="9"/>
  <c r="H110" i="9"/>
  <c r="D18" i="53" s="1"/>
  <c r="B35" i="72" s="1"/>
  <c r="D16" i="53"/>
  <c r="B34" i="72" s="1"/>
  <c r="H111" i="9"/>
  <c r="D126" i="9" s="1"/>
  <c r="AD3" i="71"/>
  <c r="J1" i="73"/>
  <c r="C77" i="9"/>
  <c r="C74" i="9" s="1"/>
  <c r="H77" i="43"/>
  <c r="H76" i="43"/>
  <c r="H51" i="43"/>
  <c r="H67" i="43"/>
  <c r="H59" i="43"/>
  <c r="H60" i="43"/>
  <c r="H61" i="43"/>
  <c r="M4" i="43"/>
  <c r="M5" i="43"/>
  <c r="N12" i="43"/>
  <c r="N11" i="43"/>
  <c r="M10" i="43"/>
  <c r="M2" i="43"/>
  <c r="M7" i="43"/>
  <c r="H70" i="43"/>
  <c r="H54" i="43"/>
  <c r="N9" i="43"/>
  <c r="F81" i="43" s="1"/>
  <c r="M8" i="43"/>
  <c r="N10" i="43"/>
  <c r="H48" i="43"/>
  <c r="H74" i="43"/>
  <c r="M6" i="43"/>
  <c r="N7" i="43"/>
  <c r="N4" i="43"/>
  <c r="N2" i="43"/>
  <c r="H49" i="43"/>
  <c r="N17" i="43"/>
  <c r="L17" i="43"/>
  <c r="O17" i="43"/>
  <c r="M17" i="43"/>
  <c r="E17" i="43"/>
  <c r="AB19" i="71"/>
  <c r="X17" i="71"/>
  <c r="X16" i="71"/>
  <c r="AA17" i="71"/>
  <c r="AA16" i="71"/>
  <c r="X20" i="71"/>
  <c r="Y16" i="71"/>
  <c r="Z16" i="71" s="1"/>
  <c r="AB17" i="71"/>
  <c r="AB16" i="71"/>
  <c r="C94" i="9"/>
  <c r="C92" i="9"/>
  <c r="F18" i="71"/>
  <c r="F17" i="71" s="1"/>
  <c r="F16" i="71" s="1"/>
  <c r="F15" i="71" s="1"/>
  <c r="F14" i="71" s="1"/>
  <c r="Y17" i="71"/>
  <c r="Z17" i="71" s="1"/>
  <c r="X3" i="71"/>
  <c r="G20" i="43"/>
  <c r="E41" i="43"/>
  <c r="C41" i="43" s="1"/>
  <c r="I59" i="34"/>
  <c r="J59" i="34" s="1"/>
  <c r="L47" i="67"/>
  <c r="E7" i="76"/>
  <c r="E12" i="76"/>
  <c r="M22" i="67"/>
  <c r="M23" i="67"/>
  <c r="M28" i="67"/>
  <c r="D3" i="73"/>
  <c r="F6" i="73"/>
  <c r="F42" i="15"/>
  <c r="F7" i="73"/>
  <c r="B9" i="76"/>
  <c r="M24" i="67"/>
  <c r="E9" i="76"/>
  <c r="AO12" i="1"/>
  <c r="B7" i="76"/>
  <c r="F35" i="67"/>
  <c r="M29" i="67"/>
  <c r="E8" i="76"/>
  <c r="F13" i="15"/>
  <c r="M26" i="15"/>
  <c r="B12" i="76"/>
  <c r="AO9" i="1"/>
  <c r="F38" i="67"/>
  <c r="M8" i="15"/>
  <c r="M24" i="15"/>
  <c r="AO11" i="1"/>
  <c r="AO7" i="1"/>
  <c r="J15" i="15"/>
  <c r="F13" i="67"/>
  <c r="D2" i="36"/>
  <c r="M23" i="15"/>
  <c r="F3" i="73"/>
  <c r="F16" i="67"/>
  <c r="F6" i="15"/>
  <c r="AO13" i="1"/>
  <c r="F8" i="15"/>
  <c r="C76" i="15"/>
  <c r="B8" i="76"/>
  <c r="F26" i="15"/>
  <c r="M28" i="15"/>
  <c r="E13" i="76"/>
  <c r="F7" i="15"/>
  <c r="M27" i="67"/>
  <c r="F9" i="67"/>
  <c r="F43" i="15"/>
  <c r="F40" i="15"/>
  <c r="AO8" i="1"/>
  <c r="F6" i="67"/>
  <c r="M9" i="15"/>
  <c r="D4" i="73"/>
  <c r="E10" i="76"/>
  <c r="L47" i="15"/>
  <c r="F37" i="15"/>
  <c r="F41" i="67"/>
  <c r="D2" i="21"/>
  <c r="M21" i="67"/>
  <c r="F40" i="67"/>
  <c r="F36" i="67"/>
  <c r="F9" i="15"/>
  <c r="F20" i="31"/>
  <c r="F8" i="67"/>
  <c r="F38" i="15"/>
  <c r="D7" i="73"/>
  <c r="F36" i="15"/>
  <c r="D2" i="34"/>
  <c r="L48" i="15"/>
  <c r="D5" i="73"/>
  <c r="D2" i="35"/>
  <c r="F26" i="67"/>
  <c r="E2" i="69"/>
  <c r="M29" i="15"/>
  <c r="M26" i="67"/>
  <c r="M8" i="67"/>
  <c r="F4" i="73"/>
  <c r="B11" i="76"/>
  <c r="C76" i="67"/>
  <c r="D2" i="33"/>
  <c r="M27" i="15"/>
  <c r="D6" i="73"/>
  <c r="M9" i="67"/>
  <c r="E2" i="68"/>
  <c r="E11" i="76"/>
  <c r="F7" i="67"/>
  <c r="M6" i="67"/>
  <c r="L48" i="67"/>
  <c r="F5" i="73"/>
  <c r="M22" i="15"/>
  <c r="B10" i="76"/>
  <c r="F43" i="67"/>
  <c r="D2" i="37"/>
  <c r="M6" i="15"/>
  <c r="AO10" i="1"/>
  <c r="F16" i="15"/>
  <c r="B13" i="76"/>
  <c r="F37" i="67"/>
  <c r="J15" i="67"/>
  <c r="F42" i="67"/>
  <c r="C9" i="68" l="1"/>
  <c r="C19" i="12"/>
  <c r="C9" i="11"/>
  <c r="W30" i="37"/>
  <c r="U29" i="37"/>
  <c r="J35" i="37"/>
  <c r="W35" i="37" s="1"/>
  <c r="S33" i="37"/>
  <c r="W32" i="37"/>
  <c r="W36" i="37"/>
  <c r="S32" i="37"/>
  <c r="H35" i="37"/>
  <c r="F36" i="37"/>
  <c r="W31" i="37"/>
  <c r="AB37" i="37"/>
  <c r="S34" i="37"/>
  <c r="U34" i="37"/>
  <c r="AC35" i="37"/>
  <c r="S28" i="37"/>
  <c r="W28" i="37"/>
  <c r="AB25" i="37"/>
  <c r="AA23" i="37"/>
  <c r="U23" i="37"/>
  <c r="W19" i="37"/>
  <c r="F73" i="37"/>
  <c r="G73" i="37" s="1"/>
  <c r="H17" i="37"/>
  <c r="F17" i="37"/>
  <c r="J17" i="37"/>
  <c r="AC15" i="37"/>
  <c r="U15" i="37"/>
  <c r="S15" i="37"/>
  <c r="AA12" i="37"/>
  <c r="AC12" i="37"/>
  <c r="AA14" i="37"/>
  <c r="W9" i="37"/>
  <c r="AC9" i="37"/>
  <c r="F9" i="37"/>
  <c r="AA8" i="37"/>
  <c r="AC10" i="37"/>
  <c r="U30" i="37"/>
  <c r="C23" i="40"/>
  <c r="C15" i="40"/>
  <c r="H78" i="43"/>
  <c r="H83" i="43"/>
  <c r="H86" i="43"/>
  <c r="H81" i="43"/>
  <c r="H88" i="43"/>
  <c r="H87" i="43"/>
  <c r="H85" i="43"/>
  <c r="H84" i="43"/>
  <c r="H75" i="43"/>
  <c r="G17" i="43"/>
  <c r="C16" i="43" s="1"/>
  <c r="P61" i="15"/>
  <c r="C21" i="40"/>
  <c r="C17" i="40"/>
  <c r="B67" i="43"/>
  <c r="C15" i="39"/>
  <c r="C30" i="11"/>
  <c r="F54" i="9"/>
  <c r="F52" i="9"/>
  <c r="F28" i="15"/>
  <c r="C28" i="15" s="1"/>
  <c r="F32" i="67"/>
  <c r="F60" i="67" s="1"/>
  <c r="F28" i="67"/>
  <c r="C48" i="69"/>
  <c r="C13" i="12"/>
  <c r="D68" i="9"/>
  <c r="M18" i="15"/>
  <c r="F32" i="15"/>
  <c r="F60" i="15" s="1"/>
  <c r="M18" i="67"/>
  <c r="F31" i="12"/>
  <c r="C31" i="12" s="1"/>
  <c r="F30" i="68"/>
  <c r="F53" i="9"/>
  <c r="C23" i="12"/>
  <c r="C21" i="69"/>
  <c r="D23" i="15"/>
  <c r="G22" i="11"/>
  <c r="G22" i="68"/>
  <c r="E1" i="73"/>
  <c r="K1" i="73" s="1"/>
  <c r="C34" i="69"/>
  <c r="C35" i="69" s="1"/>
  <c r="E2" i="70"/>
  <c r="AR7" i="1"/>
  <c r="T13" i="1"/>
  <c r="T11" i="1"/>
  <c r="AQ13" i="1"/>
  <c r="E56" i="39"/>
  <c r="AR10" i="1"/>
  <c r="E27" i="6"/>
  <c r="C23" i="43"/>
  <c r="C21" i="43" s="1"/>
  <c r="S6" i="43"/>
  <c r="S7" i="43"/>
  <c r="S4" i="43"/>
  <c r="H5" i="3"/>
  <c r="G13" i="3"/>
  <c r="T7" i="1"/>
  <c r="AR9" i="1"/>
  <c r="T9" i="1"/>
  <c r="G5" i="3"/>
  <c r="B3" i="3" s="1"/>
  <c r="Q16" i="1"/>
  <c r="J22" i="43"/>
  <c r="S3" i="43"/>
  <c r="E59" i="40"/>
  <c r="AQ9" i="1"/>
  <c r="T12" i="1"/>
  <c r="E60" i="40"/>
  <c r="E65" i="39"/>
  <c r="O9" i="1"/>
  <c r="P9" i="1" s="1"/>
  <c r="M16" i="1"/>
  <c r="C34" i="68" s="1"/>
  <c r="E13" i="6"/>
  <c r="H82" i="43"/>
  <c r="H50" i="43"/>
  <c r="G13" i="1"/>
  <c r="G16" i="1" s="1"/>
  <c r="H112" i="9"/>
  <c r="D21" i="53" s="1"/>
  <c r="B39" i="72" s="1"/>
  <c r="B19" i="53"/>
  <c r="B37" i="72" s="1"/>
  <c r="D19" i="53"/>
  <c r="D68" i="39"/>
  <c r="C70" i="39"/>
  <c r="C20" i="43"/>
  <c r="C24" i="12"/>
  <c r="C28" i="67"/>
  <c r="C30" i="69"/>
  <c r="C36" i="11"/>
  <c r="I14" i="74"/>
  <c r="B8" i="74" s="1"/>
  <c r="D127" i="9"/>
  <c r="D13" i="52" s="1"/>
  <c r="D12" i="52"/>
  <c r="D17" i="53"/>
  <c r="B36" i="72" s="1"/>
  <c r="D124" i="9"/>
  <c r="P7" i="1"/>
  <c r="F27" i="68"/>
  <c r="AZ521" i="3"/>
  <c r="F22" i="43"/>
  <c r="K101" i="43"/>
  <c r="F101" i="43"/>
  <c r="N101" i="43"/>
  <c r="E22" i="43"/>
  <c r="H22" i="43"/>
  <c r="D101" i="43"/>
  <c r="M101" i="43"/>
  <c r="I101" i="43"/>
  <c r="E101" i="43"/>
  <c r="S5" i="43"/>
  <c r="B113" i="43"/>
  <c r="G101" i="43"/>
  <c r="C101" i="43"/>
  <c r="J101" i="43"/>
  <c r="N104" i="46"/>
  <c r="L101" i="43"/>
  <c r="H101" i="43"/>
  <c r="G22" i="43"/>
  <c r="S2" i="43"/>
  <c r="AJ11" i="43"/>
  <c r="AJ13" i="43" s="1"/>
  <c r="AH11" i="43"/>
  <c r="AF11" i="43"/>
  <c r="AF13" i="43" s="1"/>
  <c r="AD11" i="43"/>
  <c r="AB11" i="43"/>
  <c r="AB13" i="43" s="1"/>
  <c r="Z11" i="43"/>
  <c r="Z7" i="43"/>
  <c r="AI11" i="43"/>
  <c r="AI13" i="43" s="1"/>
  <c r="AG11" i="43"/>
  <c r="AE11" i="43"/>
  <c r="AE13" i="43" s="1"/>
  <c r="AC11" i="43"/>
  <c r="AA11" i="43"/>
  <c r="AA13" i="43" s="1"/>
  <c r="Y11" i="43"/>
  <c r="Y13" i="43" s="1"/>
  <c r="S12" i="34"/>
  <c r="AA12" i="34"/>
  <c r="U34" i="36"/>
  <c r="AB34" i="36"/>
  <c r="U33" i="36"/>
  <c r="AB33" i="36"/>
  <c r="AB14" i="37"/>
  <c r="U14" i="37"/>
  <c r="O12" i="1"/>
  <c r="P12" i="1" s="1"/>
  <c r="E29" i="6"/>
  <c r="F30" i="6"/>
  <c r="F31" i="6" s="1"/>
  <c r="W9" i="34"/>
  <c r="AC9" i="34"/>
  <c r="AC24" i="35"/>
  <c r="W24" i="35"/>
  <c r="AC34" i="35"/>
  <c r="W34" i="35"/>
  <c r="U36" i="35"/>
  <c r="AB36" i="35"/>
  <c r="AA32" i="36"/>
  <c r="S32" i="36"/>
  <c r="AB40" i="40"/>
  <c r="U40" i="40"/>
  <c r="E56" i="40"/>
  <c r="AZ399" i="3"/>
  <c r="K5" i="4"/>
  <c r="B47" i="48" s="1"/>
  <c r="U12" i="37"/>
  <c r="S11" i="36"/>
  <c r="AB11" i="36"/>
  <c r="AA14" i="33"/>
  <c r="AA44" i="33"/>
  <c r="H9" i="34"/>
  <c r="F34" i="35"/>
  <c r="H34" i="35"/>
  <c r="J36" i="35"/>
  <c r="P8" i="1"/>
  <c r="O8" i="1"/>
  <c r="AZ409" i="3"/>
  <c r="AZ421" i="3"/>
  <c r="AZ423" i="3"/>
  <c r="AZ425" i="3"/>
  <c r="AZ427" i="3"/>
  <c r="AZ440" i="3"/>
  <c r="AZ442" i="3"/>
  <c r="AZ446" i="3"/>
  <c r="AZ450" i="3"/>
  <c r="AZ454" i="3"/>
  <c r="AZ459" i="3"/>
  <c r="AZ468" i="3"/>
  <c r="AZ470" i="3"/>
  <c r="AZ479" i="3"/>
  <c r="AZ485" i="3"/>
  <c r="AZ216" i="3"/>
  <c r="AZ221" i="3"/>
  <c r="AZ226" i="3"/>
  <c r="AZ230" i="3"/>
  <c r="AZ242" i="3"/>
  <c r="AZ246" i="3"/>
  <c r="AZ258" i="3"/>
  <c r="AZ262" i="3"/>
  <c r="AZ267" i="3"/>
  <c r="AZ278" i="3"/>
  <c r="AZ284" i="3"/>
  <c r="AZ292" i="3"/>
  <c r="AZ302" i="3"/>
  <c r="AZ113" i="3"/>
  <c r="AZ126" i="3"/>
  <c r="AZ129" i="3"/>
  <c r="AZ153" i="3"/>
  <c r="AZ205" i="3"/>
  <c r="AZ18" i="3"/>
  <c r="AZ23" i="3"/>
  <c r="AZ27" i="3"/>
  <c r="AZ52" i="3"/>
  <c r="AZ56" i="3"/>
  <c r="AZ68" i="3"/>
  <c r="AZ73" i="3"/>
  <c r="AZ90" i="3"/>
  <c r="AZ92" i="3"/>
  <c r="AZ103" i="3"/>
  <c r="M100" i="43"/>
  <c r="I100" i="43"/>
  <c r="E100" i="43"/>
  <c r="D100" i="43"/>
  <c r="C40" i="68"/>
  <c r="C21" i="68"/>
  <c r="D37" i="71"/>
  <c r="T37" i="71"/>
  <c r="D33" i="71"/>
  <c r="T33" i="71"/>
  <c r="Q62" i="71"/>
  <c r="Q63" i="71"/>
  <c r="Y5" i="71"/>
  <c r="Z5" i="71" s="1"/>
  <c r="X5" i="71"/>
  <c r="AB5" i="71"/>
  <c r="AA5" i="71"/>
  <c r="S18" i="36"/>
  <c r="D41" i="71"/>
  <c r="T41" i="71"/>
  <c r="T25" i="71"/>
  <c r="D25" i="71"/>
  <c r="U25" i="71" s="1"/>
  <c r="C24" i="71"/>
  <c r="C52" i="71"/>
  <c r="D51" i="71"/>
  <c r="C60" i="71"/>
  <c r="D59" i="71"/>
  <c r="X6" i="71"/>
  <c r="X7" i="71"/>
  <c r="AB6" i="71"/>
  <c r="Z12" i="43"/>
  <c r="Z10" i="43"/>
  <c r="AD12" i="43"/>
  <c r="AD10" i="43"/>
  <c r="AH12" i="43"/>
  <c r="AH10" i="43"/>
  <c r="AA20" i="71"/>
  <c r="AA21" i="71"/>
  <c r="X19" i="71"/>
  <c r="B21" i="71"/>
  <c r="AA18" i="71"/>
  <c r="X18" i="71"/>
  <c r="Y15" i="71"/>
  <c r="Z15" i="71" s="1"/>
  <c r="X14" i="71"/>
  <c r="Y14" i="71"/>
  <c r="Z14" i="71" s="1"/>
  <c r="AA14" i="71"/>
  <c r="AB15" i="71"/>
  <c r="Y11" i="71"/>
  <c r="Z11" i="71" s="1"/>
  <c r="AB7" i="71"/>
  <c r="AB24" i="71"/>
  <c r="S25" i="71"/>
  <c r="X24" i="71"/>
  <c r="AA33" i="71"/>
  <c r="AB30" i="71"/>
  <c r="Y30" i="71"/>
  <c r="Z30" i="71" s="1"/>
  <c r="X29" i="71"/>
  <c r="N65" i="71"/>
  <c r="X34" i="71"/>
  <c r="AA26" i="71"/>
  <c r="X36" i="71"/>
  <c r="Y6" i="71"/>
  <c r="Z6" i="71" s="1"/>
  <c r="Y7" i="71"/>
  <c r="Z7" i="71" s="1"/>
  <c r="AA6" i="71"/>
  <c r="AA7" i="71"/>
  <c r="AB36" i="71"/>
  <c r="B64" i="71"/>
  <c r="AF10" i="43"/>
  <c r="AC12" i="43"/>
  <c r="AC10" i="43"/>
  <c r="AG12" i="43"/>
  <c r="AG10" i="43"/>
  <c r="X21" i="71"/>
  <c r="E21" i="71"/>
  <c r="Y19" i="71"/>
  <c r="Z19" i="71" s="1"/>
  <c r="Y20" i="71"/>
  <c r="Z20" i="71" s="1"/>
  <c r="C21" i="71"/>
  <c r="AB20" i="71"/>
  <c r="AB21" i="71"/>
  <c r="AB18" i="71"/>
  <c r="X15" i="71"/>
  <c r="AA15" i="71"/>
  <c r="Y18" i="71"/>
  <c r="Z18" i="71" s="1"/>
  <c r="AA19" i="71"/>
  <c r="X12" i="71"/>
  <c r="AA12" i="71"/>
  <c r="AB9" i="71"/>
  <c r="AB10" i="71"/>
  <c r="Y8" i="71"/>
  <c r="Z8" i="71" s="1"/>
  <c r="Y10" i="71"/>
  <c r="Z10" i="71" s="1"/>
  <c r="AA9" i="71"/>
  <c r="AA8" i="71"/>
  <c r="AA11" i="71"/>
  <c r="X10" i="71"/>
  <c r="X9" i="71"/>
  <c r="AB12" i="71"/>
  <c r="AB14" i="71"/>
  <c r="AB8" i="71"/>
  <c r="AB11" i="71"/>
  <c r="Y9" i="71"/>
  <c r="Z9" i="71" s="1"/>
  <c r="AA10" i="71"/>
  <c r="X8" i="71"/>
  <c r="X11" i="71"/>
  <c r="C5" i="43"/>
  <c r="D5"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6" i="15"/>
  <c r="C17" i="67"/>
  <c r="G1" i="73"/>
  <c r="C16" i="67"/>
  <c r="C17" i="15"/>
  <c r="C14" i="15"/>
  <c r="J7" i="34" l="1"/>
  <c r="U35" i="37"/>
  <c r="AB35" i="37"/>
  <c r="AA36" i="37"/>
  <c r="S36" i="37"/>
  <c r="W17" i="37"/>
  <c r="AC17" i="37"/>
  <c r="U17" i="37"/>
  <c r="AB17" i="37"/>
  <c r="AA17" i="37"/>
  <c r="S17" i="37"/>
  <c r="S9" i="37"/>
  <c r="AA9" i="37"/>
  <c r="AH13" i="43"/>
  <c r="AD13" i="43"/>
  <c r="Z13" i="43"/>
  <c r="AG13" i="43"/>
  <c r="AC13" i="43"/>
  <c r="C38" i="69"/>
  <c r="F48" i="68"/>
  <c r="C30" i="68"/>
  <c r="C48" i="68"/>
  <c r="C29" i="68"/>
  <c r="D27" i="68" s="1"/>
  <c r="L16" i="1"/>
  <c r="K20" i="6"/>
  <c r="M20" i="6" s="1"/>
  <c r="I20" i="6" s="1"/>
  <c r="S20" i="6" s="1"/>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S23" i="6"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17" i="3"/>
  <c r="E526" i="3"/>
  <c r="E268" i="3"/>
  <c r="E322" i="3"/>
  <c r="AJ6" i="3"/>
  <c r="E239" i="3"/>
  <c r="E516" i="3"/>
  <c r="E569" i="3"/>
  <c r="E396" i="3"/>
  <c r="E229" i="3"/>
  <c r="E151" i="3"/>
  <c r="E358" i="3"/>
  <c r="E559" i="3"/>
  <c r="E551" i="3"/>
  <c r="V6" i="3"/>
  <c r="E407" i="3"/>
  <c r="E320" i="3"/>
  <c r="E294" i="3"/>
  <c r="E230" i="3"/>
  <c r="E130" i="3"/>
  <c r="E61" i="3"/>
  <c r="E135"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366" i="3"/>
  <c r="E553" i="3"/>
  <c r="E282" i="3"/>
  <c r="N6" i="3"/>
  <c r="E509" i="3"/>
  <c r="E579" i="3"/>
  <c r="E431" i="3"/>
  <c r="E247" i="3"/>
  <c r="E201" i="3"/>
  <c r="E311" i="3"/>
  <c r="E514" i="3"/>
  <c r="E570" i="3"/>
  <c r="M6" i="3"/>
  <c r="AB6" i="3"/>
  <c r="E387" i="3"/>
  <c r="E335" i="3"/>
  <c r="E215" i="3"/>
  <c r="E189" i="3"/>
  <c r="E134"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123" i="3"/>
  <c r="E147" i="3"/>
  <c r="E289" i="3"/>
  <c r="E340" i="3"/>
  <c r="E364" i="3"/>
  <c r="E50" i="3"/>
  <c r="E20" i="3"/>
  <c r="E62" i="3"/>
  <c r="E176" i="3"/>
  <c r="E218" i="3"/>
  <c r="E265" i="3"/>
  <c r="E365" i="3"/>
  <c r="E524" i="3"/>
  <c r="E101" i="3"/>
  <c r="E49" i="3"/>
  <c r="E206" i="3"/>
  <c r="E232" i="3"/>
  <c r="E251" i="3"/>
  <c r="E370" i="3"/>
  <c r="AF6" i="3"/>
  <c r="E102" i="3"/>
  <c r="E80" i="3"/>
  <c r="E113" i="3"/>
  <c r="E158" i="3"/>
  <c r="E287" i="3"/>
  <c r="E308" i="3"/>
  <c r="E326" i="3"/>
  <c r="E22" i="3"/>
  <c r="E83" i="3"/>
  <c r="E13" i="3"/>
  <c r="I6" i="3"/>
  <c r="H6" i="3" s="1"/>
  <c r="C18" i="15"/>
  <c r="C15" i="15"/>
  <c r="C35" i="68"/>
  <c r="C38" i="68"/>
  <c r="F27" i="69"/>
  <c r="F28" i="12"/>
  <c r="C29" i="12" s="1"/>
  <c r="D28" i="12" s="1"/>
  <c r="F27" i="11"/>
  <c r="E16" i="6"/>
  <c r="E58" i="40"/>
  <c r="E63" i="39"/>
  <c r="E66" i="39" s="1"/>
  <c r="N16" i="1"/>
  <c r="C34" i="11"/>
  <c r="O16" i="1"/>
  <c r="F10" i="39"/>
  <c r="AA10" i="39" s="1"/>
  <c r="F10" i="40"/>
  <c r="AA10" i="40" s="1"/>
  <c r="H10" i="39"/>
  <c r="U10" i="39" s="1"/>
  <c r="J10" i="40"/>
  <c r="W10" i="40" s="1"/>
  <c r="F45" i="68"/>
  <c r="C47" i="68"/>
  <c r="D45" i="68" s="1"/>
  <c r="B38" i="72"/>
  <c r="D20" i="53"/>
  <c r="B40" i="72" s="1"/>
  <c r="D70" i="39"/>
  <c r="E68" i="39"/>
  <c r="P16" i="1"/>
  <c r="C11" i="12" s="1"/>
  <c r="J10" i="39"/>
  <c r="W10" i="39" s="1"/>
  <c r="H10" i="40"/>
  <c r="AB10" i="40" s="1"/>
  <c r="F7" i="36"/>
  <c r="J7" i="37"/>
  <c r="AC7" i="37" s="1"/>
  <c r="H7" i="36"/>
  <c r="H7" i="34"/>
  <c r="U7" i="34" s="1"/>
  <c r="F7" i="34"/>
  <c r="E20" i="71"/>
  <c r="E19" i="71" s="1"/>
  <c r="E18" i="71" s="1"/>
  <c r="E17" i="71" s="1"/>
  <c r="V21" i="71"/>
  <c r="C23" i="71"/>
  <c r="D23" i="71" s="1"/>
  <c r="D24" i="71"/>
  <c r="AZ5" i="3"/>
  <c r="W36" i="35"/>
  <c r="AC36" i="35"/>
  <c r="S34" i="35"/>
  <c r="AA34" i="35"/>
  <c r="K15" i="1"/>
  <c r="K16" i="1" s="1"/>
  <c r="E30" i="6"/>
  <c r="E31" i="6" s="1"/>
  <c r="H107" i="43"/>
  <c r="H106" i="43"/>
  <c r="H105" i="43"/>
  <c r="H102" i="43"/>
  <c r="H103"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4" i="43"/>
  <c r="E107" i="43"/>
  <c r="E105" i="43"/>
  <c r="E109" i="43"/>
  <c r="E102" i="43"/>
  <c r="E106" i="43"/>
  <c r="E103" i="43"/>
  <c r="M109" i="43"/>
  <c r="M104" i="43"/>
  <c r="M107" i="43"/>
  <c r="M105" i="43"/>
  <c r="M102" i="43"/>
  <c r="M106" i="43"/>
  <c r="M103" i="43"/>
  <c r="N103" i="43"/>
  <c r="N106" i="43"/>
  <c r="N107" i="43"/>
  <c r="N109" i="43"/>
  <c r="N102" i="43"/>
  <c r="N105" i="43"/>
  <c r="N104" i="43"/>
  <c r="K107" i="43"/>
  <c r="K104" i="43"/>
  <c r="K106" i="43"/>
  <c r="K109" i="43"/>
  <c r="K103" i="43"/>
  <c r="K102" i="43"/>
  <c r="K105" i="43"/>
  <c r="H14" i="74"/>
  <c r="B7" i="74" s="1"/>
  <c r="D10" i="52"/>
  <c r="D125" i="9"/>
  <c r="D11" i="52" s="1"/>
  <c r="C20" i="71"/>
  <c r="D21" i="71"/>
  <c r="U21" i="71" s="1"/>
  <c r="T21" i="71"/>
  <c r="N64" i="71"/>
  <c r="B63" i="71"/>
  <c r="B20" i="71"/>
  <c r="B19" i="71" s="1"/>
  <c r="B18" i="71" s="1"/>
  <c r="B17" i="71" s="1"/>
  <c r="S21" i="71"/>
  <c r="D60" i="71"/>
  <c r="C61" i="71"/>
  <c r="C53" i="71"/>
  <c r="D52" i="71"/>
  <c r="AB34" i="35"/>
  <c r="U34" i="35"/>
  <c r="AB9" i="34"/>
  <c r="U9" i="34"/>
  <c r="L109" i="43"/>
  <c r="L102" i="43"/>
  <c r="L105" i="43"/>
  <c r="L104" i="43"/>
  <c r="L106" i="43"/>
  <c r="L107" i="43"/>
  <c r="L103" i="43"/>
  <c r="J104" i="43"/>
  <c r="J105" i="43"/>
  <c r="J103" i="43"/>
  <c r="J106" i="43"/>
  <c r="J109" i="43"/>
  <c r="J107" i="43"/>
  <c r="J102" i="43"/>
  <c r="G105" i="43"/>
  <c r="G102" i="43"/>
  <c r="G103" i="43"/>
  <c r="G107" i="43"/>
  <c r="G104" i="43"/>
  <c r="G106" i="43"/>
  <c r="G109" i="43"/>
  <c r="I109" i="43"/>
  <c r="I102" i="43"/>
  <c r="I106" i="43"/>
  <c r="I103" i="43"/>
  <c r="I104" i="43"/>
  <c r="I107" i="43"/>
  <c r="I105" i="43"/>
  <c r="D109" i="43"/>
  <c r="D103" i="43"/>
  <c r="D104" i="43"/>
  <c r="D107" i="43"/>
  <c r="D105" i="43"/>
  <c r="D106" i="43"/>
  <c r="D102" i="43"/>
  <c r="D22" i="43"/>
  <c r="F107" i="43"/>
  <c r="F106" i="43"/>
  <c r="F103" i="43"/>
  <c r="F109" i="43"/>
  <c r="F104" i="43"/>
  <c r="F102" i="43"/>
  <c r="F105" i="43"/>
  <c r="F59" i="67"/>
  <c r="H7" i="37"/>
  <c r="AB7" i="37" s="1"/>
  <c r="T42" i="37" s="1"/>
  <c r="G42" i="37" s="1"/>
  <c r="B40" i="1"/>
  <c r="AC10" i="39"/>
  <c r="S10" i="39"/>
  <c r="H7" i="33"/>
  <c r="J7" i="33"/>
  <c r="D65" i="40"/>
  <c r="E63" i="40"/>
  <c r="F48" i="35"/>
  <c r="S7" i="36"/>
  <c r="AA7" i="36"/>
  <c r="R36" i="36" s="1"/>
  <c r="W7" i="37"/>
  <c r="AB7" i="36"/>
  <c r="T36" i="36" s="1"/>
  <c r="G36" i="36" s="1"/>
  <c r="U7" i="36"/>
  <c r="AB7" i="34"/>
  <c r="T49" i="34" s="1"/>
  <c r="G49" i="34" s="1"/>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V42" i="37" l="1"/>
  <c r="I42" i="37" s="1"/>
  <c r="G47" i="37" s="1"/>
  <c r="H47" i="37" s="1"/>
  <c r="S10" i="40"/>
  <c r="AC10" i="40"/>
  <c r="C19" i="15"/>
  <c r="C20" i="15" s="1"/>
  <c r="C26" i="15" s="1"/>
  <c r="AQ6" i="1"/>
  <c r="S16" i="1"/>
  <c r="AR6" i="1"/>
  <c r="T6" i="1"/>
  <c r="T16" i="1" s="1"/>
  <c r="AC6" i="3"/>
  <c r="E6" i="3" s="1"/>
  <c r="M19" i="6"/>
  <c r="K27" i="6"/>
  <c r="C47" i="11"/>
  <c r="D45" i="11" s="1"/>
  <c r="C29" i="11"/>
  <c r="D27" i="11" s="1"/>
  <c r="F45" i="69"/>
  <c r="C47" i="69"/>
  <c r="D45" i="69" s="1"/>
  <c r="C29" i="69"/>
  <c r="D27" i="69" s="1"/>
  <c r="F50" i="11"/>
  <c r="F50" i="69"/>
  <c r="F50" i="68"/>
  <c r="C38" i="11"/>
  <c r="C35" i="11"/>
  <c r="AB10" i="39"/>
  <c r="U10" i="40"/>
  <c r="F68" i="39"/>
  <c r="E70" i="39"/>
  <c r="U7" i="37"/>
  <c r="D61" i="71"/>
  <c r="T61" i="71"/>
  <c r="N63" i="71"/>
  <c r="N62" i="71"/>
  <c r="C19" i="71"/>
  <c r="D20" i="71"/>
  <c r="AY6" i="3"/>
  <c r="E3" i="6"/>
  <c r="E16" i="71"/>
  <c r="E15" i="71" s="1"/>
  <c r="E14" i="71" s="1"/>
  <c r="E13" i="71" s="1"/>
  <c r="V17" i="71"/>
  <c r="D53" i="71"/>
  <c r="T53" i="71"/>
  <c r="B16" i="71"/>
  <c r="B15" i="71" s="1"/>
  <c r="B14" i="71" s="1"/>
  <c r="B13" i="71" s="1"/>
  <c r="S17" i="71"/>
  <c r="C115" i="43"/>
  <c r="D113" i="43" s="1"/>
  <c r="C15" i="12"/>
  <c r="C12"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I46" i="37"/>
  <c r="J46" i="37" s="1"/>
  <c r="M27" i="6"/>
  <c r="I19" i="6"/>
  <c r="F70" i="39"/>
  <c r="G68" i="39"/>
  <c r="B12" i="71"/>
  <c r="B11" i="71" s="1"/>
  <c r="B10" i="71" s="1"/>
  <c r="B9" i="71" s="1"/>
  <c r="S13" i="71"/>
  <c r="E12" i="71"/>
  <c r="E11" i="71" s="1"/>
  <c r="E10" i="71" s="1"/>
  <c r="E9" i="71" s="1"/>
  <c r="V13"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33"/>
  <c r="E6" i="6"/>
  <c r="D37" i="11"/>
  <c r="C37" i="11" s="1"/>
  <c r="C33" i="11" s="1"/>
  <c r="C39" i="11" s="1"/>
  <c r="C46" i="11" s="1"/>
  <c r="C45" i="11" s="1"/>
  <c r="D14" i="12"/>
  <c r="M18" i="9"/>
  <c r="B118" i="9" s="1"/>
  <c r="B14" i="74" s="1"/>
  <c r="B1" i="74" s="1"/>
  <c r="D3" i="21"/>
  <c r="D19" i="11"/>
  <c r="C19" i="11" s="1"/>
  <c r="C17" i="4"/>
  <c r="B4" i="52" s="1"/>
  <c r="B43" i="72" s="1"/>
  <c r="L18" i="9"/>
  <c r="D3" i="37"/>
  <c r="C18" i="71"/>
  <c r="D19"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C42" i="11" l="1"/>
  <c r="C43" i="11"/>
  <c r="I27" i="6"/>
  <c r="S19" i="6"/>
  <c r="S27" i="6" s="1"/>
  <c r="H68" i="39"/>
  <c r="G70" i="39"/>
  <c r="C17" i="71"/>
  <c r="D18" i="71"/>
  <c r="D17" i="12"/>
  <c r="C17" i="12" s="1"/>
  <c r="C14" i="12"/>
  <c r="C16" i="12" s="1"/>
  <c r="D10" i="11"/>
  <c r="C10" i="11" s="1"/>
  <c r="D20" i="12"/>
  <c r="C20" i="12" s="1"/>
  <c r="D10" i="68"/>
  <c r="D10" i="69"/>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D30" i="6" s="1"/>
  <c r="E61" i="40"/>
  <c r="H23" i="6"/>
  <c r="H26" i="6"/>
  <c r="H19" i="6"/>
  <c r="H27" i="6" s="1"/>
  <c r="C20" i="11"/>
  <c r="C25" i="11" s="1"/>
  <c r="C22" i="11" s="1"/>
  <c r="C8" i="74"/>
  <c r="C7" i="74"/>
  <c r="E8" i="71"/>
  <c r="E7" i="71" s="1"/>
  <c r="E6" i="71" s="1"/>
  <c r="E5" i="71" s="1"/>
  <c r="V9" i="71"/>
  <c r="B8" i="71"/>
  <c r="B7" i="71" s="1"/>
  <c r="B6" i="71" s="1"/>
  <c r="B5" i="71" s="1"/>
  <c r="S9" i="71"/>
  <c r="G65" i="40"/>
  <c r="H63" i="40"/>
  <c r="C43" i="37"/>
  <c r="B2" i="37" s="1"/>
  <c r="C42" i="37"/>
  <c r="I48" i="35"/>
  <c r="C48" i="33"/>
  <c r="C49" i="33"/>
  <c r="B2" i="33" s="1"/>
  <c r="B3" i="33" s="1"/>
  <c r="H58" i="21"/>
  <c r="E47" i="37"/>
  <c r="F47" i="37" s="1"/>
  <c r="E46" i="37"/>
  <c r="F46" i="37" s="1"/>
  <c r="I47" i="37"/>
  <c r="J47" i="37" s="1"/>
  <c r="E53" i="33"/>
  <c r="F53" i="33" s="1"/>
  <c r="E52" i="33"/>
  <c r="F52" i="33" s="1"/>
  <c r="J14" i="15"/>
  <c r="C57" i="15"/>
  <c r="C61" i="15" s="1"/>
  <c r="C36" i="15"/>
  <c r="C33" i="15"/>
  <c r="C13" i="15"/>
  <c r="Q49" i="15"/>
  <c r="J19" i="15"/>
  <c r="J59" i="15"/>
  <c r="J60" i="15" s="1"/>
  <c r="C36" i="67"/>
  <c r="C33" i="67"/>
  <c r="C31" i="67" s="1"/>
  <c r="J14" i="67"/>
  <c r="C13" i="67"/>
  <c r="J19" i="67"/>
  <c r="J17" i="67" s="1"/>
  <c r="C57" i="67"/>
  <c r="C61" i="67" s="1"/>
  <c r="Q49" i="67"/>
  <c r="J59" i="67"/>
  <c r="J60" i="67" s="1"/>
  <c r="C19" i="9"/>
  <c r="C102" i="9" l="1"/>
  <c r="B3" i="37"/>
  <c r="C41" i="11"/>
  <c r="C49" i="11" s="1"/>
  <c r="C51" i="11" s="1"/>
  <c r="D16" i="6"/>
  <c r="C28" i="11"/>
  <c r="C27" i="11" s="1"/>
  <c r="C31" i="11" s="1"/>
  <c r="H70" i="39"/>
  <c r="I68" i="39"/>
  <c r="R26" i="6"/>
  <c r="D8" i="74"/>
  <c r="D7" i="74"/>
  <c r="C21" i="9"/>
  <c r="R20" i="6"/>
  <c r="R21" i="6"/>
  <c r="C10" i="69"/>
  <c r="C8" i="69" s="1"/>
  <c r="C5" i="69" s="1"/>
  <c r="D19" i="69"/>
  <c r="R23" i="6"/>
  <c r="A7" i="51"/>
  <c r="B7" i="72" s="1"/>
  <c r="C4" i="52"/>
  <c r="B45" i="72" s="1"/>
  <c r="A10" i="51"/>
  <c r="B9" i="72" s="1"/>
  <c r="D27" i="6"/>
  <c r="D31" i="6" s="1"/>
  <c r="R19" i="6"/>
  <c r="R24" i="6"/>
  <c r="R22" i="6"/>
  <c r="R25" i="6"/>
  <c r="C10" i="68"/>
  <c r="B29" i="1" s="1"/>
  <c r="C8" i="68" s="1"/>
  <c r="D19" i="68"/>
  <c r="C16" i="71"/>
  <c r="T17" i="71"/>
  <c r="D17" i="71"/>
  <c r="U17" i="71" s="1"/>
  <c r="I63" i="40"/>
  <c r="H65" i="40"/>
  <c r="I58" i="21"/>
  <c r="J58" i="21" s="1"/>
  <c r="K58" i="21" s="1"/>
  <c r="L58" i="21" s="1"/>
  <c r="M58" i="21" s="1"/>
  <c r="N58" i="21" s="1"/>
  <c r="O58" i="21" s="1"/>
  <c r="H7" i="21" s="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C20" i="9"/>
  <c r="L51" i="67"/>
  <c r="C18" i="12" l="1"/>
  <c r="C21" i="12" s="1"/>
  <c r="C52" i="11"/>
  <c r="B2" i="11" s="1"/>
  <c r="B3" i="11" s="1"/>
  <c r="C103" i="9"/>
  <c r="R27" i="6"/>
  <c r="R6" i="1"/>
  <c r="I70" i="39"/>
  <c r="J68" i="39"/>
  <c r="J7" i="21"/>
  <c r="C19" i="68"/>
  <c r="D37" i="68"/>
  <c r="C37" i="68" s="1"/>
  <c r="C33" i="68" s="1"/>
  <c r="I6" i="6"/>
  <c r="I5" i="6"/>
  <c r="C19" i="69"/>
  <c r="C24" i="69" s="1"/>
  <c r="D37" i="69"/>
  <c r="C37" i="69" s="1"/>
  <c r="C33" i="69" s="1"/>
  <c r="C15" i="71"/>
  <c r="D16" i="71"/>
  <c r="C22" i="12"/>
  <c r="C30" i="12" s="1"/>
  <c r="C28" i="12" s="1"/>
  <c r="C23" i="6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C56" i="11" l="1"/>
  <c r="C57" i="11" s="1"/>
  <c r="F63" i="15"/>
  <c r="C62" i="15" s="1"/>
  <c r="C59" i="15" s="1"/>
  <c r="C58" i="15" s="1"/>
  <c r="C67" i="15" s="1"/>
  <c r="C68" i="15" s="1"/>
  <c r="C71" i="15" s="1"/>
  <c r="C34" i="15"/>
  <c r="C31" i="15" s="1"/>
  <c r="C30" i="15" s="1"/>
  <c r="C39" i="15" s="1"/>
  <c r="J20" i="15"/>
  <c r="J17" i="15" s="1"/>
  <c r="J16" i="15" s="1"/>
  <c r="J25" i="15" s="1"/>
  <c r="R16" i="1"/>
  <c r="C20" i="69"/>
  <c r="C28" i="69" s="1"/>
  <c r="C27" i="69" s="1"/>
  <c r="K68" i="39"/>
  <c r="J70" i="39"/>
  <c r="J7" i="35"/>
  <c r="W7" i="35" s="1"/>
  <c r="C27" i="12"/>
  <c r="C25" i="12" s="1"/>
  <c r="C32" i="12" s="1"/>
  <c r="B2" i="12" s="1"/>
  <c r="B3" i="12" s="1"/>
  <c r="C39" i="69"/>
  <c r="C43" i="69" s="1"/>
  <c r="C42" i="69"/>
  <c r="C39" i="68"/>
  <c r="C42" i="68"/>
  <c r="C14" i="71"/>
  <c r="D15" i="71"/>
  <c r="C24" i="68"/>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AC7" i="35" l="1"/>
  <c r="V38" i="35" s="1"/>
  <c r="I38" i="35" s="1"/>
  <c r="Q67" i="15"/>
  <c r="L57" i="15"/>
  <c r="L60" i="15" s="1"/>
  <c r="L46" i="15" s="1"/>
  <c r="C40" i="15"/>
  <c r="C80" i="15"/>
  <c r="C79" i="15" s="1"/>
  <c r="Q69" i="15"/>
  <c r="Q68" i="15" s="1"/>
  <c r="C25" i="69"/>
  <c r="C22" i="69" s="1"/>
  <c r="C31" i="69" s="1"/>
  <c r="L68" i="39"/>
  <c r="K70" i="39"/>
  <c r="C41" i="69"/>
  <c r="C46" i="69"/>
  <c r="C45" i="69" s="1"/>
  <c r="C13" i="71"/>
  <c r="D14" i="7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7" i="15" l="1"/>
  <c r="Q66" i="15"/>
  <c r="B2" i="15"/>
  <c r="Q65" i="15"/>
  <c r="Q75" i="15" s="1"/>
  <c r="Q47" i="15"/>
  <c r="Q53" i="15" s="1"/>
  <c r="C46" i="15"/>
  <c r="Q56" i="15"/>
  <c r="Q62" i="15" s="1"/>
  <c r="C43" i="15"/>
  <c r="C83" i="15"/>
  <c r="C82" i="15" s="1"/>
  <c r="C49" i="69"/>
  <c r="C51" i="69" s="1"/>
  <c r="C52" i="69" s="1"/>
  <c r="B2" i="69" s="1"/>
  <c r="B3" i="69" s="1"/>
  <c r="M68" i="39"/>
  <c r="L70" i="39"/>
  <c r="C49" i="68"/>
  <c r="C51" i="68" s="1"/>
  <c r="C12" i="71"/>
  <c r="T13" i="71"/>
  <c r="D13" i="71"/>
  <c r="U13" i="71" s="1"/>
  <c r="R39" i="35"/>
  <c r="E38" i="35"/>
  <c r="M63" i="40"/>
  <c r="L65" i="40"/>
  <c r="D19" i="9"/>
  <c r="AO6" i="1"/>
  <c r="D22" i="9" l="1"/>
  <c r="D21" i="9"/>
  <c r="D102" i="9"/>
  <c r="G19" i="9"/>
  <c r="G21" i="9" s="1"/>
  <c r="B6" i="70"/>
  <c r="B2" i="70" s="1"/>
  <c r="B3" i="70" s="1"/>
  <c r="B3" i="15"/>
  <c r="N68" i="39"/>
  <c r="M70" i="39"/>
  <c r="C57" i="69"/>
  <c r="C56" i="69" s="1"/>
  <c r="D12" i="71"/>
  <c r="C11" i="71"/>
  <c r="C39" i="35"/>
  <c r="B2" i="35" s="1"/>
  <c r="B3" i="35" s="1"/>
  <c r="C38" i="35"/>
  <c r="N63" i="40"/>
  <c r="M65" i="40"/>
  <c r="E43" i="35"/>
  <c r="F43" i="35" s="1"/>
  <c r="E42" i="35"/>
  <c r="F42" i="35" s="1"/>
  <c r="I43" i="35"/>
  <c r="J43" i="35" s="1"/>
  <c r="D34" i="9"/>
  <c r="D20" i="9"/>
  <c r="D35" i="9"/>
  <c r="G20" i="9" l="1"/>
  <c r="C32" i="9" s="1"/>
  <c r="C35" i="9" s="1"/>
  <c r="C34" i="9" s="1"/>
  <c r="D103" i="9"/>
  <c r="O68" i="39"/>
  <c r="O70" i="39" s="1"/>
  <c r="N70" i="39"/>
  <c r="F7" i="39" s="1"/>
  <c r="D11" i="71"/>
  <c r="C10" i="71"/>
  <c r="O63" i="40"/>
  <c r="O65" i="40" s="1"/>
  <c r="N65" i="40"/>
  <c r="S7" i="39" l="1"/>
  <c r="AA7" i="39"/>
  <c r="R47" i="39" s="1"/>
  <c r="H7" i="39"/>
  <c r="J7" i="39"/>
  <c r="D10" i="71"/>
  <c r="C9" i="71"/>
  <c r="J7" i="40"/>
  <c r="F7" i="40"/>
  <c r="H7" i="40"/>
  <c r="W7" i="39" l="1"/>
  <c r="AC7" i="39"/>
  <c r="V47" i="39" s="1"/>
  <c r="I47" i="39" s="1"/>
  <c r="E47" i="39"/>
  <c r="R48" i="39"/>
  <c r="U7" i="39"/>
  <c r="AB7" i="39"/>
  <c r="T47" i="39" s="1"/>
  <c r="G47" i="39" s="1"/>
  <c r="C8" i="71"/>
  <c r="T9" i="71"/>
  <c r="D9" i="71"/>
  <c r="U9" i="71" s="1"/>
  <c r="U7" i="40"/>
  <c r="AB7" i="40"/>
  <c r="T42" i="40" s="1"/>
  <c r="G42" i="40" s="1"/>
  <c r="AA7" i="40"/>
  <c r="R42" i="40" s="1"/>
  <c r="S7" i="40"/>
  <c r="AC7" i="40"/>
  <c r="V42" i="40" s="1"/>
  <c r="I42" i="40" s="1"/>
  <c r="W7" i="40"/>
  <c r="C48" i="39" l="1"/>
  <c r="C47" i="39"/>
  <c r="I51" i="39"/>
  <c r="J51" i="39" s="1"/>
  <c r="I52" i="39"/>
  <c r="J52" i="39" s="1"/>
  <c r="G51" i="39"/>
  <c r="H51" i="39" s="1"/>
  <c r="G52" i="39"/>
  <c r="H52" i="39" s="1"/>
  <c r="E52" i="39"/>
  <c r="F52" i="39" s="1"/>
  <c r="E51" i="39"/>
  <c r="F51" i="39" s="1"/>
  <c r="C7" i="71"/>
  <c r="D8" i="7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6" i="7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19" i="43" s="1"/>
  <c r="F118" i="9"/>
  <c r="F4" i="52" s="1"/>
  <c r="B51" i="72" s="1"/>
  <c r="D118" i="9"/>
  <c r="D4" i="52" s="1"/>
  <c r="B47" i="72" s="1"/>
  <c r="H118" i="9"/>
  <c r="C104" i="9" s="1"/>
  <c r="C33" i="43" l="1"/>
  <c r="C39" i="43"/>
  <c r="T6" i="43"/>
  <c r="V6" i="43" s="1"/>
  <c r="C34" i="43"/>
  <c r="T2" i="43"/>
  <c r="V2" i="43" s="1"/>
  <c r="C37" i="43"/>
  <c r="T13" i="43"/>
  <c r="V13" i="43" s="1"/>
  <c r="T4" i="43"/>
  <c r="V4" i="43" s="1"/>
  <c r="C35" i="43"/>
  <c r="T11" i="43"/>
  <c r="V11" i="43" s="1"/>
  <c r="T16" i="43"/>
  <c r="V16" i="43" s="1"/>
  <c r="C29" i="43"/>
  <c r="C36" i="43"/>
  <c r="C38" i="43"/>
  <c r="T3" i="43"/>
  <c r="V3" i="43" s="1"/>
  <c r="T14" i="43"/>
  <c r="V14" i="43" s="1"/>
  <c r="T12" i="43"/>
  <c r="V12" i="43" s="1"/>
  <c r="T5" i="43"/>
  <c r="V5" i="43" s="1"/>
  <c r="T10" i="43"/>
  <c r="V10" i="43" s="1"/>
  <c r="T9" i="43"/>
  <c r="V9" i="43" s="1"/>
  <c r="T8" i="43"/>
  <c r="V8" i="43" s="1"/>
  <c r="T7" i="43"/>
  <c r="V7" i="43" s="1"/>
  <c r="T15" i="43"/>
  <c r="V15" i="43" s="1"/>
  <c r="D14" i="74"/>
  <c r="F14" i="74" s="1"/>
  <c r="H119" i="9"/>
  <c r="H5" i="52" s="1"/>
  <c r="I118" i="9"/>
  <c r="H102" i="9" s="1"/>
  <c r="D7" i="53" s="1"/>
  <c r="B21" i="72" s="1"/>
  <c r="D119" i="9"/>
  <c r="D5" i="52" s="1"/>
  <c r="B49" i="72" s="1"/>
  <c r="H4" i="52"/>
  <c r="G118" i="9"/>
  <c r="G4" i="52" s="1"/>
  <c r="B52" i="72" s="1"/>
  <c r="F119" i="9"/>
  <c r="F5" i="52" s="1"/>
  <c r="B53" i="72" s="1"/>
  <c r="H101" i="9"/>
  <c r="G38" i="43" l="1"/>
  <c r="I38" i="43" s="1"/>
  <c r="E38" i="43"/>
  <c r="E29" i="43"/>
  <c r="C30" i="43"/>
  <c r="E30" i="43" s="1"/>
  <c r="E37" i="43"/>
  <c r="G37" i="43"/>
  <c r="I37" i="43" s="1"/>
  <c r="E34" i="43"/>
  <c r="G34" i="43"/>
  <c r="I34" i="43" s="1"/>
  <c r="G39" i="43"/>
  <c r="I39" i="43" s="1"/>
  <c r="E39" i="43"/>
  <c r="E36" i="43"/>
  <c r="G36" i="43"/>
  <c r="I36" i="43" s="1"/>
  <c r="E35" i="43"/>
  <c r="G35" i="43"/>
  <c r="I35" i="43" s="1"/>
  <c r="E33" i="43"/>
  <c r="G33" i="43"/>
  <c r="I33" i="43" s="1"/>
  <c r="C105" i="9"/>
  <c r="E14" i="74"/>
  <c r="I4" i="52"/>
  <c r="B5" i="74"/>
  <c r="D5" i="74" s="1"/>
  <c r="E118" i="9"/>
  <c r="E4" i="52" s="1"/>
  <c r="B48" i="72" s="1"/>
  <c r="M48" i="9"/>
  <c r="D45" i="9"/>
  <c r="D56" i="9" s="1"/>
  <c r="D5" i="53"/>
  <c r="H107" i="9"/>
  <c r="C5" i="74" l="1"/>
  <c r="C27" i="43"/>
  <c r="C26" i="43"/>
  <c r="D13" i="53"/>
  <c r="D122" i="9"/>
  <c r="H108" i="9"/>
  <c r="D15" i="53" s="1"/>
  <c r="B31" i="72" s="1"/>
  <c r="M49" i="9"/>
  <c r="C85" i="9"/>
  <c r="C93" i="9"/>
  <c r="C86" i="9" s="1"/>
  <c r="D55" i="9"/>
  <c r="M53" i="9" s="1"/>
  <c r="C78" i="9"/>
  <c r="C73" i="9" s="1"/>
  <c r="C64" i="9"/>
  <c r="C63" i="9" s="1"/>
  <c r="C67" i="9" s="1"/>
  <c r="C72" i="9"/>
  <c r="D53" i="9"/>
  <c r="D52" i="9"/>
  <c r="D6" i="53"/>
  <c r="B22" i="72" s="1"/>
  <c r="B20" i="72"/>
  <c r="E6" i="76"/>
  <c r="C79" i="9" l="1"/>
  <c r="E2" i="76"/>
  <c r="B2" i="43"/>
  <c r="C80" i="9"/>
  <c r="E80" i="9" s="1"/>
  <c r="E81" i="9" s="1"/>
  <c r="L65" i="9"/>
  <c r="M65" i="9" s="1"/>
  <c r="L64" i="9"/>
  <c r="M64" i="9" s="1"/>
  <c r="L67" i="9"/>
  <c r="M67" i="9" s="1"/>
  <c r="L63" i="9"/>
  <c r="M63" i="9" s="1"/>
  <c r="L68" i="9"/>
  <c r="M68" i="9" s="1"/>
  <c r="L66" i="9"/>
  <c r="M66" i="9" s="1"/>
  <c r="D123" i="9"/>
  <c r="D9" i="52" s="1"/>
  <c r="G14" i="74"/>
  <c r="B6" i="74" s="1"/>
  <c r="D8" i="52"/>
  <c r="D59" i="9"/>
  <c r="M55" i="9" s="1"/>
  <c r="C68" i="9"/>
  <c r="D54" i="9" s="1"/>
  <c r="D48" i="9" s="1"/>
  <c r="M52" i="9" s="1"/>
  <c r="C95" i="9"/>
  <c r="D14" i="53"/>
  <c r="B32" i="72" s="1"/>
  <c r="B30" i="72"/>
  <c r="B6" i="76"/>
  <c r="B2" i="76" l="1"/>
  <c r="B3" i="76" s="1"/>
  <c r="C6" i="68"/>
  <c r="B3" i="43"/>
  <c r="M69" i="9"/>
  <c r="N69" i="9" s="1"/>
  <c r="C81" i="9"/>
  <c r="C96" i="9"/>
  <c r="E96" i="9" s="1"/>
  <c r="E97" i="9" s="1"/>
  <c r="C6" i="74"/>
  <c r="D6" i="74"/>
  <c r="C7" i="68" l="1"/>
  <c r="C5" i="68" s="1"/>
  <c r="C97" i="9"/>
  <c r="D58" i="9" s="1"/>
  <c r="M54" i="9" s="1"/>
  <c r="N57" i="9" s="1"/>
  <c r="N58" i="9" s="1"/>
  <c r="C23" i="68" l="1"/>
  <c r="C20" i="68"/>
  <c r="C25" i="68" s="1"/>
  <c r="C28" i="68"/>
  <c r="C27" i="68" s="1"/>
  <c r="P57" i="9"/>
  <c r="N59" i="9"/>
  <c r="N60" i="9" s="1"/>
  <c r="C22" i="68" l="1"/>
  <c r="C31" i="68" s="1"/>
  <c r="C52" i="68" s="1"/>
  <c r="B2" i="68" s="1"/>
  <c r="B3" i="68" s="1"/>
  <c r="N61" i="9"/>
  <c r="C57" i="68" l="1"/>
  <c r="C56" i="6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<sst xmlns="http://schemas.openxmlformats.org/spreadsheetml/2006/main" count="7471" uniqueCount="3179">
  <si>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</si>
  <si>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</si>
  <si>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</si>
  <si>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</si>
  <si>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</si>
  <si>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</si>
  <si>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</si>
  <si>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</si>
  <si>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</si>
  <si>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</si>
  <si>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</si>
  <si>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</si>
  <si>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</si>
  <si>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</si>
  <si>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</si>
  <si>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</si>
  <si>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</si>
  <si>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</si>
  <si>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</si>
  <si>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</si>
  <si>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</si>
  <si>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</si>
  <si>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</si>
  <si>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</si>
  <si>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</si>
  <si>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</si>
  <si>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</si>
  <si>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</si>
  <si>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</si>
  <si>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</si>
  <si>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</si>
  <si>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</si>
  <si>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</si>
  <si>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</si>
  <si>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</si>
  <si>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</si>
  <si>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</si>
  <si>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</si>
  <si>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</si>
  <si>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</si>
  <si>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</si>
  <si>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</si>
  <si>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</si>
  <si>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</si>
  <si>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</si>
  <si>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</si>
  <si>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</si>
  <si>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</si>
  <si>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</si>
  <si>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</si>
  <si>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</si>
  <si>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</si>
  <si>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</si>
  <si>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</si>
  <si>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</si>
  <si>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</si>
  <si>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</si>
  <si>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</si>
  <si>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</si>
  <si>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</si>
  <si>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</si>
  <si>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</si>
  <si>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</si>
  <si>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</si>
  <si>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</si>
  <si>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</si>
  <si>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</si>
  <si>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</si>
  <si>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</si>
  <si>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</si>
  <si>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</si>
  <si>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</si>
  <si>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</si>
  <si>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</si>
  <si>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</si>
  <si>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</si>
  <si>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</si>
  <si>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</si>
  <si>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</si>
  <si>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</si>
  <si>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</si>
  <si>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</si>
  <si>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</si>
  <si>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</si>
  <si>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</si>
  <si>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</si>
  <si>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</si>
  <si>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</si>
  <si>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</si>
  <si>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</si>
  <si>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</si>
  <si>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</si>
  <si>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</si>
  <si>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</si>
  <si>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</si>
  <si>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</si>
  <si>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</si>
  <si>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</si>
  <si>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</si>
  <si>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</si>
  <si>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</si>
  <si>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</si>
  <si>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</si>
  <si>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</si>
  <si>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</si>
  <si>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</si>
  <si>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</si>
  <si>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</si>
  <si>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</si>
  <si>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</si>
  <si>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</si>
  <si>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</si>
  <si>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</si>
  <si>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</si>
  <si>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</si>
  <si>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</si>
  <si>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</si>
  <si>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</si>
  <si>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</si>
  <si>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</si>
  <si>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</si>
  <si>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</si>
  <si>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</si>
  <si>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</si>
  <si>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</si>
  <si>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</si>
  <si>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</si>
  <si>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</si>
  <si>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</si>
  <si>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</si>
  <si>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</si>
  <si>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</si>
  <si>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</si>
  <si>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</si>
  <si>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</si>
  <si>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</si>
  <si>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</si>
  <si>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</si>
  <si>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</si>
  <si>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</si>
  <si>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</si>
  <si>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</si>
  <si>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</si>
  <si>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</si>
  <si>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</si>
  <si>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</si>
  <si>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</si>
  <si>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</si>
  <si>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</si>
  <si>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</si>
  <si>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</si>
  <si>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</si>
  <si>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</si>
  <si>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</si>
  <si>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</si>
  <si>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</si>
  <si>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</si>
  <si>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</si>
  <si>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</si>
  <si>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</si>
  <si>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</si>
  <si>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</si>
  <si>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</si>
  <si>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</si>
  <si>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</si>
  <si>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</si>
  <si>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</si>
  <si>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</si>
  <si>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</si>
  <si>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</si>
  <si>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</si>
  <si>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</si>
  <si>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</si>
  <si>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</si>
  <si>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</si>
  <si>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</si>
  <si>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</si>
  <si>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</si>
  <si>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</si>
  <si>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</si>
  <si>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</si>
  <si>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</si>
  <si>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</si>
  <si>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</si>
  <si>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</si>
  <si>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</si>
  <si>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</si>
  <si>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</si>
  <si>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</si>
  <si>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</si>
  <si>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</si>
  <si>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</si>
  <si>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</si>
  <si>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</si>
  <si>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</si>
  <si>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</si>
  <si>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</si>
  <si>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</si>
  <si>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</si>
  <si>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</si>
  <si>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</si>
  <si>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</si>
  <si>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</si>
  <si>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</si>
  <si>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</si>
  <si>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</si>
  <si>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</si>
  <si>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</si>
  <si>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</si>
  <si>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</si>
  <si>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</si>
  <si>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</si>
  <si>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</si>
  <si>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</si>
  <si>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</si>
  <si>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</si>
  <si>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</si>
  <si>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</si>
  <si>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</si>
  <si>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</si>
  <si>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</si>
  <si>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</si>
  <si>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</si>
  <si>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</si>
  <si>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</si>
  <si>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</si>
  <si>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</si>
  <si>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</si>
  <si>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</si>
  <si>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</si>
  <si>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</si>
  <si>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</si>
  <si>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</si>
  <si>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</si>
  <si>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</si>
  <si>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</si>
  <si>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</si>
  <si>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</si>
  <si>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</si>
  <si>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</si>
  <si>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</si>
  <si>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</si>
  <si>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</si>
  <si>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</si>
  <si>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</si>
  <si>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</si>
  <si>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</si>
  <si>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</si>
  <si>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</si>
  <si>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</si>
  <si>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</si>
  <si>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</si>
  <si>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</si>
  <si>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</si>
  <si>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</si>
  <si>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</si>
  <si>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</si>
  <si>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</si>
  <si>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</si>
  <si>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</si>
  <si>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</si>
  <si>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</si>
  <si>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</si>
  <si>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</si>
  <si>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</si>
  <si>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</si>
  <si>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</si>
  <si>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</si>
  <si>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</si>
  <si>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</si>
  <si>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</si>
  <si>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</si>
  <si>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</si>
  <si>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</si>
  <si>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</si>
  <si>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</si>
  <si>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</si>
  <si>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</si>
  <si>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</si>
  <si>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</si>
  <si>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</si>
  <si>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</si>
  <si>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</si>
  <si>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</si>
  <si>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</si>
  <si>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</si>
  <si>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</si>
  <si>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</si>
  <si>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</si>
  <si>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</si>
  <si>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</si>
  <si>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</si>
  <si>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</si>
  <si>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</si>
  <si>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</si>
  <si>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</si>
  <si>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</si>
  <si>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</si>
  <si>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</si>
  <si>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</si>
  <si>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</si>
  <si>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</si>
  <si>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</si>
  <si>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</si>
  <si>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</si>
  <si>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</si>
  <si>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</si>
  <si>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</si>
  <si>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</si>
  <si>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</si>
  <si>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</si>
  <si>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</si>
  <si>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</si>
  <si>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</si>
  <si>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</si>
  <si>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</si>
  <si>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</si>
  <si>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</si>
  <si>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</si>
  <si>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</si>
  <si>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</si>
  <si>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</si>
  <si>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</si>
  <si>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</si>
  <si>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</si>
  <si>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</si>
  <si>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</si>
  <si>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</si>
  <si>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</si>
  <si>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</si>
  <si>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</si>
  <si>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</si>
  <si>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</si>
  <si>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</si>
  <si>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</si>
  <si>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</si>
  <si>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</si>
  <si>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</si>
  <si>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</si>
  <si>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</si>
  <si>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</si>
  <si>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</si>
  <si>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</si>
  <si>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</si>
  <si>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</si>
  <si>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</si>
  <si>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</si>
  <si>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</si>
  <si>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</si>
  <si>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</si>
  <si>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</si>
  <si>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</si>
  <si>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</si>
  <si>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</si>
  <si>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</si>
  <si>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</si>
  <si>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</si>
  <si>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</si>
  <si>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</si>
  <si>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</si>
  <si>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</si>
  <si>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</si>
  <si>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</si>
  <si>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</si>
  <si>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</si>
  <si>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</si>
  <si>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</si>
  <si>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</si>
  <si>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</si>
  <si>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</si>
  <si>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</si>
  <si>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</si>
  <si>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</si>
  <si>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</si>
  <si>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</si>
  <si>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</si>
  <si>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</si>
  <si>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</si>
  <si>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</si>
  <si>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</si>
  <si>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</si>
  <si>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</si>
  <si>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</si>
  <si>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</si>
  <si>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</si>
  <si>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</si>
  <si>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</si>
  <si>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</si>
  <si>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</si>
  <si>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</si>
  <si>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</si>
  <si>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</si>
  <si>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</si>
  <si>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</si>
  <si>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</si>
  <si>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</si>
  <si>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</si>
  <si>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</si>
  <si>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</si>
  <si>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</si>
  <si>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</si>
  <si>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</si>
  <si>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</si>
  <si>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</si>
  <si>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</si>
  <si>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</si>
  <si>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</si>
  <si>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</si>
  <si>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</si>
  <si>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</si>
  <si>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</si>
  <si>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</si>
  <si>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</si>
  <si>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</si>
  <si>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</si>
  <si>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</si>
  <si>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</si>
  <si>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</si>
  <si>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</si>
  <si>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</si>
  <si>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</si>
  <si>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</si>
  <si>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</si>
  <si>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</si>
  <si>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</si>
  <si>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</si>
  <si>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</si>
  <si>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</si>
  <si>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</si>
  <si>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</si>
  <si>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</si>
  <si>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</si>
  <si>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</si>
  <si>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</si>
  <si>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</si>
  <si>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</si>
  <si>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</si>
  <si>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</si>
  <si>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</si>
  <si>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</si>
  <si>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</si>
  <si>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</si>
  <si>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</si>
  <si>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</si>
  <si>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</si>
  <si>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</si>
  <si>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</si>
  <si>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</si>
  <si>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</si>
  <si>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</si>
  <si>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</si>
  <si>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</si>
  <si>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</si>
  <si>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</si>
  <si>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</si>
  <si>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</si>
  <si>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</si>
  <si>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</si>
  <si>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</si>
  <si>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</si>
  <si>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</si>
  <si>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</si>
  <si>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</si>
  <si>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</si>
  <si>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</si>
  <si>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</si>
  <si>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</si>
  <si>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</si>
  <si>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</si>
  <si>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</si>
  <si>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</si>
  <si>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</si>
  <si>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</si>
  <si>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</si>
  <si>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</si>
  <si>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</si>
  <si>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</si>
  <si>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</si>
  <si>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</si>
  <si>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</si>
  <si>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</si>
  <si>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</si>
  <si>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</si>
  <si>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</si>
  <si>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</si>
  <si>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</si>
  <si>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</si>
  <si>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</si>
  <si>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</si>
  <si>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</si>
  <si>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</si>
  <si>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</si>
  <si>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</si>
  <si>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</si>
  <si>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</si>
  <si>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</si>
  <si>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</si>
  <si>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</si>
  <si>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</si>
  <si>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</si>
  <si>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</si>
  <si>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</si>
  <si>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</si>
  <si>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</si>
  <si>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</si>
  <si>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</si>
  <si>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</si>
  <si>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</si>
  <si>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</si>
  <si>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</si>
  <si>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</si>
  <si>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</si>
  <si>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</si>
  <si>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</si>
  <si>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</si>
  <si>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</si>
  <si>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</si>
  <si>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</si>
  <si>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</si>
  <si>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</si>
  <si>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</si>
  <si>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</si>
  <si>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</si>
  <si>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</si>
  <si>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</si>
  <si>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</si>
  <si>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</si>
  <si>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</si>
  <si>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</si>
  <si>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</si>
  <si>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</si>
  <si>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</si>
  <si>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</si>
  <si>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</si>
  <si>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</si>
  <si>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</si>
  <si>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</si>
  <si>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</si>
  <si>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</si>
  <si>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</si>
  <si>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</si>
  <si>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</si>
  <si>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</si>
  <si>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</si>
  <si>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</si>
  <si>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</si>
  <si>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</si>
  <si>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</si>
  <si>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</si>
  <si>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</si>
  <si>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</si>
  <si>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</si>
  <si>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</si>
  <si>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</si>
  <si>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</si>
  <si>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</si>
  <si>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</si>
  <si>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</si>
  <si>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</si>
  <si>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</si>
  <si>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</si>
  <si>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</si>
  <si>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</si>
  <si>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</si>
  <si>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</si>
  <si>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</si>
  <si>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</si>
  <si>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</si>
  <si>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</si>
  <si>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</si>
  <si>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</si>
  <si>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</si>
  <si>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</si>
  <si>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</si>
  <si>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</si>
  <si>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</si>
  <si>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</si>
  <si>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</si>
  <si>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</si>
  <si>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</si>
  <si>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</si>
  <si>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</si>
  <si>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</si>
  <si>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</si>
  <si>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</si>
  <si>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</si>
  <si>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</si>
  <si>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</si>
  <si>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</si>
  <si>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</si>
  <si>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</si>
  <si>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</si>
  <si>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</si>
  <si>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</si>
  <si>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</si>
  <si>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</si>
  <si>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</si>
  <si>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</si>
  <si>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</si>
  <si>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</si>
  <si>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</si>
  <si>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</si>
  <si>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</si>
  <si>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</si>
  <si>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</si>
  <si>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</si>
  <si>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</si>
  <si>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</si>
  <si>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</si>
  <si>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</si>
  <si>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</si>
  <si>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</si>
  <si>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</si>
  <si>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</si>
  <si>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</si>
  <si>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</si>
  <si>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</si>
  <si>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</si>
  <si>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</si>
  <si>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</si>
  <si>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</si>
  <si>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</si>
  <si>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</si>
  <si>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</si>
  <si>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</si>
  <si>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</si>
  <si>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</si>
  <si>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</si>
  <si>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</si>
  <si>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</si>
  <si>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</si>
  <si>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</si>
  <si>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</si>
  <si>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</si>
  <si>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</si>
  <si>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</si>
  <si>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</si>
  <si>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</si>
  <si>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</si>
  <si>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</si>
  <si>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</si>
  <si>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</si>
  <si>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</si>
  <si>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</si>
  <si>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</si>
  <si>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</si>
  <si>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</si>
  <si>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</si>
  <si>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</si>
  <si>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</si>
  <si>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</si>
  <si>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</si>
  <si>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</si>
  <si>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</si>
  <si>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</si>
  <si>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</si>
  <si>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</si>
  <si>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</si>
  <si>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</si>
  <si>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</si>
  <si>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</si>
  <si>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</si>
  <si>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</si>
  <si>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</si>
  <si>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</si>
  <si>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</si>
  <si>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</si>
  <si>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</si>
  <si>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</si>
  <si>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</si>
  <si>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</si>
  <si>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</si>
  <si>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</si>
  <si>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</si>
  <si>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</si>
  <si>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</si>
  <si>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</si>
  <si>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</si>
  <si>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</si>
  <si>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</si>
  <si>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</si>
  <si>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</si>
  <si>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</si>
  <si>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</si>
  <si>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</si>
  <si>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</si>
  <si>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</si>
  <si>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</si>
  <si>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</si>
  <si>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</si>
  <si>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</si>
  <si>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</si>
  <si>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</si>
  <si>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</si>
  <si>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</si>
  <si>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</si>
  <si>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</si>
  <si>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</si>
  <si>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</si>
  <si>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</si>
  <si>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</si>
  <si>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</si>
  <si>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</si>
  <si>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</si>
  <si>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</si>
  <si>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</si>
  <si>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</si>
  <si>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</si>
  <si>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</si>
  <si>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</si>
  <si>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</si>
  <si>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</si>
  <si>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</si>
  <si>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</si>
  <si>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</si>
  <si>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</si>
  <si>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</si>
  <si>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</si>
  <si>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</si>
  <si>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</si>
  <si>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</si>
  <si>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</si>
  <si>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</si>
  <si>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</si>
  <si>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</si>
  <si>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</si>
  <si>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</si>
  <si>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</si>
  <si>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</si>
  <si>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</si>
  <si>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</si>
  <si>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</si>
  <si>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</si>
  <si>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</si>
  <si>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</si>
  <si>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</si>
  <si>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</si>
  <si>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</si>
  <si>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</si>
  <si>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</si>
  <si>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</si>
  <si>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</si>
  <si>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</si>
  <si>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</si>
  <si>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</si>
  <si>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</si>
  <si>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</si>
  <si>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</si>
  <si>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</si>
  <si>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</si>
  <si>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</si>
  <si>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</si>
  <si>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</si>
  <si>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</si>
  <si>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</si>
  <si>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</si>
  <si>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</si>
  <si>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</si>
  <si>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</si>
  <si>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</si>
  <si>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</si>
  <si>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</si>
  <si>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</si>
  <si>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</si>
  <si>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</si>
  <si>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</si>
  <si>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</si>
  <si>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</si>
  <si>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</si>
  <si>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</si>
  <si>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</si>
  <si>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</si>
  <si>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</si>
  <si>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</si>
  <si>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</si>
  <si>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</si>
  <si>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</si>
  <si>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</si>
  <si>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</si>
  <si>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</si>
  <si>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</si>
  <si>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</si>
  <si>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</si>
  <si>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</si>
  <si>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</si>
  <si>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</si>
  <si>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</si>
  <si>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</si>
  <si>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</si>
  <si>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</si>
  <si>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</si>
  <si>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</si>
  <si>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</si>
  <si>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</si>
  <si>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</si>
  <si>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</si>
  <si>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</si>
  <si>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</si>
  <si>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</si>
  <si>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</si>
  <si>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</si>
  <si>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</si>
  <si>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</si>
  <si>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</si>
  <si>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</si>
  <si>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</si>
  <si>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</si>
  <si>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</si>
  <si>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</si>
  <si>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</si>
  <si>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</si>
  <si>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</si>
  <si>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</si>
  <si>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</si>
  <si>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</si>
  <si>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</si>
  <si>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</si>
  <si>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</si>
  <si>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</si>
  <si>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</si>
  <si>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</si>
  <si>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</si>
  <si>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</si>
  <si>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</si>
  <si>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</si>
  <si>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</si>
  <si>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</si>
  <si>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</si>
  <si>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</si>
  <si>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</si>
  <si>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</si>
  <si>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</si>
  <si>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</si>
  <si>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</si>
  <si>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</si>
  <si>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</si>
  <si>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</si>
  <si>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</si>
  <si>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</si>
  <si>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</si>
  <si>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</si>
  <si>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</si>
  <si>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</si>
  <si>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</si>
  <si>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</si>
  <si>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</si>
  <si>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</si>
  <si>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</si>
  <si>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</si>
  <si>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</si>
  <si>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</si>
  <si>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</si>
  <si>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</si>
  <si>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</si>
  <si>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</si>
  <si>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</si>
  <si>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</si>
  <si>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</si>
  <si>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</si>
  <si>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</si>
  <si>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</si>
  <si>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</si>
  <si>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</si>
  <si>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</si>
  <si>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</si>
  <si>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</si>
  <si>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</si>
  <si>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</si>
  <si>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</si>
  <si>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</si>
  <si>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</si>
  <si>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</si>
  <si>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</si>
  <si>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</si>
  <si>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</si>
  <si>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</si>
  <si>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</si>
  <si>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</si>
  <si>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</si>
  <si>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</si>
  <si>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</si>
  <si>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</si>
  <si>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</si>
  <si>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</si>
  <si>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</si>
  <si>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</si>
  <si>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</si>
  <si>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</si>
  <si>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</si>
  <si>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</si>
  <si>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</si>
  <si>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</si>
  <si>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</si>
  <si>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</si>
  <si>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</si>
  <si>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</si>
  <si>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</si>
  <si>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</si>
  <si>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</si>
  <si>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</si>
  <si>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</si>
  <si>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</si>
  <si>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</si>
  <si>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</si>
  <si>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</si>
  <si>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</si>
  <si>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</si>
  <si>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</si>
  <si>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</si>
  <si>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</si>
  <si>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</si>
  <si>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</si>
  <si>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</si>
  <si>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</si>
  <si>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</si>
  <si>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</si>
  <si>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</si>
  <si>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</si>
  <si>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</si>
  <si>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</si>
  <si>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</si>
  <si>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</si>
  <si>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</si>
  <si>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</si>
  <si>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</si>
  <si>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</si>
  <si>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</si>
  <si>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</si>
  <si>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</si>
  <si>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</si>
  <si>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</si>
  <si>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</si>
  <si>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</si>
  <si>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</si>
  <si>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</si>
  <si>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</si>
  <si>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</si>
  <si>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</si>
  <si>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</si>
  <si>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</si>
  <si>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</si>
  <si>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</si>
  <si>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</si>
  <si>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</si>
  <si>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</si>
  <si>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</si>
  <si>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</si>
  <si>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</si>
  <si>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</si>
  <si>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</si>
  <si>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</si>
  <si>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</si>
  <si>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</si>
  <si>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</si>
  <si>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</si>
  <si>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</si>
  <si>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</si>
  <si>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</si>
  <si>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</si>
  <si>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</si>
  <si>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</si>
  <si>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</si>
  <si>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</si>
  <si>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</si>
  <si>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</si>
  <si>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</si>
  <si>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</si>
  <si>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</si>
  <si>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</si>
  <si>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</si>
  <si>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</si>
  <si>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</si>
  <si>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</si>
  <si>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</si>
  <si>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</si>
  <si>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</si>
  <si>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</si>
  <si>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</si>
  <si>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</si>
  <si>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</si>
  <si>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</si>
  <si>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</si>
  <si>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</si>
  <si>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</si>
  <si>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</si>
  <si>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</si>
  <si>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</si>
  <si>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</si>
  <si>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</si>
  <si>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</si>
  <si>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</si>
  <si>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</si>
  <si>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</si>
  <si>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</si>
  <si>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</si>
  <si>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</si>
  <si>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</si>
  <si>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</si>
  <si>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</si>
  <si>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</si>
  <si>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</si>
  <si>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</si>
  <si>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</si>
  <si>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</si>
  <si>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</si>
  <si>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</si>
  <si>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</si>
  <si>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</si>
  <si>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</si>
  <si>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</si>
  <si>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</si>
  <si>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</si>
  <si>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</si>
  <si>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</si>
  <si>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</si>
  <si>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</si>
  <si>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</si>
  <si>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</si>
  <si>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</si>
  <si>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</si>
  <si>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</si>
  <si>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</si>
  <si>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</si>
  <si>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</si>
  <si>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</si>
  <si>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</si>
  <si>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</si>
  <si>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</si>
  <si>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</si>
  <si>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</si>
  <si>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</si>
  <si>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</si>
  <si>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</si>
  <si>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</si>
  <si>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</si>
  <si>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</si>
  <si>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</si>
  <si>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</si>
  <si>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</si>
  <si>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</si>
  <si>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</si>
  <si>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</si>
  <si>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</si>
  <si>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</si>
  <si>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</si>
  <si>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</si>
  <si>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</si>
  <si>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</si>
  <si>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</si>
  <si>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</si>
  <si>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</si>
  <si>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</si>
  <si>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</si>
  <si>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</si>
  <si>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</si>
  <si>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</si>
  <si>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</si>
  <si>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</si>
  <si>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7" type="noConversion"/>
  </si>
  <si>
    <r>
      <rPr>
        <b/>
        <sz val="10"/>
        <color theme="1"/>
        <rFont val="楷体_GB2312"/>
        <family val="2"/>
        <charset val="134"/>
      </rPr>
      <t>公示增长率</t>
    </r>
    <phoneticPr fontId="147" type="noConversion"/>
  </si>
  <si>
    <r>
      <rPr>
        <b/>
        <sz val="10"/>
        <color theme="1"/>
        <rFont val="楷体_GB2312"/>
        <family val="2"/>
        <charset val="134"/>
      </rPr>
      <t>核算至百分数</t>
    </r>
    <phoneticPr fontId="147" type="noConversion"/>
  </si>
  <si>
    <r>
      <rPr>
        <b/>
        <sz val="10"/>
        <color theme="1"/>
        <rFont val="楷体_GB2312"/>
        <family val="2"/>
        <charset val="134"/>
      </rPr>
      <t>验证</t>
    </r>
    <phoneticPr fontId="147" type="noConversion"/>
  </si>
  <si>
    <t>季度连乘</t>
    <phoneticPr fontId="139" type="noConversion"/>
  </si>
  <si>
    <t>平均增幅</t>
    <phoneticPr fontId="139"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</si>
  <si>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</si>
  <si>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</si>
  <si>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</si>
  <si>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</si>
  <si>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</si>
  <si>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</si>
  <si>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9" type="noConversion"/>
  </si>
  <si>
    <t>2013-4</t>
    <phoneticPr fontId="139" type="noConversion"/>
  </si>
  <si>
    <t>2013-3</t>
    <phoneticPr fontId="139" type="noConversion"/>
  </si>
  <si>
    <t>2013-2</t>
    <phoneticPr fontId="139" type="noConversion"/>
  </si>
  <si>
    <t>2013-1</t>
    <phoneticPr fontId="139" type="noConversion"/>
  </si>
  <si>
    <r>
      <t>2</t>
    </r>
    <r>
      <rPr>
        <sz val="10"/>
        <color theme="1"/>
        <rFont val="Arial"/>
        <family val="2"/>
      </rPr>
      <t>012-4</t>
    </r>
    <phoneticPr fontId="139" type="noConversion"/>
  </si>
  <si>
    <r>
      <t>2</t>
    </r>
    <r>
      <rPr>
        <sz val="10"/>
        <color theme="1"/>
        <rFont val="Arial"/>
        <family val="2"/>
      </rPr>
      <t>012-3</t>
    </r>
    <phoneticPr fontId="139" type="noConversion"/>
  </si>
  <si>
    <r>
      <t>2</t>
    </r>
    <r>
      <rPr>
        <sz val="10"/>
        <color theme="1"/>
        <rFont val="Arial"/>
        <family val="2"/>
      </rPr>
      <t>012-2</t>
    </r>
    <phoneticPr fontId="139" type="noConversion"/>
  </si>
  <si>
    <r>
      <t>2</t>
    </r>
    <r>
      <rPr>
        <sz val="10"/>
        <color theme="1"/>
        <rFont val="Arial"/>
        <family val="2"/>
      </rPr>
      <t>012-1</t>
    </r>
    <phoneticPr fontId="139" type="noConversion"/>
  </si>
  <si>
    <r>
      <t>2</t>
    </r>
    <r>
      <rPr>
        <sz val="10"/>
        <color theme="1"/>
        <rFont val="Arial"/>
        <family val="2"/>
      </rPr>
      <t>011-4</t>
    </r>
    <phoneticPr fontId="139" type="noConversion"/>
  </si>
  <si>
    <r>
      <t>2</t>
    </r>
    <r>
      <rPr>
        <sz val="10"/>
        <color theme="1"/>
        <rFont val="Arial"/>
        <family val="2"/>
      </rPr>
      <t>011-3</t>
    </r>
    <phoneticPr fontId="139" type="noConversion"/>
  </si>
  <si>
    <r>
      <t>2</t>
    </r>
    <r>
      <rPr>
        <sz val="10"/>
        <color theme="1"/>
        <rFont val="Arial"/>
        <family val="2"/>
      </rPr>
      <t>011-2</t>
    </r>
    <phoneticPr fontId="139" type="noConversion"/>
  </si>
  <si>
    <r>
      <t>2</t>
    </r>
    <r>
      <rPr>
        <sz val="10"/>
        <color theme="1"/>
        <rFont val="Arial"/>
        <family val="2"/>
      </rPr>
      <t>011-1</t>
    </r>
    <phoneticPr fontId="139" type="noConversion"/>
  </si>
  <si>
    <r>
      <t>2</t>
    </r>
    <r>
      <rPr>
        <sz val="10"/>
        <color theme="1"/>
        <rFont val="Arial"/>
        <family val="2"/>
      </rPr>
      <t>010-4</t>
    </r>
    <phoneticPr fontId="139" type="noConversion"/>
  </si>
  <si>
    <r>
      <t>2</t>
    </r>
    <r>
      <rPr>
        <sz val="10"/>
        <color theme="1"/>
        <rFont val="Arial"/>
        <family val="2"/>
      </rPr>
      <t>010-3</t>
    </r>
    <phoneticPr fontId="139" type="noConversion"/>
  </si>
  <si>
    <r>
      <t>2</t>
    </r>
    <r>
      <rPr>
        <sz val="10"/>
        <color theme="1"/>
        <rFont val="Arial"/>
        <family val="2"/>
      </rPr>
      <t>010-2</t>
    </r>
    <phoneticPr fontId="139" type="noConversion"/>
  </si>
  <si>
    <r>
      <t>2</t>
    </r>
    <r>
      <rPr>
        <sz val="10"/>
        <color theme="1"/>
        <rFont val="Arial"/>
        <family val="2"/>
      </rPr>
      <t>010-1</t>
    </r>
    <phoneticPr fontId="139" type="noConversion"/>
  </si>
  <si>
    <r>
      <t>2</t>
    </r>
    <r>
      <rPr>
        <sz val="10"/>
        <color theme="1"/>
        <rFont val="Arial"/>
        <family val="2"/>
      </rPr>
      <t>009-4</t>
    </r>
    <phoneticPr fontId="139" type="noConversion"/>
  </si>
  <si>
    <r>
      <t>2</t>
    </r>
    <r>
      <rPr>
        <sz val="10"/>
        <color theme="1"/>
        <rFont val="Arial"/>
        <family val="2"/>
      </rPr>
      <t>009-3</t>
    </r>
    <phoneticPr fontId="139" type="noConversion"/>
  </si>
  <si>
    <r>
      <t>2</t>
    </r>
    <r>
      <rPr>
        <sz val="10"/>
        <color theme="1"/>
        <rFont val="Arial"/>
        <family val="2"/>
      </rPr>
      <t>009-2</t>
    </r>
    <phoneticPr fontId="139" type="noConversion"/>
  </si>
  <si>
    <r>
      <t>2</t>
    </r>
    <r>
      <rPr>
        <sz val="10"/>
        <color theme="1"/>
        <rFont val="Arial"/>
        <family val="2"/>
      </rPr>
      <t>009-1</t>
    </r>
    <phoneticPr fontId="139" type="noConversion"/>
  </si>
  <si>
    <r>
      <t>2</t>
    </r>
    <r>
      <rPr>
        <sz val="10"/>
        <color theme="1"/>
        <rFont val="Arial"/>
        <family val="2"/>
      </rPr>
      <t>008-4</t>
    </r>
    <phoneticPr fontId="139" type="noConversion"/>
  </si>
  <si>
    <r>
      <t>2</t>
    </r>
    <r>
      <rPr>
        <sz val="10"/>
        <color theme="1"/>
        <rFont val="Arial"/>
        <family val="2"/>
      </rPr>
      <t>008-3</t>
    </r>
    <phoneticPr fontId="139" type="noConversion"/>
  </si>
  <si>
    <r>
      <t>2</t>
    </r>
    <r>
      <rPr>
        <sz val="10"/>
        <color theme="1"/>
        <rFont val="Arial"/>
        <family val="2"/>
      </rPr>
      <t>008-2</t>
    </r>
    <phoneticPr fontId="139" type="noConversion"/>
  </si>
  <si>
    <r>
      <t>2</t>
    </r>
    <r>
      <rPr>
        <sz val="10"/>
        <color theme="1"/>
        <rFont val="Arial"/>
        <family val="2"/>
      </rPr>
      <t>008-1</t>
    </r>
    <phoneticPr fontId="139" type="noConversion"/>
  </si>
  <si>
    <r>
      <t>2</t>
    </r>
    <r>
      <rPr>
        <sz val="10"/>
        <color theme="1"/>
        <rFont val="Arial"/>
        <family val="2"/>
      </rPr>
      <t>007-4</t>
    </r>
    <phoneticPr fontId="139" type="noConversion"/>
  </si>
  <si>
    <r>
      <t>2</t>
    </r>
    <r>
      <rPr>
        <sz val="10"/>
        <color theme="1"/>
        <rFont val="Arial"/>
        <family val="2"/>
      </rPr>
      <t>007-3</t>
    </r>
    <phoneticPr fontId="139" type="noConversion"/>
  </si>
  <si>
    <r>
      <t>2</t>
    </r>
    <r>
      <rPr>
        <sz val="10"/>
        <color theme="1"/>
        <rFont val="Arial"/>
        <family val="2"/>
      </rPr>
      <t>007-2</t>
    </r>
    <phoneticPr fontId="139" type="noConversion"/>
  </si>
  <si>
    <r>
      <t>2</t>
    </r>
    <r>
      <rPr>
        <sz val="10"/>
        <color theme="1"/>
        <rFont val="Arial"/>
        <family val="2"/>
      </rPr>
      <t>007-1</t>
    </r>
    <phoneticPr fontId="139" type="noConversion"/>
  </si>
  <si>
    <r>
      <t>2</t>
    </r>
    <r>
      <rPr>
        <sz val="10"/>
        <color theme="1"/>
        <rFont val="Arial"/>
        <family val="2"/>
      </rPr>
      <t>006-4</t>
    </r>
    <phoneticPr fontId="139" type="noConversion"/>
  </si>
  <si>
    <t>2006-3</t>
    <phoneticPr fontId="139" type="noConversion"/>
  </si>
  <si>
    <t>2006-2</t>
    <phoneticPr fontId="139" type="noConversion"/>
  </si>
  <si>
    <t>2006-1</t>
    <phoneticPr fontId="139" type="noConversion"/>
  </si>
  <si>
    <r>
      <t>2</t>
    </r>
    <r>
      <rPr>
        <sz val="10"/>
        <color theme="1"/>
        <rFont val="Arial"/>
        <family val="2"/>
      </rPr>
      <t>005-4</t>
    </r>
    <phoneticPr fontId="139" type="noConversion"/>
  </si>
  <si>
    <r>
      <t>2</t>
    </r>
    <r>
      <rPr>
        <sz val="10"/>
        <color theme="1"/>
        <rFont val="Arial"/>
        <family val="2"/>
      </rPr>
      <t>005-3</t>
    </r>
    <phoneticPr fontId="139" type="noConversion"/>
  </si>
  <si>
    <r>
      <t>2</t>
    </r>
    <r>
      <rPr>
        <sz val="10"/>
        <color theme="1"/>
        <rFont val="Arial"/>
        <family val="2"/>
      </rPr>
      <t>005-2</t>
    </r>
    <phoneticPr fontId="139" type="noConversion"/>
  </si>
  <si>
    <r>
      <t>2</t>
    </r>
    <r>
      <rPr>
        <sz val="10"/>
        <color theme="1"/>
        <rFont val="Arial"/>
        <family val="2"/>
      </rPr>
      <t>005-1</t>
    </r>
    <phoneticPr fontId="139" type="noConversion"/>
  </si>
  <si>
    <r>
      <t>2</t>
    </r>
    <r>
      <rPr>
        <sz val="10"/>
        <color theme="1"/>
        <rFont val="Arial"/>
        <family val="2"/>
      </rPr>
      <t>004-4</t>
    </r>
    <phoneticPr fontId="139" type="noConversion"/>
  </si>
  <si>
    <r>
      <t>2</t>
    </r>
    <r>
      <rPr>
        <sz val="10"/>
        <color theme="1"/>
        <rFont val="Arial"/>
        <family val="2"/>
      </rPr>
      <t>004-3</t>
    </r>
    <phoneticPr fontId="139" type="noConversion"/>
  </si>
  <si>
    <r>
      <t>2</t>
    </r>
    <r>
      <rPr>
        <sz val="10"/>
        <color theme="1"/>
        <rFont val="Arial"/>
        <family val="2"/>
      </rPr>
      <t>004-2</t>
    </r>
    <phoneticPr fontId="139" type="noConversion"/>
  </si>
  <si>
    <r>
      <t>2</t>
    </r>
    <r>
      <rPr>
        <sz val="10"/>
        <color theme="1"/>
        <rFont val="Arial"/>
        <family val="2"/>
      </rPr>
      <t>004-1</t>
    </r>
    <phoneticPr fontId="139" type="noConversion"/>
  </si>
  <si>
    <r>
      <t>2</t>
    </r>
    <r>
      <rPr>
        <sz val="10"/>
        <color theme="1"/>
        <rFont val="Arial"/>
        <family val="2"/>
      </rPr>
      <t>003-4</t>
    </r>
    <phoneticPr fontId="139" type="noConversion"/>
  </si>
  <si>
    <r>
      <t>2</t>
    </r>
    <r>
      <rPr>
        <sz val="10"/>
        <color theme="1"/>
        <rFont val="Arial"/>
        <family val="2"/>
      </rPr>
      <t>003-3</t>
    </r>
    <phoneticPr fontId="139" type="noConversion"/>
  </si>
  <si>
    <r>
      <t>2</t>
    </r>
    <r>
      <rPr>
        <sz val="10"/>
        <color theme="1"/>
        <rFont val="Arial"/>
        <family val="2"/>
      </rPr>
      <t>003-2</t>
    </r>
    <phoneticPr fontId="139" type="noConversion"/>
  </si>
  <si>
    <r>
      <t>2</t>
    </r>
    <r>
      <rPr>
        <sz val="10"/>
        <color theme="1"/>
        <rFont val="Arial"/>
        <family val="2"/>
      </rPr>
      <t>003-1</t>
    </r>
    <phoneticPr fontId="139" type="noConversion"/>
  </si>
  <si>
    <r>
      <t>2</t>
    </r>
    <r>
      <rPr>
        <sz val="10"/>
        <color theme="1"/>
        <rFont val="Arial"/>
        <family val="2"/>
      </rPr>
      <t>002-4</t>
    </r>
    <phoneticPr fontId="139" type="noConversion"/>
  </si>
  <si>
    <r>
      <t>2</t>
    </r>
    <r>
      <rPr>
        <sz val="10"/>
        <color theme="1"/>
        <rFont val="Arial"/>
        <family val="2"/>
      </rPr>
      <t>002-3</t>
    </r>
    <phoneticPr fontId="139" type="noConversion"/>
  </si>
  <si>
    <r>
      <t>2</t>
    </r>
    <r>
      <rPr>
        <sz val="10"/>
        <color theme="1"/>
        <rFont val="Arial"/>
        <family val="2"/>
      </rPr>
      <t>002-2</t>
    </r>
    <phoneticPr fontId="139" type="noConversion"/>
  </si>
  <si>
    <r>
      <t>2</t>
    </r>
    <r>
      <rPr>
        <sz val="10"/>
        <color theme="1"/>
        <rFont val="Arial"/>
        <family val="2"/>
      </rPr>
      <t>002-1</t>
    </r>
    <phoneticPr fontId="139" type="noConversion"/>
  </si>
  <si>
    <t>说明</t>
    <phoneticPr fontId="13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</si>
  <si>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</si>
  <si>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</si>
  <si>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</si>
  <si>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</si>
  <si>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</si>
  <si>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</si>
  <si>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</si>
  <si>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9" type="noConversion"/>
  </si>
  <si>
    <t>封皮-估价项目名称</t>
    <phoneticPr fontId="139" type="noConversion"/>
  </si>
  <si>
    <t>封皮-估价委托人</t>
    <phoneticPr fontId="139" type="noConversion"/>
  </si>
  <si>
    <t>封皮-注册房地产估价师</t>
    <phoneticPr fontId="139" type="noConversion"/>
  </si>
  <si>
    <t>封皮-估价报告编号</t>
    <phoneticPr fontId="139" type="noConversion"/>
  </si>
  <si>
    <t>致函-委托事项</t>
    <phoneticPr fontId="139" type="noConversion"/>
  </si>
  <si>
    <t>致函-估价目的</t>
    <phoneticPr fontId="139" type="noConversion"/>
  </si>
  <si>
    <t>致函-价值时点</t>
    <phoneticPr fontId="139" type="noConversion"/>
  </si>
  <si>
    <t>致函-价值类型-房地产</t>
    <phoneticPr fontId="139" type="noConversion"/>
  </si>
  <si>
    <t>致函-价值类型-建筑物/土地</t>
    <phoneticPr fontId="147" type="noConversion"/>
  </si>
  <si>
    <t>致函-价值类型-抵押</t>
    <phoneticPr fontId="147" type="noConversion"/>
  </si>
  <si>
    <t>致函-价值类型-优先受偿</t>
    <phoneticPr fontId="147" type="noConversion"/>
  </si>
  <si>
    <t>致函-价值类型-净值</t>
    <phoneticPr fontId="147" type="noConversion"/>
  </si>
  <si>
    <t>致函-估价方法</t>
    <phoneticPr fontId="147" type="noConversion"/>
  </si>
  <si>
    <t>致函-估价结果</t>
    <phoneticPr fontId="139" type="noConversion"/>
  </si>
  <si>
    <t>致函-估价结果-表1-总</t>
    <phoneticPr fontId="147" type="noConversion"/>
  </si>
  <si>
    <t>致函-估价结果-表1-单</t>
    <phoneticPr fontId="147" type="noConversion"/>
  </si>
  <si>
    <t>致函-估价结果-表1-大</t>
    <phoneticPr fontId="147" type="noConversion"/>
  </si>
  <si>
    <t>致函-估价结果-表1-优先（大）</t>
    <phoneticPr fontId="147" type="noConversion"/>
  </si>
  <si>
    <t>致函-估价结果-表1-优先-抵押</t>
    <phoneticPr fontId="147" type="noConversion"/>
  </si>
  <si>
    <t>致函-估价结果-表1-优先-工程</t>
    <phoneticPr fontId="147" type="noConversion"/>
  </si>
  <si>
    <t>致函-估价结果-表1-优先-其他</t>
    <phoneticPr fontId="147" type="noConversion"/>
  </si>
  <si>
    <t>致函-估价结果-表1-抵押（大）</t>
    <phoneticPr fontId="147" type="noConversion"/>
  </si>
  <si>
    <t>致函-估价结果-表1-已注（大）</t>
    <phoneticPr fontId="147" type="noConversion"/>
  </si>
  <si>
    <t>致函-估价结果-表1-净值（单）</t>
    <phoneticPr fontId="147" type="noConversion"/>
  </si>
  <si>
    <t>致函-估价结果-表1-净值（大）</t>
    <phoneticPr fontId="147" type="noConversion"/>
  </si>
  <si>
    <t>致函-估价结果-表2-土地面积</t>
    <phoneticPr fontId="147" type="noConversion"/>
  </si>
  <si>
    <t>致函-估价结果-表2-地（总）</t>
    <phoneticPr fontId="147" type="noConversion"/>
  </si>
  <si>
    <t>致函-估价结果-表2-地（单）</t>
    <phoneticPr fontId="147" type="noConversion"/>
  </si>
  <si>
    <t>致函-估价结果-表2-地（大）</t>
    <phoneticPr fontId="147" type="noConversion"/>
  </si>
  <si>
    <t>致函-估价结果-表2-建（总）</t>
    <phoneticPr fontId="147" type="noConversion"/>
  </si>
  <si>
    <t>致函-估价结果-表2-建（单）</t>
    <phoneticPr fontId="147" type="noConversion"/>
  </si>
  <si>
    <t>致函-特别提示-1</t>
    <phoneticPr fontId="147" type="noConversion"/>
  </si>
  <si>
    <t>致函-特别提示-2</t>
  </si>
  <si>
    <t>致函-特别提示-优先受偿-1</t>
    <phoneticPr fontId="147" type="noConversion"/>
  </si>
  <si>
    <t>致函-特别提示-优先受偿-2</t>
  </si>
  <si>
    <t>致函-特别提示-优先受偿-3</t>
  </si>
  <si>
    <t>致函-特别提示-优先受偿-4</t>
  </si>
  <si>
    <t>致函-特别提示-4</t>
    <phoneticPr fontId="147" type="noConversion"/>
  </si>
  <si>
    <t>致函-特别提示-5</t>
  </si>
  <si>
    <t>致函-出具日期</t>
    <phoneticPr fontId="139" type="noConversion"/>
  </si>
  <si>
    <t>致函-估价师1</t>
    <phoneticPr fontId="139" type="noConversion"/>
  </si>
  <si>
    <t>致函-估价师1-证号</t>
    <phoneticPr fontId="139" type="noConversion"/>
  </si>
  <si>
    <t>致函-估价师2</t>
    <phoneticPr fontId="139" type="noConversion"/>
  </si>
  <si>
    <t>致函-估价师2-证号</t>
    <phoneticPr fontId="139" type="noConversion"/>
  </si>
  <si>
    <t>致函-估价对象-现房-1</t>
    <phoneticPr fontId="139" type="noConversion"/>
  </si>
  <si>
    <t>致函-估价对象-现房-2</t>
  </si>
  <si>
    <t>致函-估价对象-在建-1</t>
    <phoneticPr fontId="139" type="noConversion"/>
  </si>
  <si>
    <t>致函-估价对象-在建-2</t>
  </si>
  <si>
    <t>致函-特别提示-优先受偿-5</t>
  </si>
  <si>
    <t>致函-特别提示-6</t>
  </si>
  <si>
    <t>致函-特别提示-7</t>
  </si>
  <si>
    <t>致函-估价结果-表2-地（名称）</t>
    <phoneticPr fontId="147" type="noConversion"/>
  </si>
  <si>
    <t>致函-估价结果-表2-建（名称）</t>
    <phoneticPr fontId="147" type="noConversion"/>
  </si>
  <si>
    <t>致函-估价结果-表2-土地面积（名称）</t>
    <phoneticPr fontId="147" type="noConversion"/>
  </si>
  <si>
    <t>致函-估价结果-表1-抵押（单）</t>
    <phoneticPr fontId="147" type="noConversion"/>
  </si>
  <si>
    <t>致函-估价结果-表1-已注（单）</t>
    <phoneticPr fontId="147" type="noConversion"/>
  </si>
  <si>
    <t>致函-估价结果-表1-已注（名称）</t>
    <phoneticPr fontId="147" type="noConversion"/>
  </si>
  <si>
    <t>致函-估价结果-表1-净值（名称）</t>
    <phoneticPr fontId="147" type="noConversion"/>
  </si>
  <si>
    <t>致函-估价结果-表2-建（大）</t>
  </si>
  <si>
    <t>致函-估价结果-表2-已注（名称）</t>
    <phoneticPr fontId="147" type="noConversion"/>
  </si>
  <si>
    <t>致函-估价结果-表2-净值（名称）</t>
    <phoneticPr fontId="147"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</si>
  <si>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</si>
  <si>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</si>
  <si>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</si>
  <si>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</si>
  <si>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</si>
  <si>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</si>
  <si>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7" type="noConversion"/>
  </si>
  <si>
    <t>致函-估价结果-表2-建筑面积（名称）</t>
    <phoneticPr fontId="147" type="noConversion"/>
  </si>
  <si>
    <t>致函-估价结果-表2-建筑面积</t>
    <phoneticPr fontId="147" type="noConversion"/>
  </si>
  <si>
    <t>致函-估价结果-表2-项目名称</t>
    <phoneticPr fontId="147" type="noConversion"/>
  </si>
  <si>
    <t>致函-估价结果-表1-抵押（名称）</t>
    <phoneticPr fontId="147" type="noConversion"/>
  </si>
  <si>
    <t>致函-估价结果-表1-抵押（总）</t>
    <phoneticPr fontId="147" type="noConversion"/>
  </si>
  <si>
    <t>致函-估价结果-表1-优先（总）</t>
    <phoneticPr fontId="147" type="noConversion"/>
  </si>
  <si>
    <t>致函-估价结果-表1-已注（总）</t>
    <phoneticPr fontId="147" type="noConversion"/>
  </si>
  <si>
    <t>致函-估价结果-表1-净值（总）</t>
    <phoneticPr fontId="147" type="noConversion"/>
  </si>
  <si>
    <t>致函-估价结果-表2-抵押（名称）</t>
    <phoneticPr fontId="139" type="noConversion"/>
  </si>
  <si>
    <t>致函-估价结果-表2-优先（名称）</t>
    <phoneticPr fontId="147"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</si>
  <si>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7" type="noConversion"/>
  </si>
  <si>
    <t>致函-其他专业人员</t>
    <phoneticPr fontId="139" type="noConversion"/>
  </si>
  <si>
    <t>价值时点</t>
    <phoneticPr fontId="3" type="noConversion"/>
  </si>
  <si>
    <t>开发期</t>
    <phoneticPr fontId="139" type="noConversion"/>
  </si>
  <si>
    <t>贷款利率</t>
    <phoneticPr fontId="3" type="noConversion"/>
  </si>
  <si>
    <t>贷款利率</t>
    <phoneticPr fontId="139" type="noConversion"/>
  </si>
  <si>
    <t>存款利率</t>
    <phoneticPr fontId="139"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</si>
  <si>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</si>
  <si>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</si>
  <si>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</si>
  <si>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</si>
  <si>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</si>
  <si>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</si>
  <si>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</si>
  <si>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</si>
  <si>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</si>
  <si>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</si>
  <si>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</si>
  <si>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</si>
  <si>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</si>
  <si>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</si>
  <si>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</si>
  <si>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</si>
  <si>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</si>
  <si>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</si>
  <si>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</si>
  <si>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</si>
  <si>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</si>
  <si>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</si>
  <si>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</si>
  <si>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</si>
  <si>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</si>
  <si>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</si>
  <si>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</si>
  <si>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</si>
  <si>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</si>
  <si>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</si>
  <si>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</si>
  <si>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</si>
  <si>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</si>
  <si>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</si>
  <si>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</si>
  <si>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</si>
  <si>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</si>
  <si>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</si>
  <si>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</si>
  <si>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</si>
  <si>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</si>
  <si>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</si>
  <si>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9" type="noConversion"/>
  </si>
  <si>
    <t>估价对象1（本表）</t>
    <phoneticPr fontId="139" type="noConversion"/>
  </si>
  <si>
    <t>抵押净值（万元）</t>
    <phoneticPr fontId="139" type="noConversion"/>
  </si>
  <si>
    <t>抵押价值（万元）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</si>
  <si>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</si>
  <si>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租金</t>
    <phoneticPr fontId="139" type="noConversion"/>
  </si>
  <si>
    <t>总投</t>
    <phoneticPr fontId="139" type="noConversion"/>
  </si>
  <si>
    <t>抵押价值</t>
  </si>
  <si>
    <t>市场价值</t>
  </si>
  <si>
    <t>地面单价（元/平方米）</t>
    <phoneticPr fontId="139" type="noConversion"/>
  </si>
  <si>
    <t>楼面单价（元/平方米）</t>
  </si>
  <si>
    <t>总价（万元）</t>
  </si>
  <si>
    <t>价值类型</t>
  </si>
  <si>
    <t>价值时点/估价期日</t>
    <phoneticPr fontId="139" type="noConversion"/>
  </si>
  <si>
    <t>抵押价值-已注销（万元）</t>
    <phoneticPr fontId="139" type="noConversion"/>
  </si>
  <si>
    <t>抵押价值-已注销</t>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</si>
  <si>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</si>
  <si>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</si>
  <si>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t>市场价值（万元）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</si>
  <si>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</si>
  <si>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项目名称</t>
    <phoneticPr fontId="139" type="noConversion"/>
  </si>
  <si>
    <t>重置成新价</t>
    <phoneticPr fontId="139"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</si>
  <si>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</si>
  <si>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</si>
  <si>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</si>
  <si>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</si>
  <si>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</si>
  <si>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</si>
  <si>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</si>
  <si>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</si>
  <si>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</si>
  <si>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</si>
  <si>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39" type="noConversion"/>
  </si>
  <si>
    <t>高限</t>
    <phoneticPr fontId="139" type="noConversion"/>
  </si>
  <si>
    <t>平均</t>
    <phoneticPr fontId="139"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</si>
  <si>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</si>
  <si>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</si>
  <si>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</si>
  <si>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</si>
  <si>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</si>
  <si>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</si>
  <si>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</si>
  <si>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</si>
  <si>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</si>
  <si>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</si>
  <si>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</si>
  <si>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</si>
  <si>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</si>
  <si>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</si>
  <si>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</si>
  <si>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</si>
  <si>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</si>
  <si>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</si>
  <si>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</si>
  <si>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</si>
  <si>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</si>
  <si>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</si>
  <si>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</si>
  <si>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</si>
  <si>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</si>
  <si>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</si>
  <si>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</si>
  <si>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</si>
  <si>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</si>
  <si>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</si>
  <si>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</si>
  <si>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</si>
  <si>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</si>
  <si>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</si>
  <si>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</si>
  <si>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</si>
  <si>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</si>
  <si>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</si>
  <si>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</si>
  <si>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</si>
  <si>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</si>
  <si>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</si>
  <si>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</si>
  <si>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</si>
  <si>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</si>
  <si>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</si>
  <si>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</si>
  <si>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</si>
  <si>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</si>
  <si>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</si>
  <si>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</si>
  <si>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</si>
  <si>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</si>
  <si>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</si>
  <si>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</si>
  <si>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</si>
  <si>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</si>
  <si>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</si>
  <si>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</si>
  <si>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</si>
  <si>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</si>
  <si>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</si>
  <si>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</si>
  <si>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</si>
  <si>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</si>
  <si>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</si>
  <si>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</si>
  <si>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</si>
  <si>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</si>
  <si>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</si>
  <si>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</si>
  <si>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</si>
  <si>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</si>
  <si>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</si>
  <si>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</si>
  <si>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</si>
  <si>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</si>
  <si>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</si>
  <si>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</si>
  <si>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</si>
  <si>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</si>
  <si>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</si>
  <si>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</si>
  <si>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</si>
  <si>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</si>
  <si>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</si>
  <si>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</si>
  <si>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</si>
  <si>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</si>
  <si>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</si>
  <si>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</si>
  <si>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</si>
  <si>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</si>
  <si>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</si>
  <si>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</si>
  <si>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</si>
  <si>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</si>
  <si>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</si>
  <si>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</si>
  <si>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</si>
  <si>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</si>
  <si>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</si>
  <si>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</si>
  <si>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</si>
  <si>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</si>
  <si>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</si>
  <si>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</si>
  <si>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</si>
  <si>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</si>
  <si>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</si>
  <si>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</si>
  <si>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</si>
  <si>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</si>
  <si>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</si>
  <si>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</si>
  <si>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</si>
  <si>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</si>
  <si>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</si>
  <si>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</si>
  <si>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</si>
  <si>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</si>
  <si>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</si>
  <si>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</si>
  <si>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</si>
  <si>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</si>
  <si>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</si>
  <si>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</si>
  <si>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</si>
  <si>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</si>
  <si>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</si>
  <si>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</si>
  <si>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</si>
  <si>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</si>
  <si>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</si>
  <si>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</si>
  <si>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</si>
  <si>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</si>
  <si>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</si>
  <si>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</si>
  <si>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</si>
  <si>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</si>
  <si>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</si>
  <si>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</si>
  <si>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</si>
  <si>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</si>
  <si>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</si>
  <si>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</si>
  <si>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</si>
  <si>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</si>
  <si>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</si>
  <si>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</si>
  <si>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</si>
  <si>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</si>
  <si>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</si>
  <si>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</si>
  <si>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</si>
  <si>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</si>
  <si>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</si>
  <si>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</si>
  <si>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</si>
  <si>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</si>
  <si>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</si>
  <si>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</si>
  <si>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</si>
  <si>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</si>
  <si>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</si>
  <si>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</si>
  <si>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</si>
  <si>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</si>
  <si>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</si>
  <si>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</si>
  <si>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</si>
  <si>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</si>
  <si>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</si>
  <si>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</si>
  <si>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</si>
  <si>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</si>
  <si>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</si>
  <si>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</si>
  <si>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</si>
  <si>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</si>
  <si>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</si>
  <si>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</si>
  <si>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</si>
  <si>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</si>
  <si>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</si>
  <si>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</si>
  <si>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</si>
  <si>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</si>
  <si>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</si>
  <si>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</si>
  <si>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</si>
  <si>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</si>
  <si>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</si>
  <si>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</si>
  <si>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</si>
  <si>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</si>
  <si>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</si>
  <si>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</si>
  <si>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</si>
  <si>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</si>
  <si>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</si>
  <si>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</si>
  <si>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</si>
  <si>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</si>
  <si>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</si>
  <si>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</si>
  <si>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2"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</si>
  <si>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</si>
  <si>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</si>
  <si>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</si>
  <si>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</si>
  <si>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</si>
  <si>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</si>
  <si>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</si>
  <si>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</si>
  <si>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</si>
  <si>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</si>
  <si>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</si>
  <si>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2"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</si>
  <si>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</si>
  <si>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</si>
  <si>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</si>
  <si>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</si>
  <si>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</si>
  <si>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</si>
  <si>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</si>
  <si>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</si>
  <si>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</si>
  <si>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</si>
  <si>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</si>
  <si>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</si>
  <si>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</si>
  <si>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</si>
  <si>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</si>
  <si>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</si>
  <si>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</si>
  <si>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</si>
  <si>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</si>
  <si>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</si>
  <si>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</si>
  <si>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</si>
  <si>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</si>
  <si>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</si>
  <si>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</si>
  <si>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</si>
  <si>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</si>
  <si>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</si>
  <si>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</si>
  <si>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</si>
  <si>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</si>
  <si>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</si>
  <si>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</si>
  <si>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</si>
  <si>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</si>
  <si>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</si>
  <si>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</si>
  <si>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</si>
  <si>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</si>
  <si>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</si>
  <si>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</si>
  <si>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</si>
  <si>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</si>
  <si>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</si>
  <si>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</si>
  <si>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</si>
  <si>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</si>
  <si>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</si>
  <si>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</si>
  <si>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</si>
  <si>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</si>
  <si>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</si>
  <si>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</si>
  <si>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</si>
  <si>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</si>
  <si>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</si>
  <si>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</si>
  <si>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</si>
  <si>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</si>
  <si>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</si>
  <si>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</si>
  <si>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</si>
  <si>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</si>
  <si>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</si>
  <si>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</si>
  <si>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</si>
  <si>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</si>
  <si>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</si>
  <si>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</si>
  <si>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</si>
  <si>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</si>
  <si>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</si>
  <si>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</si>
  <si>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</si>
  <si>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</si>
  <si>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</si>
  <si>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</si>
  <si>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</si>
  <si>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</si>
  <si>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</si>
  <si>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</si>
  <si>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</si>
  <si>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</si>
  <si>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</si>
  <si>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</si>
  <si>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</si>
  <si>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</si>
  <si>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</si>
  <si>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</si>
  <si>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</si>
  <si>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</si>
  <si>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</si>
  <si>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</si>
  <si>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</si>
  <si>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</si>
  <si>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</si>
  <si>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</si>
  <si>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</si>
  <si>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</si>
  <si>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</si>
  <si>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</si>
  <si>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</si>
  <si>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</si>
  <si>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</si>
  <si>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</si>
  <si>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</si>
  <si>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</si>
  <si>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</si>
  <si>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</si>
  <si>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</si>
  <si>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</si>
  <si>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</si>
  <si>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</si>
  <si>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</si>
  <si>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</si>
  <si>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</si>
  <si>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</si>
  <si>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</si>
  <si>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</si>
  <si>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</si>
  <si>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</si>
  <si>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</si>
  <si>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</si>
  <si>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</si>
  <si>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</si>
  <si>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</si>
  <si>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</si>
  <si>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</si>
  <si>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</si>
  <si>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</si>
  <si>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</si>
  <si>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</si>
  <si>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</si>
  <si>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</si>
  <si>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</si>
  <si>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</si>
  <si>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</si>
  <si>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</si>
  <si>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</si>
  <si>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</si>
  <si>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</si>
  <si>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</si>
  <si>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</si>
  <si>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</si>
  <si>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</si>
  <si>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</si>
  <si>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</si>
  <si>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</si>
  <si>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</si>
  <si>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</si>
  <si>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</si>
  <si>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</si>
  <si>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</si>
  <si>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</si>
  <si>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</si>
  <si>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</si>
  <si>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</si>
  <si>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</si>
  <si>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</si>
  <si>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</si>
  <si>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</si>
  <si>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</si>
  <si>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</si>
  <si>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</si>
  <si>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</si>
  <si>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</si>
  <si>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</si>
  <si>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</si>
  <si>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</si>
  <si>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</si>
  <si>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</si>
  <si>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</si>
  <si>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</si>
  <si>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</si>
  <si>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</si>
  <si>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</si>
  <si>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</si>
  <si>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</si>
  <si>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</si>
  <si>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</si>
  <si>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</si>
  <si>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</si>
  <si>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</si>
  <si>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</si>
  <si>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</si>
  <si>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</si>
  <si>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</si>
  <si>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</si>
  <si>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</si>
  <si>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</si>
  <si>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</si>
  <si>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</si>
  <si>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</si>
  <si>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</si>
  <si>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</si>
  <si>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</si>
  <si>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</si>
  <si>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</si>
  <si>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</si>
  <si>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</si>
  <si>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</si>
  <si>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</si>
  <si>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</si>
  <si>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</si>
  <si>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</si>
  <si>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</si>
  <si>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</si>
  <si>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</si>
  <si>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</si>
  <si>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</si>
  <si>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</si>
  <si>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</si>
  <si>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</si>
  <si>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</si>
  <si>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</si>
  <si>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</si>
  <si>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</si>
  <si>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</si>
  <si>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</si>
  <si>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</si>
  <si>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</si>
  <si>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</si>
  <si>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</si>
  <si>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</si>
  <si>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</si>
  <si>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</si>
  <si>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</si>
  <si>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</si>
  <si>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</si>
  <si>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</si>
  <si>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</si>
  <si>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</si>
  <si>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</si>
  <si>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</si>
  <si>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</si>
  <si>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</si>
  <si>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</si>
  <si>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</si>
  <si>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</si>
  <si>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</si>
  <si>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</si>
  <si>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</si>
  <si>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</si>
  <si>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</si>
  <si>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</si>
  <si>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</si>
  <si>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</si>
  <si>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</si>
  <si>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</si>
  <si>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</si>
  <si>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</si>
  <si>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</si>
  <si>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</si>
  <si>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</si>
  <si>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</si>
  <si>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</si>
  <si>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</si>
  <si>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</si>
  <si>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</si>
  <si>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</si>
  <si>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</si>
  <si>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</si>
  <si>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</si>
  <si>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</si>
  <si>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</si>
  <si>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</si>
  <si>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</si>
  <si>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</si>
  <si>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</si>
  <si>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</si>
  <si>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</si>
  <si>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</si>
  <si>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</si>
  <si>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</si>
  <si>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</si>
  <si>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</si>
  <si>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</si>
  <si>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</si>
  <si>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</si>
  <si>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</si>
  <si>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</si>
  <si>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</si>
  <si>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</si>
  <si>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</si>
  <si>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</si>
  <si>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</si>
  <si>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</si>
  <si>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</si>
  <si>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</si>
  <si>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</si>
  <si>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</si>
  <si>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</si>
  <si>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</si>
  <si>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</si>
  <si>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</si>
  <si>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</si>
  <si>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</si>
  <si>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</si>
  <si>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</si>
  <si>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</si>
  <si>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</si>
  <si>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</si>
  <si>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</si>
  <si>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</si>
  <si>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</si>
  <si>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</si>
  <si>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</si>
  <si>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</si>
  <si>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</si>
  <si>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</si>
  <si>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</si>
  <si>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</si>
  <si>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</si>
  <si>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</si>
  <si>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</si>
  <si>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</si>
  <si>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</si>
  <si>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</si>
  <si>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</si>
  <si>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</si>
  <si>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</si>
  <si>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</si>
  <si>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</si>
  <si>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</si>
  <si>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</si>
  <si>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</si>
  <si>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</si>
  <si>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</si>
  <si>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</si>
  <si>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</si>
  <si>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</si>
  <si>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</si>
  <si>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</si>
  <si>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</si>
  <si>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</si>
  <si>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</si>
  <si>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</si>
  <si>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</si>
  <si>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</si>
  <si>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</si>
  <si>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</si>
  <si>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</si>
  <si>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</si>
  <si>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</si>
  <si>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</si>
  <si>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</si>
  <si>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</si>
  <si>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</si>
  <si>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</si>
  <si>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</si>
  <si>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</si>
  <si>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</si>
  <si>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</si>
  <si>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</si>
  <si>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</si>
  <si>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</si>
  <si>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</si>
  <si>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</si>
  <si>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</si>
  <si>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</si>
  <si>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</si>
  <si>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</si>
  <si>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</si>
  <si>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</si>
  <si>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</si>
  <si>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</si>
  <si>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</si>
  <si>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</si>
  <si>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</si>
  <si>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</si>
  <si>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</si>
  <si>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</si>
  <si>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</si>
  <si>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</si>
  <si>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</si>
  <si>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</si>
  <si>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</si>
  <si>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</si>
  <si>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</si>
  <si>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</si>
  <si>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</si>
  <si>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</si>
  <si>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</si>
  <si>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</si>
  <si>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</si>
  <si>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</si>
  <si>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</si>
  <si>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</si>
  <si>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</si>
  <si>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</si>
  <si>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</si>
  <si>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</si>
  <si>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</si>
  <si>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</si>
  <si>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</si>
  <si>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</si>
  <si>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</si>
  <si>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</si>
  <si>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</si>
  <si>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</si>
  <si>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</si>
  <si>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</si>
  <si>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</si>
  <si>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</si>
  <si>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</si>
  <si>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</si>
  <si>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</si>
  <si>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</si>
  <si>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</si>
  <si>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</si>
  <si>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</si>
  <si>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</si>
  <si>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</si>
  <si>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</si>
  <si>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</si>
  <si>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</si>
  <si>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</si>
  <si>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</si>
  <si>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</si>
  <si>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</si>
  <si>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</si>
  <si>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</si>
  <si>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</si>
  <si>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</si>
  <si>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</si>
  <si>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</si>
  <si>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</si>
  <si>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</si>
  <si>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</si>
  <si>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</si>
  <si>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</si>
  <si>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</si>
  <si>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</si>
  <si>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</si>
  <si>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</si>
  <si>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</si>
  <si>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</si>
  <si>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</si>
  <si>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</si>
  <si>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</si>
  <si>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</si>
  <si>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</si>
  <si>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</si>
  <si>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</si>
  <si>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</si>
  <si>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</si>
  <si>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</si>
  <si>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</si>
  <si>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</si>
  <si>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</si>
  <si>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</si>
  <si>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</si>
  <si>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</si>
  <si>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</si>
  <si>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</si>
  <si>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</si>
  <si>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</si>
  <si>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</si>
  <si>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</si>
  <si>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</si>
  <si>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</si>
  <si>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</si>
  <si>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</si>
  <si>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</si>
  <si>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</si>
  <si>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</si>
  <si>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</si>
  <si>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</si>
  <si>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</si>
  <si>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</si>
  <si>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</si>
  <si>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</si>
  <si>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</si>
  <si>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</si>
  <si>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4"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</si>
  <si>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</si>
  <si>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</si>
  <si>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</si>
  <si>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</si>
  <si>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</si>
  <si>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</si>
  <si>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</si>
  <si>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</si>
  <si>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</si>
  <si>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</si>
  <si>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</si>
  <si>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</si>
  <si>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</si>
  <si>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</si>
  <si>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</si>
  <si>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</si>
  <si>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</si>
  <si>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</si>
  <si>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</si>
  <si>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</si>
  <si>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</si>
  <si>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</si>
  <si>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</si>
  <si>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</si>
  <si>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</si>
  <si>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</si>
  <si>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</si>
  <si>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</si>
  <si>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</si>
  <si>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</si>
  <si>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</si>
  <si>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</si>
  <si>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</si>
  <si>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</si>
  <si>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</si>
  <si>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</si>
  <si>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</si>
  <si>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</si>
  <si>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</si>
  <si>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</si>
  <si>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</si>
  <si>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</si>
  <si>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</si>
  <si>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</si>
  <si>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</si>
  <si>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</si>
  <si>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</si>
  <si>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</si>
  <si>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</si>
  <si>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</si>
  <si>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</si>
  <si>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</si>
  <si>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</si>
  <si>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</si>
  <si>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</si>
  <si>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</si>
  <si>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</si>
  <si>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</si>
  <si>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</si>
  <si>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</si>
  <si>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</si>
  <si>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</si>
  <si>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</si>
  <si>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</si>
  <si>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</si>
  <si>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</si>
  <si>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</si>
  <si>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</si>
  <si>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</si>
  <si>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</si>
  <si>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</si>
  <si>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</si>
  <si>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</si>
  <si>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</si>
  <si>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</si>
  <si>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</si>
  <si>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</si>
  <si>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</si>
  <si>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</si>
  <si>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</si>
  <si>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</si>
  <si>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</si>
  <si>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</si>
  <si>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</si>
  <si>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</si>
  <si>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</si>
  <si>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</si>
  <si>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</si>
  <si>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</si>
  <si>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</si>
  <si>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</si>
  <si>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</si>
  <si>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</si>
  <si>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</si>
  <si>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</si>
  <si>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</si>
  <si>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</si>
  <si>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</si>
  <si>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</si>
  <si>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</si>
  <si>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</si>
  <si>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</si>
  <si>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</si>
  <si>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</si>
  <si>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9"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</si>
  <si>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</si>
  <si>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</si>
  <si>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</si>
  <si>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</si>
  <si>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</si>
  <si>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</si>
  <si>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</si>
  <si>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</si>
  <si>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</si>
  <si>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</si>
  <si>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</si>
  <si>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</si>
  <si>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</si>
  <si>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</si>
  <si>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</si>
  <si>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</si>
  <si>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</si>
  <si>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</si>
  <si>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</si>
  <si>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</si>
  <si>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</si>
  <si>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</si>
  <si>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</si>
  <si>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</si>
  <si>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</si>
  <si>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</si>
  <si>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</si>
  <si>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</si>
  <si>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</si>
  <si>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</si>
  <si>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</si>
  <si>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</si>
  <si>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</si>
  <si>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</si>
  <si>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</si>
  <si>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</si>
  <si>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</si>
  <si>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</si>
  <si>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</si>
  <si>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</si>
  <si>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</si>
  <si>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</si>
  <si>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</si>
  <si>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</si>
  <si>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</si>
  <si>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</si>
  <si>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</si>
  <si>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</si>
  <si>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</si>
  <si>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</si>
  <si>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</si>
  <si>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</si>
  <si>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</si>
  <si>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</si>
  <si>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</si>
  <si>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</si>
  <si>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</si>
  <si>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</si>
  <si>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</si>
  <si>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</si>
  <si>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</si>
  <si>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</si>
  <si>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</si>
  <si>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</si>
  <si>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</si>
  <si>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</si>
  <si>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</si>
  <si>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</si>
  <si>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</si>
  <si>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</si>
  <si>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</si>
  <si>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</si>
  <si>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</si>
  <si>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</si>
  <si>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</si>
  <si>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</si>
  <si>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</si>
  <si>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</si>
  <si>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</si>
  <si>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</si>
  <si>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</si>
  <si>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</si>
  <si>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</si>
  <si>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9"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</si>
  <si>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</si>
  <si>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</si>
  <si>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</si>
  <si>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</si>
  <si>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</si>
  <si>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</si>
  <si>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</si>
  <si>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</si>
  <si>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</si>
  <si>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</si>
  <si>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</si>
  <si>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</si>
  <si>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</si>
  <si>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</si>
  <si>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</si>
  <si>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</si>
  <si>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</si>
  <si>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</si>
  <si>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</si>
  <si>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</si>
  <si>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</si>
  <si>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</si>
  <si>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</si>
  <si>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</si>
  <si>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</si>
  <si>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</si>
  <si>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</si>
  <si>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</si>
  <si>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</si>
  <si>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</si>
  <si>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</si>
  <si>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</si>
  <si>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</si>
  <si>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</si>
  <si>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</si>
  <si>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</si>
  <si>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</si>
  <si>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</si>
  <si>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</si>
  <si>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</si>
  <si>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</si>
  <si>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</si>
  <si>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</si>
  <si>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</si>
  <si>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</si>
  <si>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</si>
  <si>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</si>
  <si>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</si>
  <si>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</si>
  <si>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</si>
  <si>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</si>
  <si>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</si>
  <si>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</si>
  <si>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</si>
  <si>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</si>
  <si>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</si>
  <si>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</si>
  <si>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</si>
  <si>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</si>
  <si>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</si>
  <si>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</si>
  <si>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</si>
  <si>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</si>
  <si>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</si>
  <si>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</si>
  <si>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</si>
  <si>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</si>
  <si>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</si>
  <si>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</si>
  <si>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</si>
  <si>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</si>
  <si>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</si>
  <si>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</si>
  <si>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</si>
  <si>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</si>
  <si>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</si>
  <si>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</si>
  <si>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</si>
  <si>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</si>
  <si>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</si>
  <si>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</si>
  <si>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</si>
  <si>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</si>
  <si>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</si>
  <si>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</si>
  <si>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</si>
  <si>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</si>
  <si>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</si>
  <si>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</si>
  <si>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</si>
  <si>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</si>
  <si>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9" type="noConversion"/>
  </si>
  <si>
    <r>
      <rPr>
        <b/>
        <sz val="11"/>
        <color theme="1"/>
        <rFont val="宋体"/>
        <family val="3"/>
        <charset val="134"/>
      </rPr>
      <t>本次评估所采用的收益法</t>
    </r>
    <phoneticPr fontId="139" type="noConversion"/>
  </si>
  <si>
    <r>
      <rPr>
        <b/>
        <sz val="11"/>
        <color theme="1"/>
        <rFont val="宋体"/>
        <family val="3"/>
        <charset val="134"/>
      </rPr>
      <t>估价结果</t>
    </r>
    <phoneticPr fontId="139" type="noConversion"/>
  </si>
  <si>
    <r>
      <rPr>
        <b/>
        <sz val="11"/>
        <color theme="1"/>
        <rFont val="宋体"/>
        <family val="3"/>
        <charset val="134"/>
      </rPr>
      <t>建筑面积</t>
    </r>
    <phoneticPr fontId="139" type="noConversion"/>
  </si>
  <si>
    <r>
      <rPr>
        <sz val="11"/>
        <color theme="1"/>
        <rFont val="宋体"/>
        <family val="3"/>
        <charset val="134"/>
      </rPr>
      <t>是否参与计算</t>
    </r>
    <phoneticPr fontId="139"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</si>
  <si>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</si>
  <si>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</si>
  <si>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</si>
  <si>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</si>
  <si>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</si>
  <si>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</si>
  <si>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</si>
  <si>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</si>
  <si>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</si>
  <si>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</si>
  <si>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</si>
  <si>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</si>
  <si>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</si>
  <si>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</si>
  <si>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</si>
  <si>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</si>
  <si>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</si>
  <si>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</si>
  <si>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</si>
  <si>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</si>
  <si>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</si>
  <si>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</si>
  <si>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</si>
  <si>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</si>
  <si>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</si>
  <si>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</si>
  <si>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</si>
  <si>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</si>
  <si>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</si>
  <si>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</si>
  <si>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</si>
  <si>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</si>
  <si>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</si>
  <si>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</si>
  <si>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</si>
  <si>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</si>
  <si>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</si>
  <si>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</si>
  <si>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</si>
  <si>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</si>
  <si>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</si>
  <si>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</si>
  <si>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</si>
  <si>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</si>
  <si>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</si>
  <si>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</si>
  <si>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</si>
  <si>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</si>
  <si>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</si>
  <si>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</si>
  <si>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</si>
  <si>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</si>
  <si>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</si>
  <si>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</si>
  <si>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</si>
  <si>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</si>
  <si>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</si>
  <si>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</si>
  <si>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</si>
  <si>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</si>
  <si>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</si>
  <si>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</si>
  <si>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</si>
  <si>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</si>
  <si>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</si>
  <si>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</si>
  <si>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</si>
  <si>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</si>
  <si>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</si>
  <si>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</si>
  <si>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</si>
  <si>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</si>
  <si>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</si>
  <si>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</si>
  <si>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</si>
  <si>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</si>
  <si>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</si>
  <si>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</si>
  <si>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</si>
  <si>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</si>
  <si>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</si>
  <si>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</si>
  <si>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</si>
  <si>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</si>
  <si>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</si>
  <si>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</si>
  <si>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</si>
  <si>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</si>
  <si>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</si>
  <si>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</si>
  <si>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</si>
  <si>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</si>
  <si>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</si>
  <si>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</si>
  <si>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</si>
  <si>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</si>
  <si>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</si>
  <si>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</si>
  <si>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</si>
  <si>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</si>
  <si>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</si>
  <si>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</si>
  <si>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</si>
  <si>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</si>
  <si>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</si>
  <si>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</si>
  <si>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</si>
  <si>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</si>
  <si>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</si>
  <si>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</si>
  <si>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</si>
  <si>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</si>
  <si>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</si>
  <si>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</si>
  <si>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</si>
  <si>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</si>
  <si>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</si>
  <si>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</si>
  <si>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</si>
  <si>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</si>
  <si>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</si>
  <si>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</si>
  <si>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</si>
  <si>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</si>
  <si>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</si>
  <si>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</si>
  <si>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</si>
  <si>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</si>
  <si>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</si>
  <si>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</si>
  <si>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</si>
  <si>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</si>
  <si>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</si>
  <si>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</si>
  <si>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</si>
  <si>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</si>
  <si>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</si>
  <si>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</si>
  <si>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</si>
  <si>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</si>
  <si>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</si>
  <si>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</si>
  <si>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</si>
  <si>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</si>
  <si>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</si>
  <si>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</si>
  <si>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</si>
  <si>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</si>
  <si>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</si>
  <si>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</si>
  <si>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</si>
  <si>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</si>
  <si>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</si>
  <si>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</si>
  <si>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</si>
  <si>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</si>
  <si>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</si>
  <si>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</si>
  <si>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</si>
  <si>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</si>
  <si>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</si>
  <si>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</si>
  <si>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</si>
  <si>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</si>
  <si>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</si>
  <si>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</si>
  <si>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</si>
  <si>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</si>
  <si>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</si>
  <si>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</si>
  <si>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</si>
  <si>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</si>
  <si>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</si>
  <si>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</si>
  <si>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</si>
  <si>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</si>
  <si>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</si>
  <si>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</si>
  <si>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</si>
  <si>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</si>
  <si>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</si>
  <si>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</si>
  <si>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</si>
  <si>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</si>
  <si>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</si>
  <si>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</si>
  <si>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</si>
  <si>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</si>
  <si>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</si>
  <si>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</si>
  <si>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</si>
  <si>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</si>
  <si>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</si>
  <si>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</si>
  <si>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</si>
  <si>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</si>
  <si>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</si>
  <si>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</si>
  <si>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</si>
  <si>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</si>
  <si>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</si>
  <si>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</si>
  <si>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</si>
  <si>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</si>
  <si>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</si>
  <si>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</si>
  <si>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</si>
  <si>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</si>
  <si>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</si>
  <si>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</si>
  <si>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</si>
  <si>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</si>
  <si>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</si>
  <si>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</si>
  <si>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</si>
  <si>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</si>
  <si>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</si>
  <si>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</si>
  <si>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</si>
  <si>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</si>
  <si>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</si>
  <si>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</si>
  <si>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</si>
  <si>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</si>
  <si>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</si>
  <si>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</si>
  <si>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</si>
  <si>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</si>
  <si>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</si>
  <si>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</si>
  <si>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</si>
  <si>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</si>
  <si>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</si>
  <si>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</si>
  <si>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</si>
  <si>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</si>
  <si>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</si>
  <si>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</si>
  <si>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</si>
  <si>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</si>
  <si>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</si>
  <si>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</si>
  <si>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</si>
  <si>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</si>
  <si>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</si>
  <si>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</si>
  <si>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</si>
  <si>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</si>
  <si>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</si>
  <si>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</si>
  <si>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</si>
  <si>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</si>
  <si>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</si>
  <si>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</si>
  <si>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</si>
  <si>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</si>
  <si>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</si>
  <si>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</si>
  <si>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</si>
  <si>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</si>
  <si>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</si>
  <si>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</si>
  <si>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</si>
  <si>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</si>
  <si>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</si>
  <si>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</si>
  <si>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</si>
  <si>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</si>
  <si>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</si>
  <si>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</si>
  <si>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</si>
  <si>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</si>
  <si>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</si>
  <si>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</si>
  <si>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</si>
  <si>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</si>
  <si>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</si>
  <si>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</si>
  <si>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</si>
  <si>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</si>
  <si>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</si>
  <si>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</si>
  <si>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</si>
  <si>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</si>
  <si>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</si>
  <si>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</si>
  <si>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</si>
  <si>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</si>
  <si>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</si>
  <si>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</si>
  <si>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</si>
  <si>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</si>
  <si>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</si>
  <si>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</si>
  <si>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</si>
  <si>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</si>
  <si>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</si>
  <si>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</si>
  <si>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</si>
  <si>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</si>
  <si>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</si>
  <si>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</si>
  <si>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</si>
  <si>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</si>
  <si>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</si>
  <si>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</si>
  <si>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</si>
  <si>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</si>
  <si>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</si>
  <si>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</si>
  <si>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</si>
  <si>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</si>
  <si>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</si>
  <si>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</si>
  <si>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</si>
  <si>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</si>
  <si>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</si>
  <si>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</si>
  <si>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</si>
  <si>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</si>
  <si>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</si>
  <si>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</si>
  <si>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</si>
  <si>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</si>
  <si>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</si>
  <si>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</si>
  <si>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</si>
  <si>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</si>
  <si>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</si>
  <si>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</si>
  <si>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</si>
  <si>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</si>
  <si>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</si>
  <si>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</si>
  <si>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</si>
  <si>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</si>
  <si>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</si>
  <si>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</si>
  <si>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</si>
  <si>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</si>
  <si>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</si>
  <si>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</si>
  <si>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</si>
  <si>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</si>
  <si>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</si>
  <si>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</si>
  <si>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</si>
  <si>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</si>
  <si>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</si>
  <si>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</si>
  <si>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</si>
  <si>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</si>
  <si>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</si>
  <si>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</si>
  <si>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</si>
  <si>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</si>
  <si>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</si>
  <si>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</si>
  <si>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</si>
  <si>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</si>
  <si>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</si>
  <si>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</si>
  <si>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</si>
  <si>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</si>
  <si>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</si>
  <si>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</si>
  <si>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</si>
  <si>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</si>
  <si>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</si>
  <si>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</si>
  <si>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</si>
  <si>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</si>
  <si>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</si>
  <si>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</si>
  <si>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</si>
  <si>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</si>
  <si>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</si>
  <si>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</si>
  <si>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</si>
  <si>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</si>
  <si>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</si>
  <si>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</si>
  <si>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</si>
  <si>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</si>
  <si>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</si>
  <si>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</si>
  <si>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</si>
  <si>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</si>
  <si>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</si>
  <si>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</si>
  <si>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</si>
  <si>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</si>
  <si>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</si>
  <si>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</si>
  <si>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</si>
  <si>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</si>
  <si>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</si>
  <si>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</si>
  <si>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</si>
  <si>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</si>
  <si>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</si>
  <si>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</si>
  <si>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</si>
  <si>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</si>
  <si>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</si>
  <si>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</si>
  <si>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</si>
  <si>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</si>
  <si>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</si>
  <si>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</si>
  <si>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</si>
  <si>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</si>
  <si>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</si>
  <si>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</si>
  <si>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</si>
  <si>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</si>
  <si>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</si>
  <si>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</si>
  <si>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</si>
  <si>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</si>
  <si>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</si>
  <si>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</si>
  <si>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</si>
  <si>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</si>
  <si>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</si>
  <si>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</si>
  <si>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</si>
  <si>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</si>
  <si>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</si>
  <si>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</si>
  <si>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</si>
  <si>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</si>
  <si>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</si>
  <si>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</si>
  <si>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</si>
  <si>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</si>
  <si>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</si>
  <si>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</si>
  <si>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</si>
  <si>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</si>
  <si>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</si>
  <si>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</si>
  <si>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</si>
  <si>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</si>
  <si>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</si>
  <si>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</si>
  <si>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</si>
  <si>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</si>
  <si>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</si>
  <si>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</si>
  <si>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</si>
  <si>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</si>
  <si>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</si>
  <si>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</si>
  <si>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</si>
  <si>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</si>
  <si>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</si>
  <si>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</si>
  <si>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</si>
  <si>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</si>
  <si>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</si>
  <si>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</si>
  <si>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</si>
  <si>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</si>
  <si>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</si>
  <si>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</si>
  <si>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</si>
  <si>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</si>
  <si>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</si>
  <si>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</si>
  <si>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</si>
  <si>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9"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</si>
  <si>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</si>
  <si>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</si>
  <si>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</si>
  <si>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</si>
  <si>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</si>
  <si>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</si>
  <si>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</si>
  <si>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</si>
  <si>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</si>
  <si>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</si>
  <si>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</si>
  <si>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</si>
  <si>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</si>
  <si>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</si>
  <si>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</si>
  <si>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</si>
  <si>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</si>
  <si>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</si>
  <si>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</si>
  <si>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</si>
  <si>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</si>
  <si>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</si>
  <si>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</si>
  <si>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</si>
  <si>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</si>
  <si>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</si>
  <si>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</si>
  <si>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</si>
  <si>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</si>
  <si>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</si>
  <si>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</si>
  <si>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</si>
  <si>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</si>
  <si>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</si>
  <si>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</si>
  <si>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</si>
  <si>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</si>
  <si>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9"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</si>
  <si>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</si>
  <si>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</si>
  <si>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</si>
  <si>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</si>
  <si>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</si>
  <si>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</si>
  <si>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</si>
  <si>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</si>
  <si>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</si>
  <si>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</si>
  <si>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</si>
  <si>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</si>
  <si>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</si>
  <si>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</si>
  <si>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</si>
  <si>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</si>
  <si>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</si>
  <si>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</si>
  <si>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</si>
  <si>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</si>
  <si>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</si>
  <si>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</si>
  <si>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</si>
  <si>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</si>
  <si>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</si>
  <si>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</si>
  <si>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</si>
  <si>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</si>
  <si>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</si>
  <si>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</si>
  <si>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</si>
  <si>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</si>
  <si>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</si>
  <si>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</si>
  <si>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</si>
  <si>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</si>
  <si>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</si>
  <si>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</si>
  <si>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</si>
  <si>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</si>
  <si>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</si>
  <si>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</si>
  <si>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</si>
  <si>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</si>
  <si>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</si>
  <si>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</si>
  <si>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</si>
  <si>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</si>
  <si>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</si>
  <si>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</si>
  <si>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</si>
  <si>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</si>
  <si>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</si>
  <si>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</si>
  <si>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</si>
  <si>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</si>
  <si>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</si>
  <si>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</si>
  <si>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</si>
  <si>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</si>
  <si>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</si>
  <si>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</si>
  <si>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</si>
  <si>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</si>
  <si>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</si>
  <si>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</si>
  <si>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</si>
  <si>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</si>
  <si>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</si>
  <si>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</si>
  <si>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</si>
  <si>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</si>
  <si>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</si>
  <si>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</si>
  <si>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</si>
  <si>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</si>
  <si>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</si>
  <si>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</si>
  <si>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</si>
  <si>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</si>
  <si>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</si>
  <si>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</si>
  <si>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</si>
  <si>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</si>
  <si>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</si>
  <si>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</si>
  <si>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</si>
  <si>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</si>
  <si>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</si>
  <si>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</si>
  <si>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</si>
  <si>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</si>
  <si>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</si>
  <si>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</si>
  <si>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</si>
  <si>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</si>
  <si>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</si>
  <si>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</si>
  <si>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</si>
  <si>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</si>
  <si>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</si>
  <si>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</si>
  <si>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</si>
  <si>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</si>
  <si>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</si>
  <si>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</si>
  <si>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</si>
  <si>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</si>
  <si>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</si>
  <si>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</si>
  <si>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</si>
  <si>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</si>
  <si>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</si>
  <si>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</si>
  <si>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</si>
  <si>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</si>
  <si>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</si>
  <si>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</si>
  <si>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</si>
  <si>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</si>
  <si>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</si>
  <si>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</si>
  <si>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</si>
  <si>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</si>
  <si>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</si>
  <si>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</si>
  <si>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</si>
  <si>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</si>
  <si>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</si>
  <si>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</si>
  <si>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</si>
  <si>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</si>
  <si>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</si>
  <si>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</si>
  <si>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</si>
  <si>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</si>
  <si>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</si>
  <si>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</si>
  <si>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</si>
  <si>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</si>
  <si>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</si>
  <si>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</si>
  <si>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</si>
  <si>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</si>
  <si>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</si>
  <si>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</si>
  <si>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</si>
  <si>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</si>
  <si>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</si>
  <si>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</si>
  <si>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</si>
  <si>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</si>
  <si>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</si>
  <si>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</si>
  <si>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</si>
  <si>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</si>
  <si>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</si>
  <si>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</si>
  <si>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</si>
  <si>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</si>
  <si>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</si>
  <si>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</si>
  <si>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</si>
  <si>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</si>
  <si>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</si>
  <si>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</si>
  <si>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</si>
  <si>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</si>
  <si>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</si>
  <si>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</si>
  <si>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</si>
  <si>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</si>
  <si>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</si>
  <si>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</si>
  <si>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</si>
  <si>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</si>
  <si>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</si>
  <si>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</si>
  <si>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</si>
  <si>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</si>
  <si>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</si>
  <si>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</si>
  <si>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</si>
  <si>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</si>
  <si>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</si>
  <si>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</si>
  <si>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</si>
  <si>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</si>
  <si>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</si>
  <si>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</si>
  <si>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</si>
  <si>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</si>
  <si>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</si>
  <si>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</si>
  <si>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</si>
  <si>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</si>
  <si>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</si>
  <si>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</si>
  <si>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</si>
  <si>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</si>
  <si>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</si>
  <si>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</si>
  <si>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</si>
  <si>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</si>
  <si>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</si>
  <si>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</si>
  <si>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</si>
  <si>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</si>
  <si>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</si>
  <si>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</si>
  <si>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</si>
  <si>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</si>
  <si>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</si>
  <si>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</si>
  <si>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</si>
  <si>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</si>
  <si>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</si>
  <si>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</si>
  <si>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</si>
  <si>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</si>
  <si>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</si>
  <si>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</si>
  <si>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</si>
  <si>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</si>
  <si>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</si>
  <si>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</si>
  <si>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</si>
  <si>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</si>
  <si>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</si>
  <si>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</si>
  <si>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</si>
  <si>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</si>
  <si>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</si>
  <si>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</si>
  <si>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</si>
  <si>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</si>
  <si>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</si>
  <si>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</si>
  <si>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</si>
  <si>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</si>
  <si>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</si>
  <si>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</si>
  <si>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</si>
  <si>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</si>
  <si>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</si>
  <si>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</si>
  <si>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</si>
  <si>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</si>
  <si>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</si>
  <si>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</si>
  <si>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</si>
  <si>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</si>
  <si>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</si>
  <si>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</si>
  <si>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</si>
  <si>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</si>
  <si>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</si>
  <si>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</si>
  <si>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</si>
  <si>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</si>
  <si>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</si>
  <si>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</si>
  <si>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</si>
  <si>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</si>
  <si>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</si>
  <si>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</si>
  <si>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</si>
  <si>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</si>
  <si>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</si>
  <si>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</si>
  <si>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</si>
  <si>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</si>
  <si>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</si>
  <si>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</si>
  <si>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</si>
  <si>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</si>
  <si>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</si>
  <si>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</si>
  <si>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</si>
  <si>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</si>
  <si>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</si>
  <si>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</si>
  <si>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</si>
  <si>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</si>
  <si>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</si>
  <si>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</si>
  <si>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</si>
  <si>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</si>
  <si>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</si>
  <si>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</si>
  <si>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</si>
  <si>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</si>
  <si>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</si>
  <si>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</si>
  <si>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</si>
  <si>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</si>
  <si>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</si>
  <si>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</si>
  <si>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</si>
  <si>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</si>
  <si>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</si>
  <si>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</si>
  <si>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</si>
  <si>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</si>
  <si>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</si>
  <si>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</si>
  <si>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</si>
  <si>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</si>
  <si>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</si>
  <si>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</si>
  <si>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</si>
  <si>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</si>
  <si>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</si>
  <si>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</si>
  <si>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</si>
  <si>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</si>
  <si>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</si>
  <si>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</si>
  <si>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39" type="noConversion"/>
  </si>
  <si>
    <t>抵押</t>
  </si>
  <si>
    <t>房地产抵押价值</t>
  </si>
  <si>
    <t>北京市</t>
  </si>
  <si>
    <t>企业</t>
  </si>
  <si>
    <t>出让</t>
  </si>
  <si>
    <t>吴薇</t>
  </si>
  <si>
    <t>郑燚</t>
  </si>
  <si>
    <t>Ⅸ-永乐开发区</t>
  </si>
  <si>
    <t>是</t>
  </si>
  <si>
    <t>地上</t>
  </si>
  <si>
    <t>工业用房</t>
  </si>
  <si>
    <t>工业用房</t>
    <phoneticPr fontId="7" type="noConversion"/>
  </si>
  <si>
    <t>成新度</t>
  </si>
  <si>
    <t>收益法</t>
  </si>
  <si>
    <t>利息：取LPR加浮动点数</t>
  </si>
  <si>
    <t>比较法-工业</t>
  </si>
  <si>
    <t>现房</t>
  </si>
  <si>
    <t>项目全部</t>
  </si>
  <si>
    <t>总价</t>
  </si>
  <si>
    <t>收益比率</t>
  </si>
  <si>
    <t>押一</t>
  </si>
  <si>
    <t>按租金收入计税</t>
  </si>
  <si>
    <t>钢混</t>
  </si>
  <si>
    <t>非生产用房</t>
  </si>
  <si>
    <t>否</t>
  </si>
  <si>
    <t>自定义容积率</t>
  </si>
  <si>
    <t>工业用地</t>
  </si>
  <si>
    <t>不临58条商业街</t>
  </si>
  <si>
    <t>与级别开发程度一致</t>
  </si>
  <si>
    <t>地价指数</t>
  </si>
  <si>
    <t>容积率修正</t>
  </si>
  <si>
    <t>较好</t>
  </si>
  <si>
    <t>一般</t>
  </si>
  <si>
    <t>较好</t>
    <phoneticPr fontId="25" type="noConversion"/>
  </si>
  <si>
    <t>一般</t>
    <phoneticPr fontId="25" type="noConversion"/>
  </si>
  <si>
    <t>五通</t>
  </si>
  <si>
    <t>五通</t>
    <phoneticPr fontId="25" type="noConversion"/>
  </si>
  <si>
    <t>单面临街</t>
  </si>
  <si>
    <t>售价</t>
  </si>
  <si>
    <t>3号301</t>
    <phoneticPr fontId="3" type="noConversion"/>
  </si>
  <si>
    <t>6幢101</t>
    <phoneticPr fontId="3" type="noConversion"/>
  </si>
  <si>
    <t>1幢101</t>
    <phoneticPr fontId="3" type="noConversion"/>
  </si>
  <si>
    <t>30-40（含）</t>
  </si>
  <si>
    <t>正常</t>
  </si>
  <si>
    <t>工业</t>
    <phoneticPr fontId="32" type="noConversion"/>
  </si>
  <si>
    <t>工业用房</t>
    <phoneticPr fontId="32" type="noConversion"/>
  </si>
  <si>
    <t>钢混</t>
    <phoneticPr fontId="32" type="noConversion"/>
  </si>
  <si>
    <t>精装修</t>
    <phoneticPr fontId="32" type="noConversion"/>
  </si>
  <si>
    <t>普通装修</t>
  </si>
  <si>
    <t>普通装修</t>
    <phoneticPr fontId="32" type="noConversion"/>
  </si>
  <si>
    <t>简单装修</t>
    <phoneticPr fontId="32" type="noConversion"/>
  </si>
  <si>
    <t>毛坯</t>
  </si>
  <si>
    <t>毛坯</t>
    <phoneticPr fontId="32" type="noConversion"/>
  </si>
  <si>
    <t>七通</t>
    <phoneticPr fontId="32" type="noConversion"/>
  </si>
  <si>
    <t>六通</t>
    <phoneticPr fontId="32" type="noConversion"/>
  </si>
  <si>
    <t>五通</t>
    <phoneticPr fontId="32" type="noConversion"/>
  </si>
  <si>
    <t>普通</t>
  </si>
  <si>
    <t>普通</t>
    <phoneticPr fontId="32" type="noConversion"/>
  </si>
  <si>
    <t>已包含在土地取得成本中</t>
  </si>
  <si>
    <t>较差</t>
  </si>
  <si>
    <t>较差</t>
    <phoneticPr fontId="25" type="noConversion"/>
  </si>
  <si>
    <t>情况4</t>
  </si>
  <si>
    <t>转让取得</t>
  </si>
  <si>
    <t>非个人房产</t>
  </si>
  <si>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</si>
  <si>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</si>
  <si>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</si>
  <si>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</si>
  <si>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</si>
  <si>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</si>
  <si>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</si>
  <si>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</si>
  <si>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</si>
  <si>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</si>
  <si>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</si>
  <si>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</si>
  <si>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</si>
  <si>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</si>
  <si>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</si>
  <si>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r>
      <rPr>
        <b/>
        <sz val="10"/>
        <rFont val="宋体"/>
        <family val="3"/>
        <charset val="134"/>
      </rPr>
      <t>金额（万元）</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</si>
</sst>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4"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5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0"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4"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4" fillId="6" borderId="32" xfId="0" applyFont="1" applyFill="1" applyBorder="1" applyAlignment="1" applyProtection="1">
      <alignment horizontal="center" vertical="center"/>
    </xf>
    <xf numFmtId="0" fontId="114" fillId="6" borderId="33" xfId="0" applyFont="1" applyFill="1" applyBorder="1" applyAlignment="1" applyProtection="1">
      <alignment horizontal="center" vertical="center"/>
    </xf>
    <xf numFmtId="0" fontId="113" fillId="6" borderId="40" xfId="0" applyFont="1" applyFill="1" applyBorder="1" applyAlignment="1" applyProtection="1">
      <alignment vertical="center" wrapText="1"/>
    </xf>
    <xf numFmtId="0" fontId="113" fillId="6" borderId="9" xfId="0" applyFont="1" applyFill="1" applyBorder="1" applyAlignment="1" applyProtection="1">
      <alignment horizontal="center" vertical="center" wrapText="1"/>
    </xf>
    <xf numFmtId="0" fontId="113" fillId="6" borderId="28" xfId="0" applyFont="1" applyFill="1" applyBorder="1" applyAlignment="1" applyProtection="1">
      <alignment horizontal="center" vertical="center" wrapText="1"/>
    </xf>
    <xf numFmtId="0" fontId="113" fillId="6" borderId="4" xfId="0" applyFont="1" applyFill="1" applyBorder="1" applyAlignment="1" applyProtection="1">
      <alignment horizontal="center" vertical="center" wrapText="1"/>
    </xf>
    <xf numFmtId="0" fontId="113" fillId="6" borderId="2" xfId="0" applyFont="1" applyFill="1" applyBorder="1" applyAlignment="1" applyProtection="1">
      <alignment horizontal="center" vertical="center" wrapText="1"/>
    </xf>
    <xf numFmtId="0" fontId="113" fillId="6" borderId="74" xfId="0" applyFont="1" applyFill="1" applyBorder="1" applyAlignment="1" applyProtection="1">
      <alignment horizontal="center" vertical="center" wrapText="1"/>
    </xf>
    <xf numFmtId="0" fontId="113" fillId="6" borderId="32" xfId="0" applyFont="1" applyFill="1" applyBorder="1" applyAlignment="1" applyProtection="1">
      <alignment horizontal="center" vertical="center" wrapText="1"/>
    </xf>
    <xf numFmtId="0" fontId="115" fillId="6" borderId="33" xfId="0" applyFont="1" applyFill="1" applyBorder="1" applyProtection="1">
      <alignment vertical="center"/>
    </xf>
    <xf numFmtId="0" fontId="113" fillId="6" borderId="5" xfId="0" applyFont="1" applyFill="1" applyBorder="1" applyAlignment="1" applyProtection="1">
      <alignment horizontal="center" vertical="center" wrapText="1"/>
    </xf>
    <xf numFmtId="0" fontId="115" fillId="6" borderId="5" xfId="0" applyFont="1" applyFill="1" applyBorder="1" applyProtection="1">
      <alignment vertical="center"/>
    </xf>
    <xf numFmtId="0" fontId="113" fillId="6" borderId="26" xfId="0" applyFont="1" applyFill="1" applyBorder="1" applyAlignment="1" applyProtection="1">
      <alignment vertical="center" wrapText="1"/>
    </xf>
    <xf numFmtId="0" fontId="113"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6" fillId="6" borderId="60" xfId="0" applyFont="1" applyFill="1" applyBorder="1" applyAlignment="1" applyProtection="1">
      <alignment vertical="center"/>
    </xf>
    <xf numFmtId="0" fontId="116" fillId="6" borderId="0" xfId="0" applyFont="1" applyFill="1" applyBorder="1" applyAlignment="1" applyProtection="1">
      <alignment vertical="center"/>
    </xf>
    <xf numFmtId="0" fontId="0" fillId="0" borderId="0" xfId="0" applyAlignment="1" applyProtection="1">
      <alignment horizontal="center" vertical="center"/>
    </xf>
    <xf numFmtId="0" fontId="110" fillId="6" borderId="5" xfId="0" applyFont="1" applyFill="1" applyBorder="1" applyAlignment="1" applyProtection="1">
      <alignment horizontal="center" vertical="center" wrapText="1"/>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36" xfId="0" applyFont="1" applyBorder="1"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2" xfId="0" applyFont="1" applyFill="1" applyBorder="1" applyAlignment="1" applyProtection="1">
      <alignment horizontal="center" vertical="center"/>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7" fillId="6" borderId="19" xfId="0" applyNumberFormat="1" applyFont="1" applyFill="1" applyBorder="1" applyAlignment="1" applyProtection="1">
      <alignment horizontal="center" vertical="center" wrapText="1"/>
    </xf>
    <xf numFmtId="0" fontId="118"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7" fillId="6" borderId="1" xfId="0" applyNumberFormat="1" applyFont="1" applyFill="1" applyBorder="1" applyAlignment="1" applyProtection="1">
      <alignment horizontal="center" vertical="center" wrapText="1"/>
    </xf>
    <xf numFmtId="0" fontId="117" fillId="6" borderId="24" xfId="0" applyNumberFormat="1" applyFont="1" applyFill="1" applyBorder="1" applyAlignment="1" applyProtection="1">
      <alignment horizontal="center" vertical="center" wrapText="1"/>
    </xf>
    <xf numFmtId="0" fontId="117" fillId="6" borderId="32" xfId="0" applyNumberFormat="1" applyFont="1" applyFill="1" applyBorder="1" applyAlignment="1" applyProtection="1">
      <alignment horizontal="center" vertical="center" wrapText="1"/>
    </xf>
    <xf numFmtId="0" fontId="117"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0"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0" fillId="0" borderId="0" xfId="5" applyFont="1">
      <alignment vertical="center"/>
    </xf>
    <xf numFmtId="0" fontId="98" fillId="0" borderId="0" xfId="5">
      <alignment vertical="center"/>
    </xf>
    <xf numFmtId="0" fontId="120"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6" fillId="6" borderId="0" xfId="0" applyFont="1" applyFill="1" applyAlignment="1" applyProtection="1">
      <alignment horizontal="center" vertical="center"/>
    </xf>
    <xf numFmtId="0" fontId="114" fillId="6" borderId="40" xfId="0" applyFont="1" applyFill="1" applyBorder="1" applyAlignment="1" applyProtection="1">
      <alignment vertical="center" wrapText="1"/>
    </xf>
    <xf numFmtId="0" fontId="114" fillId="6" borderId="13" xfId="0" applyFont="1" applyFill="1" applyBorder="1" applyAlignment="1" applyProtection="1">
      <alignment horizontal="center" vertical="center"/>
    </xf>
    <xf numFmtId="0" fontId="114"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3"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3"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3"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7"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4"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2" fillId="0" borderId="0" xfId="11" applyFont="1" applyBorder="1" applyAlignment="1" applyProtection="1">
      <alignment vertical="center" wrapText="1"/>
    </xf>
    <xf numFmtId="0" fontId="129" fillId="0" borderId="78" xfId="0" applyFont="1" applyBorder="1" applyAlignment="1" applyProtection="1">
      <alignment horizontal="left" vertical="center"/>
    </xf>
    <xf numFmtId="0" fontId="152" fillId="0" borderId="78" xfId="11" applyFont="1" applyBorder="1" applyAlignment="1" applyProtection="1">
      <alignment horizontal="left" vertical="center" wrapText="1"/>
    </xf>
    <xf numFmtId="0" fontId="152" fillId="0" borderId="87" xfId="0" applyFont="1" applyBorder="1" applyProtection="1">
      <alignment vertical="center"/>
    </xf>
    <xf numFmtId="0" fontId="152" fillId="0" borderId="44" xfId="11" applyFont="1" applyBorder="1" applyAlignment="1" applyProtection="1">
      <alignment vertical="center" wrapText="1"/>
    </xf>
    <xf numFmtId="0" fontId="152" fillId="0" borderId="44" xfId="0" applyFont="1" applyBorder="1" applyAlignment="1" applyProtection="1">
      <alignment horizontal="left" vertical="center"/>
    </xf>
    <xf numFmtId="0" fontId="152" fillId="0" borderId="83" xfId="0" applyFont="1" applyBorder="1" applyProtection="1">
      <alignment vertical="center"/>
    </xf>
    <xf numFmtId="0" fontId="152" fillId="0" borderId="1" xfId="11" applyFont="1" applyBorder="1" applyAlignment="1" applyProtection="1">
      <alignment vertical="center" wrapText="1"/>
    </xf>
    <xf numFmtId="0" fontId="152" fillId="0" borderId="1" xfId="0" applyFont="1" applyBorder="1" applyAlignment="1" applyProtection="1">
      <alignment horizontal="left" vertical="center"/>
    </xf>
    <xf numFmtId="0" fontId="152" fillId="0" borderId="0" xfId="0" applyFont="1" applyBorder="1" applyProtection="1">
      <alignment vertical="center"/>
    </xf>
    <xf numFmtId="0" fontId="152" fillId="0" borderId="78" xfId="11" applyFont="1" applyBorder="1" applyAlignment="1" applyProtection="1">
      <alignment vertical="center" wrapText="1"/>
    </xf>
    <xf numFmtId="0" fontId="152" fillId="0" borderId="78" xfId="0" applyFont="1" applyBorder="1" applyAlignment="1" applyProtection="1">
      <alignment horizontal="left" vertical="center"/>
    </xf>
    <xf numFmtId="194" fontId="152" fillId="0" borderId="78" xfId="0" applyNumberFormat="1" applyFont="1" applyBorder="1" applyAlignment="1" applyProtection="1">
      <alignment horizontal="left" vertical="center"/>
    </xf>
    <xf numFmtId="0" fontId="152" fillId="0" borderId="2" xfId="11" applyFont="1" applyBorder="1" applyAlignment="1" applyProtection="1">
      <alignment vertical="center" wrapText="1"/>
    </xf>
    <xf numFmtId="14" fontId="152" fillId="0" borderId="2" xfId="0" applyNumberFormat="1" applyFont="1" applyBorder="1" applyAlignment="1" applyProtection="1">
      <alignment horizontal="left" vertical="center"/>
    </xf>
    <xf numFmtId="0" fontId="152" fillId="0" borderId="0" xfId="0" applyFont="1" applyProtection="1">
      <alignment vertical="center"/>
    </xf>
    <xf numFmtId="14" fontId="152" fillId="0" borderId="1" xfId="0" applyNumberFormat="1" applyFont="1" applyBorder="1" applyAlignment="1" applyProtection="1">
      <alignment horizontal="left" vertical="center"/>
    </xf>
    <xf numFmtId="0" fontId="152"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7" fillId="6" borderId="1" xfId="8" applyNumberFormat="1" applyFont="1" applyFill="1" applyBorder="1" applyAlignment="1" applyProtection="1">
      <alignment horizontal="center" vertical="center"/>
    </xf>
    <xf numFmtId="187" fontId="117"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7"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7"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7"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7"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7"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7"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7" fillId="6" borderId="0" xfId="2" applyNumberFormat="1" applyFont="1" applyFill="1" applyAlignment="1">
      <alignment horizontal="center"/>
    </xf>
    <xf numFmtId="0" fontId="158" fillId="6" borderId="0" xfId="2" applyFont="1" applyFill="1" applyAlignment="1">
      <alignment horizontal="left"/>
    </xf>
    <xf numFmtId="14" fontId="157" fillId="6" borderId="0" xfId="2" applyNumberFormat="1" applyFont="1" applyFill="1" applyAlignment="1">
      <alignment horizontal="center"/>
    </xf>
    <xf numFmtId="0" fontId="157" fillId="6" borderId="0" xfId="2" applyFont="1" applyFill="1"/>
    <xf numFmtId="0" fontId="157" fillId="0" borderId="0" xfId="2" applyFont="1"/>
    <xf numFmtId="0" fontId="157" fillId="0" borderId="0" xfId="0" applyFont="1" applyAlignment="1"/>
    <xf numFmtId="0" fontId="159" fillId="6" borderId="0" xfId="2" applyFont="1" applyFill="1"/>
    <xf numFmtId="0" fontId="160" fillId="6" borderId="0" xfId="2" applyFont="1" applyFill="1"/>
    <xf numFmtId="0" fontId="159" fillId="0" borderId="0" xfId="2" applyFont="1"/>
    <xf numFmtId="0" fontId="127" fillId="6" borderId="0" xfId="2" applyFont="1" applyFill="1" applyAlignment="1"/>
    <xf numFmtId="0" fontId="141" fillId="6" borderId="13" xfId="2" applyFont="1" applyFill="1" applyBorder="1" applyAlignment="1">
      <alignment horizontal="center" vertical="center"/>
    </xf>
    <xf numFmtId="0" fontId="141" fillId="6" borderId="13" xfId="2" applyFont="1" applyFill="1" applyBorder="1" applyAlignment="1">
      <alignment vertical="center"/>
    </xf>
    <xf numFmtId="0" fontId="141" fillId="6" borderId="5" xfId="2" applyFont="1" applyFill="1" applyBorder="1" applyAlignment="1">
      <alignment vertical="center"/>
    </xf>
    <xf numFmtId="0" fontId="141" fillId="6" borderId="3" xfId="2" applyFont="1" applyFill="1" applyBorder="1" applyAlignment="1">
      <alignment vertical="center"/>
    </xf>
    <xf numFmtId="0" fontId="141" fillId="6" borderId="54" xfId="2" applyFont="1" applyFill="1" applyBorder="1" applyAlignment="1">
      <alignment vertical="center"/>
    </xf>
    <xf numFmtId="0" fontId="127" fillId="0" borderId="0" xfId="2" applyFont="1" applyAlignment="1"/>
    <xf numFmtId="0" fontId="127" fillId="6" borderId="0" xfId="2" applyFont="1" applyFill="1"/>
    <xf numFmtId="0" fontId="141" fillId="6" borderId="2" xfId="2" applyFont="1" applyFill="1" applyBorder="1" applyAlignment="1">
      <alignment horizontal="center" vertical="center" wrapText="1"/>
    </xf>
    <xf numFmtId="0" fontId="141" fillId="6" borderId="2" xfId="2" applyFont="1" applyFill="1" applyBorder="1" applyAlignment="1">
      <alignment vertical="center" wrapText="1"/>
    </xf>
    <xf numFmtId="0" fontId="19" fillId="6" borderId="1" xfId="2" applyFont="1" applyFill="1" applyBorder="1"/>
    <xf numFmtId="0" fontId="141" fillId="6" borderId="1" xfId="2" applyFont="1" applyFill="1" applyBorder="1" applyAlignment="1">
      <alignment horizontal="center" vertical="center" wrapText="1"/>
    </xf>
    <xf numFmtId="0" fontId="127" fillId="0" borderId="0" xfId="2" applyFont="1"/>
    <xf numFmtId="0" fontId="162" fillId="6" borderId="0" xfId="2" applyFont="1" applyFill="1" applyAlignment="1">
      <alignment vertical="center"/>
    </xf>
    <xf numFmtId="0" fontId="162" fillId="6" borderId="1" xfId="2" applyFont="1" applyFill="1" applyBorder="1" applyAlignment="1">
      <alignment horizontal="left" vertical="center" wrapText="1"/>
    </xf>
    <xf numFmtId="0" fontId="162" fillId="6" borderId="1" xfId="2" applyFont="1" applyFill="1" applyBorder="1" applyAlignment="1">
      <alignment horizontal="center" vertical="center" wrapText="1"/>
    </xf>
    <xf numFmtId="14" fontId="162" fillId="6" borderId="1" xfId="2" applyNumberFormat="1" applyFont="1" applyFill="1" applyBorder="1" applyAlignment="1">
      <alignment horizontal="center" vertical="center" wrapText="1"/>
    </xf>
    <xf numFmtId="0" fontId="162" fillId="5" borderId="0" xfId="2" applyFont="1" applyFill="1" applyAlignment="1">
      <alignment vertical="center"/>
    </xf>
    <xf numFmtId="0" fontId="163"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3" fillId="6" borderId="87" xfId="2" applyFont="1" applyFill="1" applyBorder="1"/>
    <xf numFmtId="14" fontId="143" fillId="6" borderId="78" xfId="2" applyNumberFormat="1" applyFont="1" applyFill="1" applyBorder="1" applyAlignment="1" applyProtection="1">
      <alignment horizontal="center"/>
    </xf>
    <xf numFmtId="0" fontId="143" fillId="6" borderId="78" xfId="2" applyFont="1" applyFill="1" applyBorder="1" applyAlignment="1" applyProtection="1">
      <alignment horizontal="center"/>
    </xf>
    <xf numFmtId="10" fontId="143" fillId="6" borderId="78" xfId="2" applyNumberFormat="1" applyFont="1" applyFill="1" applyBorder="1" applyAlignment="1">
      <alignment horizontal="center"/>
    </xf>
    <xf numFmtId="0" fontId="143" fillId="0" borderId="87" xfId="2" applyFont="1" applyBorder="1"/>
    <xf numFmtId="0" fontId="111" fillId="0" borderId="87" xfId="0" applyFont="1" applyBorder="1" applyAlignment="1"/>
    <xf numFmtId="0" fontId="111" fillId="0" borderId="0" xfId="0" applyFont="1" applyAlignment="1"/>
    <xf numFmtId="0" fontId="141" fillId="6" borderId="78" xfId="2" applyFont="1" applyFill="1" applyBorder="1" applyAlignment="1">
      <alignment horizontal="center"/>
    </xf>
    <xf numFmtId="177" fontId="141" fillId="6" borderId="87" xfId="2" applyNumberFormat="1" applyFont="1" applyFill="1" applyBorder="1" applyAlignment="1">
      <alignment horizontal="center"/>
    </xf>
    <xf numFmtId="0" fontId="123"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1" xfId="12" applyFont="1" applyBorder="1" applyAlignment="1" applyProtection="1">
      <alignment horizontal="left" vertical="center" wrapText="1"/>
      <protection locked="0"/>
    </xf>
    <xf numFmtId="0" fontId="169"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3" fillId="0" borderId="108" xfId="0" applyNumberFormat="1" applyFont="1" applyFill="1" applyBorder="1" applyAlignment="1" applyProtection="1">
      <alignment horizontal="center" vertical="center" wrapText="1"/>
      <protection locked="0"/>
    </xf>
    <xf numFmtId="0" fontId="173" fillId="0" borderId="18" xfId="0" applyNumberFormat="1" applyFont="1" applyFill="1" applyBorder="1" applyAlignment="1" applyProtection="1">
      <alignment horizontal="center" vertical="center" wrapText="1"/>
      <protection locked="0"/>
    </xf>
    <xf numFmtId="177" fontId="117" fillId="0" borderId="1" xfId="8" applyNumberFormat="1" applyFont="1" applyFill="1" applyBorder="1" applyAlignment="1" applyProtection="1">
      <alignment horizontal="center" vertical="center"/>
      <protection locked="0"/>
    </xf>
    <xf numFmtId="0" fontId="117" fillId="6" borderId="24" xfId="0" applyFont="1" applyFill="1" applyBorder="1" applyAlignment="1" applyProtection="1">
      <alignment horizontal="left" vertical="center"/>
    </xf>
    <xf numFmtId="0" fontId="177" fillId="0" borderId="1" xfId="0" applyFont="1" applyBorder="1" applyAlignment="1">
      <alignment horizontal="right" vertical="center"/>
    </xf>
    <xf numFmtId="0" fontId="177" fillId="0" borderId="1" xfId="0" applyFont="1" applyBorder="1" applyAlignment="1">
      <alignment horizontal="left" vertical="center" wrapText="1"/>
    </xf>
    <xf numFmtId="0" fontId="177" fillId="0" borderId="1" xfId="0" applyFont="1" applyBorder="1" applyAlignment="1">
      <alignment vertical="center"/>
    </xf>
    <xf numFmtId="0" fontId="177" fillId="0" borderId="1" xfId="0" applyFont="1" applyBorder="1" applyAlignment="1">
      <alignment horizontal="center" vertical="center"/>
    </xf>
    <xf numFmtId="0" fontId="177" fillId="0" borderId="1" xfId="0" applyFont="1" applyBorder="1" applyAlignment="1">
      <alignment vertical="center" wrapText="1"/>
    </xf>
    <xf numFmtId="0" fontId="177" fillId="0" borderId="5" xfId="0" applyFont="1" applyBorder="1" applyAlignment="1">
      <alignment vertical="center"/>
    </xf>
    <xf numFmtId="0" fontId="177" fillId="0" borderId="54" xfId="0" applyFont="1" applyBorder="1" applyAlignment="1">
      <alignment vertical="center"/>
    </xf>
    <xf numFmtId="0" fontId="177" fillId="0" borderId="3" xfId="0" applyFont="1" applyBorder="1" applyAlignment="1">
      <alignment vertical="center"/>
    </xf>
    <xf numFmtId="0" fontId="174" fillId="0" borderId="0" xfId="0" applyFont="1" applyAlignment="1">
      <alignment vertical="center"/>
    </xf>
    <xf numFmtId="0" fontId="175" fillId="0" borderId="0" xfId="0" applyFont="1" applyAlignment="1">
      <alignment vertical="center"/>
    </xf>
    <xf numFmtId="0" fontId="176" fillId="0" borderId="0" xfId="0" applyFont="1" applyAlignment="1">
      <alignment vertical="center"/>
    </xf>
    <xf numFmtId="0" fontId="169" fillId="0" borderId="1" xfId="0" applyFont="1" applyBorder="1" applyAlignment="1">
      <alignment horizontal="right" vertical="center" wrapText="1"/>
    </xf>
    <xf numFmtId="0" fontId="103" fillId="0" borderId="1" xfId="0" applyFont="1" applyBorder="1" applyAlignment="1">
      <alignment horizontal="right" vertical="center"/>
    </xf>
    <xf numFmtId="0" fontId="178"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0" fillId="6" borderId="1" xfId="0" applyFont="1" applyFill="1" applyBorder="1" applyAlignment="1" applyProtection="1">
      <alignment horizontal="right" vertical="center" wrapText="1"/>
    </xf>
    <xf numFmtId="0" fontId="117"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4" fillId="6" borderId="0" xfId="0" applyFont="1" applyFill="1" applyAlignment="1" applyProtection="1">
      <alignment vertical="center"/>
    </xf>
    <xf numFmtId="0" fontId="144"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4"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7" fillId="6" borderId="0" xfId="0" applyFont="1" applyFill="1" applyAlignment="1" applyProtection="1">
      <alignment vertical="center"/>
      <protection locked="0"/>
    </xf>
    <xf numFmtId="0" fontId="117"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69"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0" fillId="6" borderId="3" xfId="0" applyFont="1" applyFill="1" applyBorder="1" applyAlignment="1" applyProtection="1">
      <alignment horizontal="right" vertical="center" wrapText="1"/>
    </xf>
    <xf numFmtId="0" fontId="195" fillId="0" borderId="0" xfId="5" applyFont="1">
      <alignment vertical="center"/>
    </xf>
    <xf numFmtId="0" fontId="98" fillId="0" borderId="0" xfId="0" applyFont="1" applyProtection="1">
      <alignment vertical="center"/>
      <protection locked="0"/>
    </xf>
    <xf numFmtId="0" fontId="204"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5" fillId="0" borderId="0" xfId="0" applyFont="1" applyAlignment="1">
      <alignment vertical="center"/>
    </xf>
    <xf numFmtId="0" fontId="135" fillId="0" borderId="0" xfId="0" applyFont="1" applyAlignment="1">
      <alignment vertical="center" wrapText="1"/>
    </xf>
    <xf numFmtId="0" fontId="206" fillId="0" borderId="0" xfId="0" applyFont="1">
      <alignment vertical="center"/>
    </xf>
    <xf numFmtId="0" fontId="207" fillId="0" borderId="0" xfId="0" applyFont="1">
      <alignment vertical="center"/>
    </xf>
    <xf numFmtId="0" fontId="208" fillId="0" borderId="0" xfId="0" applyFont="1" applyAlignment="1" applyProtection="1">
      <alignment vertical="center" wrapText="1"/>
      <protection locked="0"/>
    </xf>
    <xf numFmtId="0" fontId="135" fillId="0" borderId="0" xfId="0" applyFont="1" applyFill="1" applyAlignment="1">
      <alignment vertical="center" wrapText="1"/>
    </xf>
    <xf numFmtId="0" fontId="205" fillId="0" borderId="0" xfId="0" applyFont="1">
      <alignment vertical="center"/>
    </xf>
    <xf numFmtId="184" fontId="135" fillId="0" borderId="0" xfId="0" applyNumberFormat="1" applyFont="1" applyAlignment="1">
      <alignment horizontal="left" vertical="center"/>
    </xf>
    <xf numFmtId="0" fontId="135" fillId="0" borderId="0" xfId="0" applyFont="1">
      <alignment vertical="center"/>
    </xf>
    <xf numFmtId="0" fontId="209" fillId="5" borderId="0" xfId="0" applyFont="1" applyFill="1" applyProtection="1">
      <alignment vertical="center"/>
      <protection locked="0"/>
    </xf>
    <xf numFmtId="0" fontId="102" fillId="0" borderId="0" xfId="0" applyFont="1" applyProtection="1">
      <alignment vertical="center"/>
      <protection locked="0"/>
    </xf>
    <xf numFmtId="0" fontId="205"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5" fillId="0" borderId="0" xfId="7" applyFont="1" applyAlignment="1" applyProtection="1">
      <alignment horizontal="center" vertical="center"/>
    </xf>
    <xf numFmtId="0" fontId="129" fillId="0" borderId="2"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2"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29" fillId="0" borderId="1" xfId="7" applyFont="1" applyFill="1" applyBorder="1" applyAlignment="1" applyProtection="1">
      <alignment horizontal="left" vertical="center" wrapText="1"/>
    </xf>
    <xf numFmtId="0" fontId="213" fillId="0" borderId="1" xfId="7" applyFont="1" applyBorder="1" applyAlignment="1">
      <alignment horizontal="center" vertical="center"/>
    </xf>
    <xf numFmtId="0" fontId="130"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5"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5" fillId="0" borderId="0" xfId="0" applyFont="1" applyProtection="1">
      <alignment vertical="center"/>
      <protection locked="0"/>
    </xf>
    <xf numFmtId="0" fontId="98" fillId="0" borderId="0" xfId="0" applyFont="1" applyProtection="1">
      <alignment vertical="center"/>
    </xf>
    <xf numFmtId="0" fontId="202" fillId="0" borderId="0" xfId="0" applyFont="1" applyBorder="1" applyAlignment="1" applyProtection="1">
      <alignment horizontal="left" vertical="center"/>
    </xf>
    <xf numFmtId="0" fontId="220"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220" fillId="0" borderId="60" xfId="0" applyFont="1" applyBorder="1" applyAlignment="1" applyProtection="1">
      <alignment horizontal="justify" vertical="center" wrapText="1"/>
    </xf>
    <xf numFmtId="0" fontId="220" fillId="0" borderId="0" xfId="0" applyFont="1" applyBorder="1" applyAlignment="1" applyProtection="1">
      <alignment horizontal="right" vertical="center" wrapText="1"/>
    </xf>
    <xf numFmtId="0" fontId="220" fillId="0" borderId="54" xfId="0" applyFont="1" applyBorder="1" applyAlignment="1" applyProtection="1">
      <alignment horizontal="justify" vertical="center" wrapText="1"/>
    </xf>
    <xf numFmtId="0" fontId="221" fillId="0" borderId="0" xfId="0" applyFont="1" applyBorder="1" applyAlignment="1" applyProtection="1">
      <alignment horizontal="center" vertical="center" wrapText="1"/>
      <protection locked="0"/>
    </xf>
    <xf numFmtId="0" fontId="205"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5" fillId="0" borderId="0" xfId="0" applyFont="1" applyAlignment="1">
      <alignment horizontal="right" vertical="center"/>
    </xf>
    <xf numFmtId="0" fontId="98" fillId="0" borderId="0" xfId="0" applyFont="1" applyBorder="1" applyProtection="1">
      <alignment vertical="center"/>
      <protection locked="0"/>
    </xf>
    <xf numFmtId="0" fontId="203" fillId="0" borderId="0" xfId="0" applyFont="1" applyBorder="1" applyProtection="1">
      <alignment vertical="center"/>
      <protection locked="0"/>
    </xf>
    <xf numFmtId="0" fontId="224" fillId="0" borderId="0" xfId="0" applyFont="1" applyProtection="1">
      <alignment vertical="center"/>
    </xf>
    <xf numFmtId="0" fontId="203" fillId="0" borderId="0" xfId="0" applyFont="1" applyProtection="1">
      <alignment vertical="center"/>
    </xf>
    <xf numFmtId="0" fontId="211"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1" fillId="0" borderId="0" xfId="0" applyFont="1" applyProtection="1">
      <alignment vertical="center"/>
    </xf>
    <xf numFmtId="0" fontId="211" fillId="2" borderId="1" xfId="0" applyFont="1" applyFill="1" applyBorder="1" applyAlignment="1" applyProtection="1">
      <alignment horizontal="center" vertical="center" wrapText="1"/>
    </xf>
    <xf numFmtId="0" fontId="211" fillId="6" borderId="1" xfId="0" applyFont="1" applyFill="1" applyBorder="1" applyAlignment="1" applyProtection="1">
      <alignment horizontal="center" vertical="center" wrapText="1"/>
    </xf>
    <xf numFmtId="0" fontId="227" fillId="4" borderId="1" xfId="0" applyFont="1" applyFill="1" applyBorder="1" applyAlignment="1" applyProtection="1">
      <alignment horizontal="center" vertical="center"/>
    </xf>
    <xf numFmtId="0" fontId="228" fillId="0" borderId="1" xfId="0" applyFont="1" applyFill="1" applyBorder="1" applyAlignment="1" applyProtection="1">
      <alignment horizontal="center" vertical="center"/>
    </xf>
    <xf numFmtId="0" fontId="226" fillId="0" borderId="0" xfId="0" applyFont="1" applyProtection="1">
      <alignment vertical="center"/>
    </xf>
    <xf numFmtId="0" fontId="121"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29" fillId="0" borderId="0" xfId="0" applyFont="1" applyProtection="1">
      <alignment vertical="center"/>
    </xf>
    <xf numFmtId="0" fontId="226" fillId="0" borderId="0" xfId="0" applyFont="1" applyAlignment="1" applyProtection="1">
      <alignment horizontal="left" vertical="center"/>
    </xf>
    <xf numFmtId="176" fontId="226" fillId="0" borderId="0" xfId="0" applyNumberFormat="1" applyFont="1" applyAlignment="1" applyProtection="1">
      <alignment horizontal="left" vertical="center"/>
    </xf>
    <xf numFmtId="0" fontId="226"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6" fillId="6" borderId="0" xfId="0" applyFont="1" applyFill="1" applyAlignment="1" applyProtection="1">
      <alignment horizontal="center" vertical="center" wrapText="1"/>
    </xf>
    <xf numFmtId="0" fontId="226"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6"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6"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7"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3"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7" fillId="6" borderId="5" xfId="0" applyFont="1" applyFill="1" applyBorder="1" applyAlignment="1" applyProtection="1">
      <alignment horizontal="left" vertical="center"/>
    </xf>
    <xf numFmtId="0" fontId="232"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3"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7" fillId="6" borderId="0" xfId="0" applyFont="1" applyFill="1" applyBorder="1" applyAlignment="1" applyProtection="1">
      <alignment horizontal="center" vertical="center"/>
    </xf>
    <xf numFmtId="0" fontId="117" fillId="6" borderId="0" xfId="0" applyFont="1" applyFill="1" applyProtection="1">
      <alignment vertical="center"/>
    </xf>
    <xf numFmtId="0" fontId="107" fillId="6" borderId="0" xfId="0" applyFont="1" applyFill="1" applyBorder="1" applyAlignment="1" applyProtection="1">
      <alignment horizontal="left" vertical="center"/>
    </xf>
    <xf numFmtId="0" fontId="214" fillId="6" borderId="0" xfId="0" applyFont="1" applyFill="1" applyBorder="1" applyAlignment="1" applyProtection="1">
      <alignment horizontal="left" vertical="center"/>
    </xf>
    <xf numFmtId="0" fontId="234" fillId="6" borderId="0" xfId="0" applyFont="1" applyFill="1" applyBorder="1" applyAlignment="1" applyProtection="1">
      <alignment vertical="center"/>
    </xf>
    <xf numFmtId="0" fontId="234"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0"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0" fillId="6" borderId="32" xfId="0" applyFont="1" applyFill="1" applyBorder="1" applyAlignment="1" applyProtection="1">
      <alignment vertical="center" wrapText="1"/>
    </xf>
    <xf numFmtId="0" fontId="136"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4" fillId="5" borderId="24" xfId="1" applyFont="1" applyFill="1" applyBorder="1" applyAlignment="1" applyProtection="1">
      <alignment horizontal="right" vertical="center"/>
      <protection locked="0"/>
    </xf>
    <xf numFmtId="0" fontId="144" fillId="3" borderId="0" xfId="0" applyFont="1" applyFill="1" applyAlignment="1" applyProtection="1">
      <alignment vertical="center"/>
      <protection locked="0"/>
    </xf>
    <xf numFmtId="0" fontId="136"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4"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3" fillId="6" borderId="1" xfId="0" applyFont="1" applyFill="1" applyBorder="1">
      <alignment vertical="center"/>
    </xf>
    <xf numFmtId="0" fontId="213"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39"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7"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7" fillId="6" borderId="60" xfId="0" applyFont="1" applyFill="1" applyBorder="1" applyAlignment="1" applyProtection="1">
      <alignment vertical="center"/>
    </xf>
    <xf numFmtId="0" fontId="117"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2"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13"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2"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7" fillId="6" borderId="58"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3" fillId="0" borderId="1" xfId="0" applyNumberFormat="1" applyFont="1" applyFill="1" applyBorder="1" applyAlignment="1" applyProtection="1">
      <alignment horizontal="center" vertical="center" wrapText="1"/>
      <protection locked="0"/>
    </xf>
    <xf numFmtId="0" fontId="173"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3"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7" fillId="6" borderId="1" xfId="0" applyNumberFormat="1" applyFont="1" applyFill="1" applyBorder="1" applyAlignment="1" applyProtection="1">
      <alignment horizontal="center" vertical="center"/>
    </xf>
    <xf numFmtId="187" fontId="117"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7"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79"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29"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8" fillId="12" borderId="126" xfId="16" applyFont="1" applyFill="1" applyBorder="1" applyAlignment="1" applyProtection="1">
      <alignment horizontal="left" vertical="center" wrapText="1"/>
    </xf>
    <xf numFmtId="0" fontId="148"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3"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49"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1"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49" fillId="13" borderId="0" xfId="9" applyNumberFormat="1" applyFont="1" applyFill="1" applyAlignment="1">
      <alignment horizontal="left" vertical="center"/>
    </xf>
    <xf numFmtId="0" fontId="148" fillId="11" borderId="125" xfId="9" applyFont="1" applyFill="1" applyBorder="1" applyAlignment="1" applyProtection="1">
      <alignment horizontal="left" vertical="center" wrapText="1"/>
    </xf>
    <xf numFmtId="0" fontId="148" fillId="13" borderId="126" xfId="9" applyFont="1" applyFill="1" applyBorder="1" applyAlignment="1" applyProtection="1">
      <alignment horizontal="left" vertical="center" wrapText="1"/>
    </xf>
    <xf numFmtId="0" fontId="149"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49"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7"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8"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49" fillId="13" borderId="0" xfId="9" applyFont="1" applyFill="1" applyAlignment="1">
      <alignment horizontal="left" vertical="center"/>
    </xf>
    <xf numFmtId="0" fontId="148" fillId="12" borderId="130" xfId="9" applyFont="1" applyFill="1" applyBorder="1" applyAlignment="1" applyProtection="1">
      <alignment horizontal="left" vertical="center" wrapText="1"/>
    </xf>
    <xf numFmtId="0" fontId="148" fillId="11" borderId="123" xfId="9" applyFont="1" applyFill="1" applyBorder="1" applyAlignment="1" applyProtection="1">
      <alignment horizontal="left" vertical="center" wrapText="1"/>
    </xf>
    <xf numFmtId="0" fontId="148"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8" fillId="11" borderId="126" xfId="9" applyFont="1" applyFill="1" applyBorder="1" applyAlignment="1" applyProtection="1">
      <alignment horizontal="left" vertical="center" wrapText="1"/>
    </xf>
    <xf numFmtId="0" fontId="148"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8" fillId="11" borderId="132" xfId="9" applyFont="1" applyFill="1" applyBorder="1" applyAlignment="1" applyProtection="1">
      <alignment horizontal="left" vertical="center" wrapText="1"/>
    </xf>
    <xf numFmtId="0" fontId="148"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8" fillId="12" borderId="123" xfId="9" applyFont="1" applyFill="1" applyBorder="1" applyAlignment="1" applyProtection="1">
      <alignment horizontal="left" vertical="center" wrapText="1"/>
    </xf>
    <xf numFmtId="0" fontId="148"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7"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7"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8" fillId="12" borderId="137" xfId="9" applyFont="1" applyFill="1" applyBorder="1" applyAlignment="1" applyProtection="1">
      <alignment horizontal="left" vertical="center" wrapText="1"/>
    </xf>
    <xf numFmtId="0" fontId="148"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8" fillId="11" borderId="140" xfId="9" applyFont="1" applyFill="1" applyBorder="1" applyAlignment="1" applyProtection="1">
      <alignment horizontal="left" vertical="center" wrapText="1"/>
    </xf>
    <xf numFmtId="0" fontId="148"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8"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8"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4" fillId="0" borderId="0" xfId="9" applyFont="1" applyAlignment="1">
      <alignment horizontal="left" vertical="center"/>
    </xf>
    <xf numFmtId="0" fontId="117" fillId="0" borderId="0" xfId="9" applyFont="1" applyAlignment="1">
      <alignment horizontal="left" vertical="center"/>
    </xf>
    <xf numFmtId="0" fontId="117" fillId="0" borderId="121" xfId="9" applyFont="1" applyBorder="1" applyAlignment="1">
      <alignment horizontal="left" vertical="center"/>
    </xf>
    <xf numFmtId="180" fontId="117" fillId="0" borderId="0" xfId="9" applyNumberFormat="1" applyFont="1" applyAlignment="1">
      <alignment horizontal="left" vertical="center"/>
    </xf>
    <xf numFmtId="180" fontId="117" fillId="0" borderId="121" xfId="9" applyNumberFormat="1" applyFont="1" applyBorder="1" applyAlignment="1">
      <alignment horizontal="left" vertical="center"/>
    </xf>
    <xf numFmtId="0" fontId="148" fillId="12" borderId="147" xfId="9" applyFont="1" applyFill="1" applyBorder="1" applyAlignment="1">
      <alignment horizontal="left" vertical="center" wrapText="1"/>
    </xf>
    <xf numFmtId="0" fontId="148" fillId="12" borderId="123" xfId="9" applyFont="1" applyFill="1" applyBorder="1" applyAlignment="1">
      <alignment horizontal="left" vertical="center" wrapText="1"/>
    </xf>
    <xf numFmtId="0" fontId="148" fillId="11" borderId="148" xfId="9" applyFont="1" applyFill="1" applyBorder="1" applyAlignment="1">
      <alignment horizontal="left" vertical="center" wrapText="1"/>
    </xf>
    <xf numFmtId="0" fontId="148" fillId="11" borderId="126" xfId="9" applyFont="1" applyFill="1" applyBorder="1" applyAlignment="1">
      <alignment horizontal="left" vertical="center" wrapText="1"/>
    </xf>
    <xf numFmtId="0" fontId="148" fillId="12" borderId="148" xfId="9" applyFont="1" applyFill="1" applyBorder="1" applyAlignment="1">
      <alignment horizontal="left" vertical="center" wrapText="1"/>
    </xf>
    <xf numFmtId="0" fontId="148" fillId="12" borderId="126" xfId="9" applyFont="1" applyFill="1" applyBorder="1" applyAlignment="1">
      <alignment horizontal="left" vertical="center" wrapText="1"/>
    </xf>
    <xf numFmtId="0" fontId="148" fillId="11" borderId="149" xfId="9" applyFont="1" applyFill="1" applyBorder="1" applyAlignment="1">
      <alignment horizontal="left" vertical="center" wrapText="1"/>
    </xf>
    <xf numFmtId="0" fontId="148" fillId="11" borderId="132" xfId="9" applyFont="1" applyFill="1" applyBorder="1" applyAlignment="1">
      <alignment horizontal="left" vertical="center" wrapText="1"/>
    </xf>
    <xf numFmtId="0" fontId="134" fillId="6" borderId="0" xfId="0" applyFont="1" applyFill="1" applyAlignment="1" applyProtection="1">
      <alignment horizontal="left" vertical="center"/>
    </xf>
    <xf numFmtId="0" fontId="186"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6"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4" fillId="0" borderId="0" xfId="5" applyFont="1" applyAlignment="1">
      <alignment horizontal="left" vertical="center"/>
    </xf>
    <xf numFmtId="0" fontId="152"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6" fillId="0" borderId="0" xfId="5" applyFont="1" applyAlignment="1">
      <alignment horizontal="left" vertical="center"/>
    </xf>
    <xf numFmtId="0" fontId="122" fillId="5" borderId="13" xfId="5" applyFont="1" applyFill="1" applyBorder="1" applyAlignment="1">
      <alignment horizontal="left" vertical="center"/>
    </xf>
    <xf numFmtId="0" fontId="123" fillId="0" borderId="1" xfId="5" applyFont="1" applyBorder="1" applyAlignment="1">
      <alignment horizontal="left" vertical="center"/>
    </xf>
    <xf numFmtId="0" fontId="123" fillId="0" borderId="5" xfId="5" applyFont="1" applyBorder="1" applyAlignment="1">
      <alignment horizontal="left" vertical="center"/>
    </xf>
    <xf numFmtId="0" fontId="122" fillId="5" borderId="155" xfId="5" applyFont="1" applyFill="1" applyBorder="1" applyAlignment="1">
      <alignment horizontal="left" vertical="center"/>
    </xf>
    <xf numFmtId="192" fontId="123" fillId="0" borderId="1" xfId="5" applyNumberFormat="1" applyFont="1" applyFill="1" applyBorder="1" applyAlignment="1">
      <alignment horizontal="left" vertical="center"/>
    </xf>
    <xf numFmtId="192" fontId="247" fillId="0" borderId="5" xfId="5" applyNumberFormat="1" applyFont="1" applyFill="1" applyBorder="1" applyAlignment="1">
      <alignment horizontal="left" vertical="center"/>
    </xf>
    <xf numFmtId="0" fontId="123" fillId="0" borderId="156" xfId="5" applyFont="1" applyFill="1" applyBorder="1" applyAlignment="1">
      <alignment horizontal="left" vertical="center"/>
    </xf>
    <xf numFmtId="184" fontId="123" fillId="0" borderId="1" xfId="5" applyNumberFormat="1" applyFont="1" applyFill="1" applyBorder="1" applyAlignment="1">
      <alignment horizontal="left" vertical="center"/>
    </xf>
    <xf numFmtId="0" fontId="247" fillId="0" borderId="1" xfId="5" applyFont="1" applyFill="1" applyBorder="1" applyAlignment="1">
      <alignment horizontal="left" vertical="center"/>
    </xf>
    <xf numFmtId="192" fontId="123" fillId="0" borderId="5" xfId="5" applyNumberFormat="1" applyFont="1" applyFill="1" applyBorder="1" applyAlignment="1">
      <alignment horizontal="left" vertical="center"/>
    </xf>
    <xf numFmtId="0" fontId="247" fillId="0" borderId="0" xfId="5" applyFont="1" applyFill="1" applyAlignment="1">
      <alignment horizontal="left" vertical="center"/>
    </xf>
    <xf numFmtId="0" fontId="152" fillId="0" borderId="0" xfId="5" applyFont="1" applyFill="1" applyAlignment="1">
      <alignment horizontal="left" vertical="center"/>
    </xf>
    <xf numFmtId="0" fontId="122" fillId="0" borderId="1" xfId="5" applyFont="1" applyFill="1" applyBorder="1" applyAlignment="1">
      <alignment horizontal="left" vertical="center"/>
    </xf>
    <xf numFmtId="0" fontId="121" fillId="0" borderId="0" xfId="5" applyFont="1" applyAlignment="1">
      <alignment horizontal="left" vertical="center"/>
    </xf>
    <xf numFmtId="0" fontId="125" fillId="0" borderId="1" xfId="5" applyFont="1" applyBorder="1" applyAlignment="1">
      <alignment horizontal="left" vertical="center"/>
    </xf>
    <xf numFmtId="184" fontId="123" fillId="0" borderId="5" xfId="5" applyNumberFormat="1" applyFont="1" applyFill="1" applyBorder="1" applyAlignment="1">
      <alignment horizontal="left" vertical="center"/>
    </xf>
    <xf numFmtId="0" fontId="125" fillId="0" borderId="156"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14" fontId="125" fillId="0" borderId="5" xfId="5" applyNumberFormat="1" applyFont="1" applyBorder="1" applyAlignment="1">
      <alignment horizontal="left" vertical="center"/>
    </xf>
    <xf numFmtId="0" fontId="132" fillId="0" borderId="1" xfId="5" applyFont="1" applyBorder="1" applyAlignment="1">
      <alignment horizontal="left" vertical="center"/>
    </xf>
    <xf numFmtId="184" fontId="132" fillId="0" borderId="1" xfId="0" applyNumberFormat="1" applyFont="1" applyFill="1" applyBorder="1" applyAlignment="1">
      <alignment horizontal="left" vertical="center"/>
    </xf>
    <xf numFmtId="14" fontId="152" fillId="0" borderId="0" xfId="5" applyNumberFormat="1" applyFont="1" applyAlignment="1">
      <alignment horizontal="left" vertical="center"/>
    </xf>
    <xf numFmtId="14" fontId="152" fillId="0" borderId="157" xfId="5" applyNumberFormat="1" applyFont="1" applyBorder="1" applyAlignment="1">
      <alignment horizontal="left" vertical="center"/>
    </xf>
    <xf numFmtId="0" fontId="152" fillId="0" borderId="0" xfId="5" applyFont="1" applyBorder="1" applyAlignment="1">
      <alignment horizontal="left" vertical="center"/>
    </xf>
    <xf numFmtId="0" fontId="224"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4"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4" fillId="7" borderId="101" xfId="0" applyFont="1" applyFill="1" applyBorder="1" applyAlignment="1" applyProtection="1">
      <alignment vertical="center" wrapText="1"/>
      <protection locked="0"/>
    </xf>
    <xf numFmtId="0" fontId="214" fillId="7" borderId="101" xfId="0" applyNumberFormat="1" applyFont="1" applyFill="1" applyBorder="1" applyAlignment="1" applyProtection="1">
      <alignment vertical="center" wrapText="1"/>
      <protection locked="0"/>
    </xf>
    <xf numFmtId="0" fontId="214" fillId="7" borderId="102" xfId="0" applyFont="1" applyFill="1" applyBorder="1" applyAlignment="1" applyProtection="1">
      <alignment vertical="center" wrapText="1"/>
      <protection locked="0"/>
    </xf>
    <xf numFmtId="0" fontId="234" fillId="7" borderId="0" xfId="0" applyNumberFormat="1" applyFont="1" applyFill="1" applyAlignment="1" applyProtection="1">
      <alignment vertical="center"/>
      <protection locked="0"/>
    </xf>
    <xf numFmtId="0" fontId="234" fillId="7" borderId="0" xfId="0" applyFont="1" applyFill="1" applyAlignment="1" applyProtection="1">
      <alignment vertical="center"/>
      <protection locked="0"/>
    </xf>
    <xf numFmtId="0" fontId="234"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3"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3"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3"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3"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4" fillId="7" borderId="0" xfId="0" applyFont="1" applyFill="1" applyBorder="1" applyAlignment="1" applyProtection="1">
      <alignment vertical="center" wrapText="1"/>
      <protection locked="0"/>
    </xf>
    <xf numFmtId="0" fontId="214" fillId="7" borderId="0" xfId="0" applyNumberFormat="1" applyFont="1" applyFill="1" applyBorder="1" applyAlignment="1" applyProtection="1">
      <alignment vertical="center" wrapText="1"/>
      <protection locked="0"/>
    </xf>
    <xf numFmtId="0" fontId="214" fillId="7" borderId="35" xfId="0" applyNumberFormat="1" applyFont="1" applyFill="1" applyBorder="1" applyAlignment="1" applyProtection="1">
      <alignment vertical="center" wrapText="1"/>
      <protection locked="0"/>
    </xf>
    <xf numFmtId="0" fontId="234" fillId="7" borderId="0" xfId="0" applyFont="1" applyFill="1" applyAlignment="1" applyProtection="1">
      <alignment vertical="center" wrapText="1"/>
      <protection locked="0"/>
    </xf>
    <xf numFmtId="0" fontId="234"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5" fillId="6" borderId="1" xfId="12" applyFont="1" applyFill="1" applyBorder="1" applyAlignment="1" applyProtection="1">
      <alignment horizontal="left" vertical="center" wrapText="1"/>
    </xf>
    <xf numFmtId="0" fontId="164" fillId="0" borderId="0" xfId="12" applyAlignment="1" applyProtection="1">
      <alignment horizontal="left"/>
      <protection locked="0"/>
    </xf>
    <xf numFmtId="14" fontId="165" fillId="6" borderId="1" xfId="12" applyNumberFormat="1" applyFont="1" applyFill="1" applyBorder="1" applyAlignment="1" applyProtection="1">
      <alignment horizontal="left" vertical="center" wrapText="1"/>
    </xf>
    <xf numFmtId="0" fontId="164" fillId="6" borderId="1" xfId="12" applyFill="1" applyBorder="1" applyAlignment="1" applyProtection="1">
      <alignment horizontal="left" vertical="center"/>
    </xf>
    <xf numFmtId="0" fontId="165"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5" fillId="0" borderId="13" xfId="12" applyFont="1" applyFill="1" applyBorder="1" applyAlignment="1" applyProtection="1">
      <alignment horizontal="left" vertical="center" wrapText="1"/>
      <protection locked="0"/>
    </xf>
    <xf numFmtId="0" fontId="164" fillId="0" borderId="1" xfId="12" applyBorder="1" applyAlignment="1" applyProtection="1">
      <alignment horizontal="left"/>
      <protection locked="0"/>
    </xf>
    <xf numFmtId="0" fontId="165" fillId="0" borderId="1" xfId="12" applyFont="1" applyFill="1" applyBorder="1" applyAlignment="1" applyProtection="1">
      <alignment horizontal="left" vertical="center" wrapText="1"/>
      <protection locked="0"/>
    </xf>
    <xf numFmtId="0" fontId="128"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7"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7"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0"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0"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0"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3"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29" fillId="6" borderId="1" xfId="0" applyFont="1" applyFill="1" applyBorder="1" applyAlignment="1">
      <alignment horizontal="left" vertical="center" wrapText="1"/>
    </xf>
    <xf numFmtId="0" fontId="129" fillId="5" borderId="1" xfId="0" applyFont="1" applyFill="1" applyBorder="1" applyAlignment="1" applyProtection="1">
      <alignment horizontal="left" vertical="center"/>
      <protection locked="0"/>
    </xf>
    <xf numFmtId="0" fontId="129" fillId="6" borderId="1" xfId="0" applyFont="1" applyFill="1" applyBorder="1" applyAlignment="1">
      <alignment horizontal="center" vertical="center"/>
    </xf>
    <xf numFmtId="0" fontId="129"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3"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3" fillId="0" borderId="21" xfId="0" applyNumberFormat="1" applyFont="1" applyFill="1" applyBorder="1" applyAlignment="1" applyProtection="1">
      <alignment vertical="center" shrinkToFit="1"/>
      <protection locked="0"/>
    </xf>
    <xf numFmtId="0" fontId="173" fillId="0" borderId="24" xfId="0" applyFont="1" applyFill="1" applyBorder="1" applyAlignment="1" applyProtection="1">
      <alignment vertical="center" wrapText="1"/>
      <protection locked="0"/>
    </xf>
    <xf numFmtId="0" fontId="173"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3" fillId="0" borderId="79" xfId="0" applyFont="1" applyFill="1" applyBorder="1" applyAlignment="1" applyProtection="1">
      <alignment vertical="center" wrapText="1"/>
      <protection locked="0"/>
    </xf>
    <xf numFmtId="0" fontId="173"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3"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7"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5" fillId="12" borderId="0" xfId="12" applyFont="1" applyFill="1" applyBorder="1" applyAlignment="1" applyProtection="1">
      <alignment horizontal="left" vertical="center" wrapText="1"/>
      <protection locked="0"/>
    </xf>
    <xf numFmtId="0" fontId="164" fillId="12" borderId="0" xfId="12" applyFill="1" applyBorder="1" applyAlignment="1" applyProtection="1">
      <alignment horizontal="left"/>
      <protection locked="0"/>
    </xf>
    <xf numFmtId="0" fontId="164" fillId="12" borderId="0" xfId="12" applyFill="1" applyAlignment="1" applyProtection="1">
      <alignment horizontal="left"/>
      <protection locked="0"/>
    </xf>
    <xf numFmtId="0" fontId="186"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4"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3"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29"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8" fillId="12" borderId="0" xfId="0" applyFont="1" applyFill="1" applyAlignment="1" applyProtection="1">
      <alignment vertical="center"/>
    </xf>
    <xf numFmtId="0" fontId="104" fillId="12" borderId="0" xfId="0" applyFont="1" applyFill="1" applyAlignment="1" applyProtection="1">
      <alignment vertical="center"/>
    </xf>
    <xf numFmtId="0" fontId="249"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7" fillId="12" borderId="0" xfId="0" applyFont="1" applyFill="1" applyAlignment="1" applyProtection="1">
      <alignment vertical="center"/>
    </xf>
    <xf numFmtId="0" fontId="248" fillId="12" borderId="0" xfId="0" applyFont="1" applyFill="1" applyAlignment="1" applyProtection="1">
      <alignment vertical="center"/>
    </xf>
    <xf numFmtId="0" fontId="128"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4" fillId="6" borderId="0" xfId="0" applyNumberFormat="1" applyFont="1" applyFill="1" applyBorder="1" applyAlignment="1" applyProtection="1">
      <alignment horizontal="left" vertical="center"/>
      <protection locked="0"/>
    </xf>
    <xf numFmtId="0" fontId="148"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8" fillId="11" borderId="125"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10" fontId="117"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2"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134" fillId="6" borderId="1" xfId="2" applyFont="1" applyFill="1" applyBorder="1" applyAlignment="1">
      <alignment horizontal="center" wrapText="1"/>
    </xf>
    <xf numFmtId="196" fontId="162" fillId="6" borderId="1" xfId="2" applyNumberFormat="1" applyFont="1" applyFill="1" applyBorder="1" applyAlignment="1">
      <alignment horizontal="center" vertical="center" wrapText="1"/>
    </xf>
    <xf numFmtId="0" fontId="162" fillId="6" borderId="1" xfId="2" applyFont="1" applyFill="1" applyBorder="1" applyAlignment="1">
      <alignment horizontal="center" vertical="center" wrapText="1"/>
    </xf>
    <xf numFmtId="0" fontId="138" fillId="6" borderId="0" xfId="2" applyFont="1" applyFill="1" applyAlignment="1">
      <alignment vertical="center"/>
    </xf>
    <xf numFmtId="0" fontId="138" fillId="6" borderId="1" xfId="2" applyFont="1" applyFill="1" applyBorder="1" applyAlignment="1">
      <alignment horizontal="left" vertical="center" wrapText="1"/>
    </xf>
    <xf numFmtId="14" fontId="127" fillId="6" borderId="1" xfId="2" applyNumberFormat="1" applyFont="1" applyFill="1" applyBorder="1" applyAlignment="1">
      <alignment horizontal="center" wrapText="1"/>
    </xf>
    <xf numFmtId="0" fontId="127" fillId="6" borderId="1" xfId="2" applyFont="1" applyFill="1" applyBorder="1" applyAlignment="1">
      <alignment horizontal="center" wrapText="1"/>
    </xf>
    <xf numFmtId="179" fontId="250" fillId="6" borderId="1" xfId="2" applyNumberFormat="1" applyFont="1" applyFill="1" applyBorder="1" applyAlignment="1">
      <alignment horizontal="center"/>
    </xf>
    <xf numFmtId="0" fontId="98" fillId="0" borderId="0" xfId="0" applyFont="1" applyAlignment="1"/>
    <xf numFmtId="0" fontId="148" fillId="11" borderId="125"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1"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2" fillId="0" borderId="5" xfId="4" applyFont="1" applyFill="1" applyBorder="1" applyAlignment="1" applyProtection="1">
      <alignment horizontal="left" vertical="center"/>
      <protection locked="0"/>
    </xf>
    <xf numFmtId="0" fontId="252" fillId="0" borderId="158" xfId="4" applyFont="1" applyFill="1" applyBorder="1" applyAlignment="1" applyProtection="1">
      <alignment horizontal="left" vertical="center"/>
      <protection locked="0"/>
    </xf>
    <xf numFmtId="0" fontId="252"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1"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0"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1" fillId="0" borderId="0" xfId="4" applyFont="1" applyAlignment="1" applyProtection="1">
      <alignment horizontal="left" vertical="center"/>
      <protection locked="0"/>
    </xf>
    <xf numFmtId="0" fontId="251" fillId="0" borderId="0" xfId="4" applyFont="1" applyAlignment="1">
      <alignment horizontal="left"/>
    </xf>
    <xf numFmtId="0" fontId="83" fillId="6" borderId="74" xfId="4" applyFont="1" applyFill="1" applyBorder="1" applyAlignment="1" applyProtection="1">
      <alignment vertical="center"/>
      <protection locked="0"/>
    </xf>
    <xf numFmtId="0" fontId="148"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0" borderId="24" xfId="0" applyNumberFormat="1" applyFont="1" applyFill="1" applyBorder="1" applyAlignment="1" applyProtection="1">
      <alignment vertical="center" wrapText="1"/>
      <protection locked="0"/>
    </xf>
    <xf numFmtId="0" fontId="19" fillId="0" borderId="8" xfId="0" applyNumberFormat="1" applyFont="1" applyFill="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49" xfId="0" applyNumberFormat="1" applyFont="1" applyFill="1" applyBorder="1" applyAlignment="1" applyProtection="1">
      <alignment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10" fontId="46" fillId="0" borderId="37" xfId="0" applyNumberFormat="1" applyFont="1" applyFill="1" applyBorder="1" applyAlignment="1" applyProtection="1">
      <alignment horizontal="center" vertical="center" wrapText="1"/>
      <protection locked="0"/>
    </xf>
    <xf numFmtId="0" fontId="133"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3"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95"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5" fillId="0" borderId="87" xfId="7" applyFont="1" applyBorder="1" applyAlignment="1" applyProtection="1">
      <alignment horizontal="center" vertical="center"/>
    </xf>
    <xf numFmtId="0" fontId="135" fillId="0" borderId="0" xfId="7" applyFont="1" applyAlignment="1" applyProtection="1">
      <alignment horizontal="left" vertical="center" wrapText="1"/>
    </xf>
    <xf numFmtId="0" fontId="205"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4"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0" fillId="0" borderId="0" xfId="0" applyFont="1" applyBorder="1" applyAlignment="1" applyProtection="1">
      <alignment horizontal="left" vertical="center" wrapText="1"/>
    </xf>
    <xf numFmtId="194" fontId="209" fillId="0" borderId="0" xfId="0" applyNumberFormat="1" applyFont="1" applyAlignment="1" applyProtection="1">
      <alignment horizontal="right" vertical="center"/>
      <protection locked="0"/>
    </xf>
    <xf numFmtId="0" fontId="222"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1" fillId="0" borderId="0" xfId="0" applyFont="1" applyAlignment="1" applyProtection="1">
      <alignment vertical="center" wrapText="1"/>
      <protection locked="0"/>
    </xf>
    <xf numFmtId="0" fontId="129" fillId="0" borderId="0" xfId="0" applyFont="1" applyBorder="1" applyAlignment="1" applyProtection="1">
      <alignment horizontal="left" vertical="center" wrapText="1"/>
    </xf>
    <xf numFmtId="0" fontId="205" fillId="0" borderId="0" xfId="0" applyFont="1" applyBorder="1" applyAlignment="1" applyProtection="1">
      <alignment horizontal="left" vertical="center"/>
    </xf>
    <xf numFmtId="0" fontId="205"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6"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2" fillId="5"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3" fillId="0" borderId="4" xfId="0" applyNumberFormat="1" applyFont="1" applyFill="1" applyBorder="1" applyAlignment="1" applyProtection="1">
      <alignment horizontal="left" vertical="center"/>
      <protection locked="0"/>
    </xf>
    <xf numFmtId="49" fontId="173" fillId="0" borderId="54" xfId="0" applyNumberFormat="1" applyFont="1" applyFill="1" applyBorder="1" applyAlignment="1" applyProtection="1">
      <alignment horizontal="left" vertical="center"/>
      <protection locked="0"/>
    </xf>
    <xf numFmtId="49" fontId="173" fillId="0" borderId="3" xfId="0" applyNumberFormat="1" applyFont="1" applyFill="1" applyBorder="1" applyAlignment="1" applyProtection="1">
      <alignment horizontal="left" vertical="center"/>
      <protection locked="0"/>
    </xf>
    <xf numFmtId="0" fontId="173" fillId="0" borderId="5" xfId="0" applyNumberFormat="1" applyFont="1" applyBorder="1" applyAlignment="1" applyProtection="1">
      <alignment horizontal="left" vertical="center"/>
      <protection locked="0"/>
    </xf>
    <xf numFmtId="0" fontId="173" fillId="0" borderId="54" xfId="0" applyNumberFormat="1" applyFont="1" applyBorder="1" applyAlignment="1" applyProtection="1">
      <alignment horizontal="left" vertical="center"/>
      <protection locked="0"/>
    </xf>
    <xf numFmtId="0" fontId="173" fillId="0" borderId="3" xfId="0" applyNumberFormat="1" applyFont="1" applyBorder="1" applyAlignment="1" applyProtection="1">
      <alignment horizontal="left" vertical="center"/>
      <protection locked="0"/>
    </xf>
    <xf numFmtId="49" fontId="173" fillId="7" borderId="5" xfId="0" applyNumberFormat="1" applyFont="1" applyFill="1" applyBorder="1" applyAlignment="1" applyProtection="1">
      <alignment horizontal="left" vertical="center"/>
      <protection locked="0"/>
    </xf>
    <xf numFmtId="49" fontId="173" fillId="7" borderId="54" xfId="0" applyNumberFormat="1" applyFont="1" applyFill="1" applyBorder="1" applyAlignment="1" applyProtection="1">
      <alignment horizontal="left" vertical="center"/>
      <protection locked="0"/>
    </xf>
    <xf numFmtId="49" fontId="173" fillId="7" borderId="3" xfId="0" applyNumberFormat="1" applyFont="1" applyFill="1" applyBorder="1" applyAlignment="1" applyProtection="1">
      <alignment horizontal="left" vertical="center"/>
      <protection locked="0"/>
    </xf>
    <xf numFmtId="49" fontId="173" fillId="7" borderId="85" xfId="0" applyNumberFormat="1" applyFont="1" applyFill="1" applyBorder="1" applyAlignment="1" applyProtection="1">
      <alignment horizontal="left" vertical="center"/>
      <protection locked="0"/>
    </xf>
    <xf numFmtId="49" fontId="173" fillId="7" borderId="88" xfId="0" applyNumberFormat="1" applyFont="1" applyFill="1" applyBorder="1" applyAlignment="1" applyProtection="1">
      <alignment horizontal="left" vertical="center"/>
      <protection locked="0"/>
    </xf>
    <xf numFmtId="49" fontId="173"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7" fillId="6" borderId="5" xfId="0" applyNumberFormat="1" applyFont="1" applyFill="1" applyBorder="1" applyAlignment="1" applyProtection="1">
      <alignment horizontal="left" vertical="center" wrapText="1"/>
    </xf>
    <xf numFmtId="10" fontId="117" fillId="6" borderId="54" xfId="0" applyNumberFormat="1" applyFont="1" applyFill="1" applyBorder="1" applyAlignment="1" applyProtection="1">
      <alignment horizontal="left" vertical="center" wrapText="1"/>
    </xf>
    <xf numFmtId="10" fontId="117" fillId="6" borderId="48" xfId="0" applyNumberFormat="1" applyFont="1" applyFill="1" applyBorder="1" applyAlignment="1" applyProtection="1">
      <alignment horizontal="left" vertical="center" wrapText="1"/>
    </xf>
    <xf numFmtId="0" fontId="134" fillId="6" borderId="58" xfId="0" applyFont="1" applyFill="1" applyBorder="1" applyAlignment="1" applyProtection="1">
      <alignment horizontal="left" vertical="center" wrapText="1"/>
    </xf>
    <xf numFmtId="0" fontId="134"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0" fillId="6" borderId="23" xfId="0" applyFont="1" applyFill="1" applyBorder="1" applyAlignment="1" applyProtection="1">
      <alignment horizontal="left" vertical="center"/>
    </xf>
    <xf numFmtId="0" fontId="130"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1" fillId="6" borderId="1" xfId="0" applyFont="1" applyFill="1" applyBorder="1" applyAlignment="1" applyProtection="1">
      <alignment horizontal="center" vertical="center" wrapText="1"/>
      <protection locked="0"/>
    </xf>
    <xf numFmtId="0" fontId="48" fillId="6" borderId="3" xfId="0" applyFont="1" applyFill="1" applyBorder="1" applyAlignment="1" applyProtection="1">
      <alignment horizontal="left" vertical="center"/>
    </xf>
    <xf numFmtId="0" fontId="169" fillId="6" borderId="1" xfId="0" applyFont="1" applyFill="1" applyBorder="1" applyAlignment="1">
      <alignment horizontal="left" vertical="center" wrapText="1"/>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1" fillId="0" borderId="11" xfId="0" applyFont="1" applyFill="1" applyBorder="1" applyAlignment="1" applyProtection="1">
      <alignment horizontal="center" vertical="center" wrapText="1"/>
      <protection locked="0"/>
    </xf>
    <xf numFmtId="0" fontId="171" fillId="0" borderId="61" xfId="0" applyFont="1" applyFill="1" applyBorder="1" applyAlignment="1" applyProtection="1">
      <alignment horizontal="center" vertical="center" wrapText="1"/>
      <protection locked="0"/>
    </xf>
    <xf numFmtId="0" fontId="217" fillId="0" borderId="23" xfId="0" applyFont="1" applyFill="1" applyBorder="1" applyAlignment="1" applyProtection="1">
      <alignment horizontal="center" vertical="center" wrapText="1"/>
      <protection locked="0"/>
    </xf>
    <xf numFmtId="0" fontId="171"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1" fillId="0" borderId="23" xfId="0" applyFont="1" applyFill="1" applyBorder="1" applyAlignment="1" applyProtection="1">
      <alignment horizontal="center" vertical="center" wrapText="1"/>
      <protection locked="0"/>
    </xf>
    <xf numFmtId="0" fontId="171" fillId="0" borderId="22" xfId="0" applyFont="1" applyFill="1" applyBorder="1" applyAlignment="1" applyProtection="1">
      <alignment horizontal="center" vertical="center" wrapText="1"/>
      <protection locked="0"/>
    </xf>
    <xf numFmtId="0" fontId="171" fillId="0" borderId="46" xfId="0" applyFont="1" applyFill="1" applyBorder="1" applyAlignment="1" applyProtection="1">
      <alignment horizontal="center" vertical="center" wrapText="1"/>
      <protection locked="0"/>
    </xf>
    <xf numFmtId="0" fontId="217" fillId="0" borderId="3" xfId="0" applyFont="1" applyFill="1" applyBorder="1" applyAlignment="1" applyProtection="1">
      <alignment horizontal="center" vertical="center" wrapText="1"/>
      <protection locked="0"/>
    </xf>
    <xf numFmtId="0" fontId="171" fillId="0" borderId="5" xfId="0" applyFont="1" applyFill="1" applyBorder="1" applyAlignment="1" applyProtection="1">
      <alignment horizontal="center" vertical="center" wrapText="1"/>
      <protection locked="0"/>
    </xf>
    <xf numFmtId="0" fontId="117" fillId="6" borderId="34" xfId="0" applyFont="1" applyFill="1" applyBorder="1" applyAlignment="1" applyProtection="1">
      <alignment horizontal="left" vertical="center" wrapText="1"/>
    </xf>
    <xf numFmtId="0" fontId="117"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44" fillId="6" borderId="15" xfId="0" applyFont="1" applyFill="1" applyBorder="1" applyAlignment="1" applyProtection="1">
      <alignment vertical="center" wrapText="1"/>
    </xf>
    <xf numFmtId="0" fontId="144"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3" fillId="6" borderId="13" xfId="0" applyFont="1" applyFill="1" applyBorder="1" applyAlignment="1" applyProtection="1">
      <alignmen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3" fillId="6" borderId="5" xfId="0" applyFont="1" applyFill="1" applyBorder="1" applyAlignment="1">
      <alignment horizontal="center" vertical="center"/>
    </xf>
    <xf numFmtId="0" fontId="213" fillId="6" borderId="3" xfId="0" applyFont="1" applyFill="1" applyBorder="1" applyAlignment="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71"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0" fillId="6" borderId="1" xfId="0" applyFont="1" applyFill="1" applyBorder="1" applyAlignment="1" applyProtection="1">
      <alignment horizontal="center" vertical="center"/>
    </xf>
    <xf numFmtId="0" fontId="148" fillId="11" borderId="131"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0" fontId="148"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06" fillId="0" borderId="0" xfId="9" applyFont="1" applyAlignment="1">
      <alignment horizontal="left" vertical="center"/>
    </xf>
    <xf numFmtId="0" fontId="146" fillId="0" borderId="0" xfId="9" applyFont="1" applyAlignment="1">
      <alignment horizontal="left" vertical="center"/>
    </xf>
    <xf numFmtId="0" fontId="148"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8"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6" fillId="6" borderId="0" xfId="0" applyFont="1" applyFill="1" applyAlignment="1" applyProtection="1">
      <alignment horizontal="center" vertical="center"/>
    </xf>
    <xf numFmtId="0" fontId="115" fillId="6" borderId="0" xfId="0" applyFont="1" applyFill="1" applyBorder="1" applyAlignment="1" applyProtection="1">
      <alignment horizontal="left" vertical="center"/>
    </xf>
    <xf numFmtId="0" fontId="114" fillId="6" borderId="6" xfId="0" applyFont="1" applyFill="1" applyBorder="1" applyAlignment="1" applyProtection="1">
      <alignment horizontal="center" vertical="center" wrapText="1"/>
    </xf>
    <xf numFmtId="0" fontId="114" fillId="6" borderId="25" xfId="0" applyFont="1" applyFill="1" applyBorder="1" applyAlignment="1" applyProtection="1">
      <alignment horizontal="center" vertical="center" wrapText="1"/>
    </xf>
    <xf numFmtId="0" fontId="49" fillId="9" borderId="5" xfId="0" applyFont="1" applyFill="1" applyBorder="1" applyAlignment="1" applyProtection="1">
      <alignment horizontal="left" vertical="center"/>
    </xf>
    <xf numFmtId="0" fontId="56" fillId="6" borderId="1" xfId="0" applyFont="1" applyFill="1" applyBorder="1" applyAlignment="1" applyProtection="1">
      <alignment horizontal="left" vertical="center" wrapText="1"/>
    </xf>
    <xf numFmtId="192"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10" fontId="55" fillId="6" borderId="1" xfId="0" applyNumberFormat="1" applyFont="1" applyFill="1" applyBorder="1" applyAlignment="1" applyProtection="1">
      <alignment horizontal="left" vertical="center"/>
    </xf>
    <xf numFmtId="9" fontId="55" fillId="6" borderId="1" xfId="0" applyNumberFormat="1" applyFont="1" applyFill="1" applyBorder="1" applyAlignment="1" applyProtection="1">
      <alignment horizontal="left" vertical="center"/>
    </xf>
    <xf numFmtId="9" fontId="55" fillId="6" borderId="13" xfId="0" applyNumberFormat="1" applyFont="1" applyFill="1" applyBorder="1" applyAlignment="1" applyProtection="1">
      <alignment horizontal="left" vertical="center"/>
    </xf>
    <xf numFmtId="0" fontId="55" fillId="6" borderId="5" xfId="0" applyFont="1" applyFill="1" applyBorder="1" applyAlignment="1" applyProtection="1">
      <alignment horizontal="left" vertical="center"/>
    </xf>
    <xf numFmtId="0" fontId="55" fillId="6" borderId="54" xfId="0" applyFont="1" applyFill="1" applyBorder="1" applyAlignment="1" applyProtection="1">
      <alignment horizontal="left" vertical="center"/>
    </xf>
    <xf numFmtId="0" fontId="55" fillId="6" borderId="3" xfId="0" applyFont="1" applyFill="1" applyBorder="1" applyAlignment="1" applyProtection="1">
      <alignment horizontal="left" vertical="center"/>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4" xfId="0" applyFont="1" applyFill="1" applyBorder="1" applyAlignment="1" applyProtection="1">
      <alignment horizontal="left" vertical="center"/>
    </xf>
    <xf numFmtId="0" fontId="55" fillId="6" borderId="13" xfId="0" applyFont="1" applyFill="1" applyBorder="1" applyAlignment="1" applyProtection="1">
      <alignment horizontal="left" vertical="center" wrapText="1"/>
    </xf>
    <xf numFmtId="0" fontId="55" fillId="6" borderId="58" xfId="0"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0" fontId="55" fillId="6" borderId="35"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55" fillId="6" borderId="4"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吴薇（注册号：0)、郑燚（注册号：0)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估价对象为北京市房地产，为所有。根据，估价对象（分摊）出让国有建设用地使用权面积为0平方米，建筑面积为2555.66平方米。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估价对象为北京市房地产,为开发建设的，该项目尚在开发建设中。根据，估价对象（分摊）出让国有建设用地使用权面积为0平方米，规划建筑面积为2555.66平方米。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2022年3月8日（评估专业人员实地查勘之日）</v>
      </c>
    </row>
    <row r="13" spans="1:2" s="1337" customFormat="1">
      <c r="A13" s="1335" t="s">
        <v>1135</v>
      </c>
      <c r="B13" s="1336" t="str">
        <f>'预评函-1'!A18</f>
        <v>本次估价的“房地产价值”是指在正常市场情况下，在价值时点2022年3月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本次评估采用的主估价方法为比较法和收益法。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1376</v>
      </c>
    </row>
    <row r="21" spans="1:2" s="1337" customFormat="1">
      <c r="A21" s="1335" t="s">
        <v>1143</v>
      </c>
      <c r="B21" s="1336">
        <f ca="1">'预评函-2'!D7</f>
        <v>5384</v>
      </c>
    </row>
    <row r="22" spans="1:2" s="1337" customFormat="1">
      <c r="A22" s="1335" t="s">
        <v>1144</v>
      </c>
      <c r="B22" s="1336" t="str">
        <f ca="1">'预评函-2'!D6</f>
        <v>壹仟叁佰柒拾陆万元整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1376</v>
      </c>
    </row>
    <row r="31" spans="1:2" s="1337" customFormat="1">
      <c r="A31" s="1335" t="s">
        <v>1182</v>
      </c>
      <c r="B31" s="1336">
        <f ca="1">'预评函-2'!D15</f>
        <v>5384</v>
      </c>
    </row>
    <row r="32" spans="1:2" s="1337" customFormat="1">
      <c r="A32" s="1335" t="s">
        <v>1149</v>
      </c>
      <c r="B32" s="1336" t="str">
        <f ca="1">'预评函-2'!D14</f>
        <v>壹仟叁佰柒拾陆万元整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2555.66</v>
      </c>
    </row>
    <row r="44" spans="1:2" s="1337" customFormat="1">
      <c r="A44" s="1335" t="s">
        <v>1181</v>
      </c>
      <c r="B44" s="1336" t="str">
        <f>'预评函-3'!C2</f>
        <v>(分摊)土地面积</v>
      </c>
    </row>
    <row r="45" spans="1:2" s="1337" customFormat="1">
      <c r="A45" s="1335" t="s">
        <v>1153</v>
      </c>
      <c r="B45" s="1336">
        <f>'预评函-3'!C4</f>
        <v>0</v>
      </c>
    </row>
    <row r="46" spans="1:2" s="1337" customFormat="1">
      <c r="A46" s="1335" t="s">
        <v>1179</v>
      </c>
      <c r="B46" s="1336" t="str">
        <f>'预评函-3'!D2</f>
        <v>出让国有建设用地使用权价值</v>
      </c>
    </row>
    <row r="47" spans="1:2" s="1337" customFormat="1">
      <c r="A47" s="1335" t="s">
        <v>1154</v>
      </c>
      <c r="B47" s="1336">
        <f ca="1">'预评函-3'!D4</f>
        <v>-575</v>
      </c>
    </row>
    <row r="48" spans="1:2" s="1337" customFormat="1">
      <c r="A48" s="1335" t="s">
        <v>1155</v>
      </c>
      <c r="B48" s="1336">
        <f ca="1">'预评函-3'!E4</f>
        <v>-2250</v>
      </c>
    </row>
    <row r="49" spans="1:2" s="1337" customFormat="1">
      <c r="A49" s="1335" t="s">
        <v>1156</v>
      </c>
      <c r="B49" s="1336" t="e">
        <f ca="1">'预评函-3'!D5</f>
        <v>#NUM!</v>
      </c>
    </row>
    <row r="50" spans="1:2" s="1337" customFormat="1">
      <c r="A50" s="1335" t="s">
        <v>1180</v>
      </c>
      <c r="B50" s="1336" t="str">
        <f>'预评函-3'!F2</f>
        <v>在建建筑物价值</v>
      </c>
    </row>
    <row r="51" spans="1:2" s="1337" customFormat="1">
      <c r="A51" s="1335" t="s">
        <v>1157</v>
      </c>
      <c r="B51" s="1336">
        <f ca="1">'预评函-3'!F4</f>
        <v>1951</v>
      </c>
    </row>
    <row r="52" spans="1:2" s="1337" customFormat="1">
      <c r="A52" s="1335" t="s">
        <v>1158</v>
      </c>
      <c r="B52" s="1336">
        <f ca="1">'预评函-3'!G4</f>
        <v>7634</v>
      </c>
    </row>
    <row r="53" spans="1:2" s="1337" customFormat="1">
      <c r="A53" s="1335" t="s">
        <v>1186</v>
      </c>
      <c r="B53" s="1336" t="str">
        <f ca="1">'预评函-3'!F5</f>
        <v>壹仟玖佰伍拾壹万元整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吴薇</v>
      </c>
    </row>
    <row r="71" spans="1:2">
      <c r="A71" s="1335" t="s">
        <v>1169</v>
      </c>
      <c r="B71" s="1336">
        <f ca="1">'预评函-4'!B4</f>
        <v>0</v>
      </c>
    </row>
    <row r="72" spans="1:2">
      <c r="A72" s="1335" t="s">
        <v>1170</v>
      </c>
      <c r="B72" s="1344" t="str">
        <f>'预评函-4'!A5</f>
        <v>郑燚</v>
      </c>
    </row>
    <row r="73" spans="1:2" s="1331" customFormat="1" ht="15" thickBot="1">
      <c r="A73" s="1338" t="s">
        <v>1171</v>
      </c>
      <c r="B73" s="1339">
        <f ca="1">'预评函-4'!B5</f>
        <v>0</v>
      </c>
    </row>
    <row r="74" spans="1:2" ht="15" thickTop="1">
      <c r="A74" s="1328" t="s">
        <v>1207</v>
      </c>
      <c r="B74" s="1345" t="str">
        <f>'预评函-4'!A8</f>
        <v>XX</v>
      </c>
    </row>
  </sheetData>
  <sheetProtection sheet="1" objects="1" scenarios="1"/>
  <phoneticPr fontId="1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98" t="str">
        <f>项目基本情况!B1</f>
        <v>北京市房地产抵押价值预评估</v>
      </c>
      <c r="C37" s="3198"/>
      <c r="D37" s="3198"/>
      <c r="E37" s="3198"/>
      <c r="F37" s="3198"/>
      <c r="G37" s="3198"/>
      <c r="H37" s="3198"/>
      <c r="I37" s="319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吴薇（注册号：0)、郑燚（注册号：0)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36">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估价对象为北京市房地产，为所有。根据，估价对象（分摊）出让国有建设用地使用权面积为0平方米，建筑面积为2555.66平方米。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估价对象为北京市房地产,为开发建设的，该项目尚在开发建设中。根据，估价对象（分摊）出让国有建设用地使用权面积为0平方米，规划建筑面积为2555.66平方米。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2022年3月8日（评估专业人员实地查勘之日）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本次评估采用的主估价方法为比较法和收益法。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3"/>
      <c r="C2" s="3203"/>
      <c r="D2" s="3203"/>
      <c r="E2" s="3203"/>
    </row>
    <row r="3" spans="1:5" ht="18">
      <c r="A3" s="3204" t="str">
        <f>IF(项目基本情况!B9="房地产市场价值","估价结果一览表（市场价值不需“结果表-1”）","估价结果一览表")</f>
        <v>估价结果一览表</v>
      </c>
      <c r="B3" s="3204"/>
      <c r="C3" s="3204"/>
      <c r="D3" s="3204"/>
      <c r="E3" s="3204"/>
    </row>
    <row r="4" spans="1:5" ht="19.5" thickBot="1">
      <c r="A4" s="1648"/>
      <c r="B4" s="3202" t="s">
        <v>1535</v>
      </c>
      <c r="C4" s="3202"/>
      <c r="D4" s="3202"/>
      <c r="E4" s="1648"/>
    </row>
    <row r="5" spans="1:5" ht="16.5" thickTop="1">
      <c r="A5" s="1646"/>
      <c r="B5" s="3200" t="s">
        <v>1527</v>
      </c>
      <c r="C5" s="1649" t="s">
        <v>1528</v>
      </c>
      <c r="D5" s="959">
        <f ca="1">结果表!H101</f>
        <v>1376</v>
      </c>
      <c r="E5" s="1646"/>
    </row>
    <row r="6" spans="1:5" ht="15.75">
      <c r="A6" s="1646"/>
      <c r="B6" s="3200"/>
      <c r="C6" s="1649" t="s">
        <v>1529</v>
      </c>
      <c r="D6" s="959" t="str">
        <f ca="1">NUMBERSTRING(INT(D5*10000),2)&amp;"元整"</f>
        <v>壹仟叁佰柒拾陆万元整</v>
      </c>
      <c r="E6" s="1646"/>
    </row>
    <row r="7" spans="1:5" ht="15.75">
      <c r="A7" s="1646"/>
      <c r="B7" s="3205"/>
      <c r="C7" s="1650" t="s">
        <v>1530</v>
      </c>
      <c r="D7" s="960">
        <f ca="1">结果表!H102</f>
        <v>5384</v>
      </c>
      <c r="E7" s="1646"/>
    </row>
    <row r="8" spans="1:5" ht="15.75">
      <c r="A8" s="1646"/>
      <c r="B8" s="3206" t="str">
        <f>结果表!E103</f>
        <v>2.估价师知悉的法定优先受偿款</v>
      </c>
      <c r="C8" s="1651" t="s">
        <v>1531</v>
      </c>
      <c r="D8" s="960">
        <f>结果表!H103</f>
        <v>0</v>
      </c>
      <c r="E8" s="1646"/>
    </row>
    <row r="9" spans="1:5" ht="15.75">
      <c r="A9" s="1646"/>
      <c r="B9" s="3208"/>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199" t="str">
        <f>结果表!E107</f>
        <v>3.房地产抵押价值</v>
      </c>
      <c r="C13" s="1654" t="s">
        <v>1528</v>
      </c>
      <c r="D13" s="962">
        <f ca="1">结果表!H107</f>
        <v>1376</v>
      </c>
      <c r="E13" s="1646"/>
    </row>
    <row r="14" spans="1:5" ht="15.75">
      <c r="A14" s="1646"/>
      <c r="B14" s="3200"/>
      <c r="C14" s="1649" t="s">
        <v>1529</v>
      </c>
      <c r="D14" s="959" t="str">
        <f ca="1">NUMBERSTRING(INT(D13*10000),2)&amp;"元整"</f>
        <v>壹仟叁佰柒拾陆万元整</v>
      </c>
      <c r="E14" s="1646"/>
    </row>
    <row r="15" spans="1:5" ht="15">
      <c r="A15" s="1646"/>
      <c r="B15" s="3205"/>
      <c r="C15" s="1650" t="s">
        <v>1539</v>
      </c>
      <c r="D15" s="968">
        <f ca="1">结果表!H108</f>
        <v>5384</v>
      </c>
      <c r="E15" s="1646"/>
    </row>
    <row r="16" spans="1:5" ht="15">
      <c r="A16" s="1646"/>
      <c r="B16" s="3206" t="str">
        <f>结果表!E109</f>
        <v>——</v>
      </c>
      <c r="C16" s="1654" t="s">
        <v>1540</v>
      </c>
      <c r="D16" s="1655" t="str">
        <f>结果表!H109</f>
        <v>——</v>
      </c>
      <c r="E16" s="1646"/>
    </row>
    <row r="17" spans="1:5" ht="15.75">
      <c r="A17" s="1646"/>
      <c r="B17" s="3207"/>
      <c r="C17" s="1649" t="s">
        <v>1541</v>
      </c>
      <c r="D17" s="959" t="e">
        <f>NUMBERSTRING(INT(D16*10000),2)&amp;"元整"</f>
        <v>#VALUE!</v>
      </c>
      <c r="E17" s="1646"/>
    </row>
    <row r="18" spans="1:5" ht="15">
      <c r="A18" s="1646"/>
      <c r="B18" s="3208"/>
      <c r="C18" s="1650" t="s">
        <v>1530</v>
      </c>
      <c r="D18" s="968" t="str">
        <f>结果表!H110</f>
        <v>——</v>
      </c>
      <c r="E18" s="1646"/>
    </row>
    <row r="19" spans="1:5" ht="15.75">
      <c r="A19" s="1646"/>
      <c r="B19" s="3199" t="str">
        <f>结果表!E111</f>
        <v>——</v>
      </c>
      <c r="C19" s="1654" t="s">
        <v>1528</v>
      </c>
      <c r="D19" s="960" t="str">
        <f>结果表!H111</f>
        <v>——</v>
      </c>
      <c r="E19" s="1646"/>
    </row>
    <row r="20" spans="1:5" ht="15.75">
      <c r="A20" s="1646"/>
      <c r="B20" s="3200"/>
      <c r="C20" s="1649" t="s">
        <v>1541</v>
      </c>
      <c r="D20" s="959" t="e">
        <f>NUMBERSTRING(INT(D19*10000),2)&amp;"元整"</f>
        <v>#VALUE!</v>
      </c>
      <c r="E20" s="1646"/>
    </row>
    <row r="21" spans="1:5" ht="15.75" thickBot="1">
      <c r="A21" s="1646"/>
      <c r="B21" s="3201"/>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18" t="str">
        <f>IF(项目基本情况!B9="房地产市场价值","估价结果一览表","结果表-2")</f>
        <v>结果表-2</v>
      </c>
      <c r="B1" s="3218"/>
      <c r="C1" s="3218"/>
      <c r="D1" s="3218"/>
      <c r="E1" s="3218"/>
      <c r="F1" s="3218"/>
      <c r="G1" s="3218"/>
      <c r="H1" s="3218"/>
      <c r="I1" s="3218"/>
    </row>
    <row r="2" spans="1:9" ht="30" customHeight="1" thickTop="1">
      <c r="A2" s="3219" t="s">
        <v>1546</v>
      </c>
      <c r="B2" s="3219" t="s">
        <v>1547</v>
      </c>
      <c r="C2" s="3219" t="s">
        <v>1548</v>
      </c>
      <c r="D2" s="3219" t="str">
        <f>结果表!D116</f>
        <v>出让国有建设用地使用权价值</v>
      </c>
      <c r="E2" s="3219"/>
      <c r="F2" s="3219" t="str">
        <f>结果表!F116</f>
        <v>在建建筑物价值</v>
      </c>
      <c r="G2" s="3219"/>
      <c r="H2" s="3219" t="str">
        <f>IF(项目基本情况!B9="房地产市场价值","房地产市场价值","房地产价值")</f>
        <v>房地产价值</v>
      </c>
      <c r="I2" s="3219"/>
    </row>
    <row r="3" spans="1:9" ht="15">
      <c r="A3" s="3213"/>
      <c r="B3" s="3213"/>
      <c r="C3" s="3213"/>
      <c r="D3" s="963" t="s">
        <v>1543</v>
      </c>
      <c r="E3" s="963" t="s">
        <v>1549</v>
      </c>
      <c r="F3" s="963" t="s">
        <v>1543</v>
      </c>
      <c r="G3" s="963" t="s">
        <v>1544</v>
      </c>
      <c r="H3" s="963" t="s">
        <v>1543</v>
      </c>
      <c r="I3" s="963" t="s">
        <v>1544</v>
      </c>
    </row>
    <row r="4" spans="1:9" ht="15">
      <c r="A4" s="1660" t="str">
        <f>项目基本情况!S2</f>
        <v>北京市房地产</v>
      </c>
      <c r="B4" s="963">
        <f>项目基本情况!C17</f>
        <v>2555.66</v>
      </c>
      <c r="C4" s="963">
        <f>项目基本情况!C18</f>
        <v>0</v>
      </c>
      <c r="D4" s="963">
        <f ca="1">结果表!D118</f>
        <v>-575</v>
      </c>
      <c r="E4" s="963">
        <f ca="1">结果表!E118</f>
        <v>-2250</v>
      </c>
      <c r="F4" s="963">
        <f ca="1">结果表!F118</f>
        <v>1951</v>
      </c>
      <c r="G4" s="963">
        <f ca="1">结果表!G118</f>
        <v>7634</v>
      </c>
      <c r="H4" s="963">
        <f ca="1">结果表!H118</f>
        <v>1376</v>
      </c>
      <c r="I4" s="963">
        <f ca="1">结果表!I118</f>
        <v>5384</v>
      </c>
    </row>
    <row r="5" spans="1:9" ht="30" customHeight="1">
      <c r="A5" s="3213" t="s">
        <v>1545</v>
      </c>
      <c r="B5" s="3213"/>
      <c r="C5" s="3213"/>
      <c r="D5" s="3214" t="e">
        <f ca="1">结果表!D119</f>
        <v>#NUM!</v>
      </c>
      <c r="E5" s="3214"/>
      <c r="F5" s="3214" t="str">
        <f ca="1">结果表!F119</f>
        <v>壹仟玖佰伍拾壹万元整</v>
      </c>
      <c r="G5" s="3214"/>
      <c r="H5" s="3214" t="str">
        <f ca="1">结果表!H119</f>
        <v>壹仟叁佰柒拾陆万元整</v>
      </c>
      <c r="I5" s="3214"/>
    </row>
    <row r="6" spans="1:9" ht="15.75">
      <c r="A6" s="3212" t="str">
        <f>结果表!A120</f>
        <v>估价师知悉的法定优先受偿款</v>
      </c>
      <c r="B6" s="3212"/>
      <c r="C6" s="3212"/>
      <c r="D6" s="3212">
        <f>结果表!D120</f>
        <v>0</v>
      </c>
      <c r="E6" s="3212"/>
      <c r="F6" s="3212"/>
      <c r="G6" s="3212"/>
      <c r="H6" s="3212"/>
      <c r="I6" s="3212"/>
    </row>
    <row r="7" spans="1:9" ht="15">
      <c r="A7" s="3213" t="s">
        <v>1545</v>
      </c>
      <c r="B7" s="3213"/>
      <c r="C7" s="3213"/>
      <c r="D7" s="3215" t="str">
        <f>结果表!D121</f>
        <v>零元整</v>
      </c>
      <c r="E7" s="3216"/>
      <c r="F7" s="3216"/>
      <c r="G7" s="3216"/>
      <c r="H7" s="3216"/>
      <c r="I7" s="3217"/>
    </row>
    <row r="8" spans="1:9" ht="15.75">
      <c r="A8" s="3212" t="str">
        <f>结果表!A122</f>
        <v>房地产抵押价值</v>
      </c>
      <c r="B8" s="3212"/>
      <c r="C8" s="3212"/>
      <c r="D8" s="3212">
        <f ca="1">结果表!D122</f>
        <v>1376</v>
      </c>
      <c r="E8" s="3212"/>
      <c r="F8" s="3212"/>
      <c r="G8" s="3212"/>
      <c r="H8" s="3212"/>
      <c r="I8" s="3212"/>
    </row>
    <row r="9" spans="1:9" ht="15">
      <c r="A9" s="3213" t="s">
        <v>1545</v>
      </c>
      <c r="B9" s="3213"/>
      <c r="C9" s="3213"/>
      <c r="D9" s="3214" t="str">
        <f ca="1">结果表!D123</f>
        <v>壹仟叁佰柒拾陆万元整</v>
      </c>
      <c r="E9" s="3214"/>
      <c r="F9" s="3214"/>
      <c r="G9" s="3214"/>
      <c r="H9" s="3214"/>
      <c r="I9" s="3214"/>
    </row>
    <row r="10" spans="1:9" ht="15.75">
      <c r="A10" s="3212" t="str">
        <f>结果表!A124</f>
        <v/>
      </c>
      <c r="B10" s="3212"/>
      <c r="C10" s="3212"/>
      <c r="D10" s="3212" t="str">
        <f>结果表!D124</f>
        <v>——</v>
      </c>
      <c r="E10" s="3212"/>
      <c r="F10" s="3212"/>
      <c r="G10" s="3212"/>
      <c r="H10" s="3212"/>
      <c r="I10" s="3212"/>
    </row>
    <row r="11" spans="1:9" ht="15">
      <c r="A11" s="3213" t="s">
        <v>1545</v>
      </c>
      <c r="B11" s="3213"/>
      <c r="C11" s="3213"/>
      <c r="D11" s="3214" t="e">
        <f>结果表!D125</f>
        <v>#VALUE!</v>
      </c>
      <c r="E11" s="3214"/>
      <c r="F11" s="3214"/>
      <c r="G11" s="3214"/>
      <c r="H11" s="3214"/>
      <c r="I11" s="3214"/>
    </row>
    <row r="12" spans="1:9" ht="15.75">
      <c r="A12" s="3212" t="str">
        <f>结果表!A126</f>
        <v/>
      </c>
      <c r="B12" s="3212"/>
      <c r="C12" s="3212"/>
      <c r="D12" s="3212" t="str">
        <f>结果表!D126</f>
        <v>——</v>
      </c>
      <c r="E12" s="3212"/>
      <c r="F12" s="3212"/>
      <c r="G12" s="3212"/>
      <c r="H12" s="3212"/>
      <c r="I12" s="3212"/>
    </row>
    <row r="13" spans="1:9" ht="15.75" thickBot="1">
      <c r="A13" s="3209" t="s">
        <v>1545</v>
      </c>
      <c r="B13" s="3209"/>
      <c r="C13" s="3209"/>
      <c r="D13" s="3210" t="e">
        <f>结果表!D127</f>
        <v>#VALUE!</v>
      </c>
      <c r="E13" s="3210"/>
      <c r="F13" s="3210"/>
      <c r="G13" s="3210"/>
      <c r="H13" s="3210"/>
      <c r="I13" s="3210"/>
    </row>
    <row r="14" spans="1:9" ht="15" thickTop="1">
      <c r="A14" s="3211" t="s">
        <v>1550</v>
      </c>
      <c r="B14" s="3211"/>
      <c r="C14" s="3211"/>
      <c r="D14" s="3211"/>
      <c r="E14" s="3211"/>
      <c r="F14" s="3211"/>
      <c r="G14" s="3211"/>
      <c r="H14" s="3211"/>
      <c r="I14" s="3211"/>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26" t="s">
        <v>1567</v>
      </c>
      <c r="B1" s="3226"/>
      <c r="C1" s="3226"/>
      <c r="D1" s="3226"/>
    </row>
    <row r="2" spans="1:4" ht="18">
      <c r="A2" s="3227" t="s">
        <v>1551</v>
      </c>
      <c r="B2" s="3227"/>
      <c r="C2" s="3227"/>
      <c r="D2" s="3227"/>
    </row>
    <row r="3" spans="1:4" ht="18.75">
      <c r="A3" s="1664" t="s">
        <v>1552</v>
      </c>
      <c r="B3" s="1664" t="s">
        <v>1553</v>
      </c>
      <c r="C3" s="1664" t="s">
        <v>1554</v>
      </c>
      <c r="D3" s="1664" t="s">
        <v>1555</v>
      </c>
    </row>
    <row r="4" spans="1:4" ht="56.25" customHeight="1">
      <c r="A4" s="1665" t="str">
        <f>项目基本情况!B4</f>
        <v>吴薇</v>
      </c>
      <c r="B4" s="1666">
        <f ca="1">项目基本情况!C4</f>
        <v>0</v>
      </c>
      <c r="C4" s="1667"/>
      <c r="D4" s="1668" t="s">
        <v>1556</v>
      </c>
    </row>
    <row r="5" spans="1:4" ht="56.25" customHeight="1">
      <c r="A5" s="1665" t="str">
        <f>项目基本情况!D4</f>
        <v>郑燚</v>
      </c>
      <c r="B5" s="1666">
        <f ca="1">项目基本情况!E4</f>
        <v>0</v>
      </c>
      <c r="C5" s="1669"/>
      <c r="D5" s="1668" t="s">
        <v>1556</v>
      </c>
    </row>
    <row r="6" spans="1:4" ht="18">
      <c r="A6" s="3227" t="s">
        <v>1557</v>
      </c>
      <c r="B6" s="3227"/>
      <c r="C6" s="3227"/>
      <c r="D6" s="3227"/>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28" t="s">
        <v>1560</v>
      </c>
      <c r="B11" s="3220"/>
      <c r="C11" s="3220"/>
      <c r="D11" s="3220"/>
    </row>
    <row r="12" spans="1:4" ht="15.75">
      <c r="A12" s="32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5"/>
      <c r="C12" s="3225"/>
      <c r="D12" s="3225"/>
    </row>
    <row r="13" spans="1:4" ht="30" customHeight="1">
      <c r="A13" s="32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5"/>
      <c r="C13" s="3225"/>
      <c r="D13" s="3225"/>
    </row>
    <row r="14" spans="1:4" ht="15.75" customHeight="1">
      <c r="A14" s="3220" t="str">
        <f>IF(项目基本情况!B8="抵押","4.本次评估估价师所知悉的法定优先受偿款情况说明如下：","——")</f>
        <v>4.本次评估估价师所知悉的法定优先受偿款情况说明如下：</v>
      </c>
      <c r="B14" s="3225"/>
      <c r="C14" s="3225"/>
      <c r="D14" s="3225"/>
    </row>
    <row r="15" spans="1:4" ht="42" customHeight="1">
      <c r="A15" s="32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0"/>
      <c r="C15" s="3220"/>
      <c r="D15" s="3220"/>
    </row>
    <row r="16" spans="1:4" ht="30" customHeight="1">
      <c r="A16" s="3222" t="s">
        <v>1561</v>
      </c>
      <c r="B16" s="3222"/>
      <c r="C16" s="3222"/>
      <c r="D16" s="3222"/>
    </row>
    <row r="17" spans="1:4" ht="144" customHeight="1">
      <c r="A17" s="3222" t="s">
        <v>1562</v>
      </c>
      <c r="B17" s="3222"/>
      <c r="C17" s="3222"/>
      <c r="D17" s="3222"/>
    </row>
    <row r="18" spans="1:4" ht="15.75" customHeight="1">
      <c r="A18" s="3220" t="str">
        <f>IF(项目基本情况!B8="抵押",结果表!K120,"——")</f>
        <v>故，本次评估不存在估价师知悉的法定优先受偿款</v>
      </c>
      <c r="B18" s="3220"/>
      <c r="C18" s="3220"/>
      <c r="D18" s="3220"/>
    </row>
    <row r="19" spans="1:4" ht="46.5" customHeight="1">
      <c r="A19" s="32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0"/>
      <c r="C19" s="3220"/>
      <c r="D19" s="3220"/>
    </row>
    <row r="20" spans="1:4" ht="57.75" customHeight="1">
      <c r="A20" s="32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20"/>
      <c r="C20" s="3220"/>
      <c r="D20" s="3220"/>
    </row>
    <row r="21" spans="1:4" ht="57.75" customHeight="1">
      <c r="A21" s="32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3"/>
      <c r="C21" s="3223"/>
      <c r="D21" s="3223"/>
    </row>
    <row r="22" spans="1:4" ht="18.75" customHeight="1">
      <c r="A22" s="3224" t="s">
        <v>1563</v>
      </c>
      <c r="B22" s="3224"/>
      <c r="C22" s="3224"/>
      <c r="D22" s="3224"/>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21">
        <v>42551</v>
      </c>
      <c r="D31" s="32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34" t="s">
        <v>1574</v>
      </c>
      <c r="B15" s="3229" t="s">
        <v>136</v>
      </c>
      <c r="C15" s="3230"/>
    </row>
    <row r="16" spans="1:7" ht="13.5">
      <c r="A16" s="3235"/>
      <c r="B16" s="3229" t="s">
        <v>69</v>
      </c>
      <c r="C16" s="3230"/>
    </row>
    <row r="17" spans="1:3" ht="13.5">
      <c r="A17" s="3235"/>
      <c r="B17" s="3232" t="s">
        <v>1575</v>
      </c>
      <c r="C17" s="1687" t="s">
        <v>1574</v>
      </c>
    </row>
    <row r="18" spans="1:3" ht="13.5">
      <c r="A18" s="3235"/>
      <c r="B18" s="3232"/>
      <c r="C18" s="1687" t="s">
        <v>1576</v>
      </c>
    </row>
    <row r="19" spans="1:3" ht="13.5">
      <c r="A19" s="3235"/>
      <c r="B19" s="3232"/>
      <c r="C19" s="1687" t="s">
        <v>1577</v>
      </c>
    </row>
    <row r="20" spans="1:3" ht="13.5">
      <c r="A20" s="3236"/>
      <c r="B20" s="3231" t="s">
        <v>1578</v>
      </c>
      <c r="C20" s="3230"/>
    </row>
    <row r="21" spans="1:3" ht="13.5">
      <c r="A21" s="1688" t="s">
        <v>1579</v>
      </c>
      <c r="B21" s="1689"/>
      <c r="C21" s="1690"/>
    </row>
    <row r="22" spans="1:3" ht="13.5">
      <c r="A22" s="3233" t="s">
        <v>1580</v>
      </c>
      <c r="B22" s="3231" t="s">
        <v>1581</v>
      </c>
      <c r="C22" s="3230"/>
    </row>
    <row r="23" spans="1:3" ht="13.5">
      <c r="A23" s="3233"/>
      <c r="B23" s="3231" t="s">
        <v>1582</v>
      </c>
      <c r="C23" s="3230"/>
    </row>
    <row r="24" spans="1:3" ht="13.5">
      <c r="A24" s="3233"/>
      <c r="B24" s="3231" t="s">
        <v>1583</v>
      </c>
      <c r="C24" s="3230"/>
    </row>
    <row r="25" spans="1:3" ht="13.5">
      <c r="A25" s="3233"/>
      <c r="B25" s="3232" t="s">
        <v>1584</v>
      </c>
      <c r="C25" s="1687" t="s">
        <v>1585</v>
      </c>
    </row>
    <row r="26" spans="1:3" ht="13.5">
      <c r="A26" s="3233"/>
      <c r="B26" s="3232"/>
      <c r="C26" s="1687" t="s">
        <v>1586</v>
      </c>
    </row>
    <row r="27" spans="1:3" ht="13.5">
      <c r="A27" s="3233"/>
      <c r="B27" s="3232"/>
      <c r="C27" s="1687" t="s">
        <v>1587</v>
      </c>
    </row>
    <row r="28" spans="1:3" ht="13.5">
      <c r="A28" s="3233"/>
      <c r="B28" s="3232"/>
      <c r="C28" s="1687" t="s">
        <v>1588</v>
      </c>
    </row>
    <row r="29" spans="1:3" ht="13.5">
      <c r="A29" s="3233"/>
      <c r="B29" s="3232"/>
      <c r="C29" s="1687" t="s">
        <v>1589</v>
      </c>
    </row>
    <row r="30" spans="1:3" ht="13.5">
      <c r="A30" s="3233"/>
      <c r="B30" s="3232"/>
      <c r="C30" s="1687" t="s">
        <v>1590</v>
      </c>
    </row>
    <row r="31" spans="1:3" ht="13.5">
      <c r="A31" s="3233"/>
      <c r="B31" s="3232"/>
      <c r="C31" s="1687" t="s">
        <v>1591</v>
      </c>
    </row>
    <row r="32" spans="1:3" ht="13.5">
      <c r="A32" s="3233"/>
      <c r="B32" s="3232"/>
      <c r="C32" s="1687" t="s">
        <v>1592</v>
      </c>
    </row>
    <row r="33" spans="1:3" ht="13.5">
      <c r="A33" s="3233"/>
      <c r="B33" s="3232"/>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2804</v>
      </c>
      <c r="B2" s="2532">
        <f ca="1">TODAY()</f>
        <v>45362</v>
      </c>
      <c r="C2" s="2533" t="s">
        <v>2805</v>
      </c>
      <c r="D2" s="2533"/>
      <c r="E2" s="2533"/>
      <c r="F2" s="2529"/>
      <c r="G2" s="2529"/>
      <c r="H2" s="2529"/>
    </row>
    <row r="3" spans="1:8" ht="24" customHeight="1">
      <c r="A3" s="2534" t="s">
        <v>2806</v>
      </c>
      <c r="B3" s="2535" t="s">
        <v>2807</v>
      </c>
      <c r="C3" s="2535" t="s">
        <v>2808</v>
      </c>
      <c r="D3" s="2536" t="s">
        <v>2809</v>
      </c>
      <c r="E3" s="2537" t="s">
        <v>2810</v>
      </c>
      <c r="F3" s="1444" t="s">
        <v>2811</v>
      </c>
      <c r="G3" s="2535" t="s">
        <v>2808</v>
      </c>
      <c r="H3" s="2536" t="s">
        <v>2812</v>
      </c>
    </row>
    <row r="4" spans="1:8" ht="24" customHeight="1">
      <c r="A4" s="1444" t="s">
        <v>2813</v>
      </c>
      <c r="B4" s="1444" t="str">
        <f ca="1">IF(C4&lt;B2,"已过期",1119970066)</f>
        <v>已过期</v>
      </c>
      <c r="C4" s="2538">
        <v>44876</v>
      </c>
      <c r="D4" s="2539" t="str">
        <f ca="1">A4&amp;"（注册号："&amp;B4&amp;"）"</f>
        <v>梁津（注册号：已过期）</v>
      </c>
      <c r="E4" s="2540" t="s">
        <v>2813</v>
      </c>
      <c r="F4" s="1444">
        <f ca="1">IF(G4&lt;B2,"已过期",96010014)</f>
        <v>96010014</v>
      </c>
      <c r="G4" s="2541">
        <v>47118</v>
      </c>
      <c r="H4" s="2542" t="str">
        <f ca="1">E4&amp;"（注册号："&amp;F4&amp;"）"</f>
        <v>梁津（注册号：96010014）</v>
      </c>
    </row>
    <row r="5" spans="1:8" ht="24" customHeight="1">
      <c r="A5" s="1444" t="s">
        <v>2814</v>
      </c>
      <c r="B5" s="1444" t="str">
        <f ca="1">IF(C5&lt;B2,"已过期",1119970111)</f>
        <v>已过期</v>
      </c>
      <c r="C5" s="2538">
        <v>44876</v>
      </c>
      <c r="D5" s="2539" t="str">
        <f t="shared" ref="D5:D15" ca="1" si="0">A5&amp;"（注册号："&amp;B5&amp;"）"</f>
        <v>叶凌（注册号：已过期）</v>
      </c>
      <c r="E5" s="2540" t="s">
        <v>2814</v>
      </c>
      <c r="F5" s="1444">
        <f ca="1">IF(G5&lt;B2,"已过期",94010078)</f>
        <v>94010078</v>
      </c>
      <c r="G5" s="2541">
        <v>46387</v>
      </c>
      <c r="H5" s="2542" t="str">
        <f t="shared" ref="H5:H16" ca="1" si="1">E5&amp;"（注册号："&amp;F5&amp;"）"</f>
        <v>叶凌（注册号：94010078）</v>
      </c>
    </row>
    <row r="6" spans="1:8" ht="24" customHeight="1">
      <c r="A6" s="1444" t="s">
        <v>2815</v>
      </c>
      <c r="B6" s="1444" t="str">
        <f ca="1">IF(C6&lt;B2,"已过期",1120050019)</f>
        <v>已过期</v>
      </c>
      <c r="C6" s="2538">
        <v>44395</v>
      </c>
      <c r="D6" s="2539" t="str">
        <f t="shared" ca="1" si="0"/>
        <v>王鹏（注册号：已过期）</v>
      </c>
      <c r="E6" s="2540" t="s">
        <v>2815</v>
      </c>
      <c r="F6" s="1444">
        <f ca="1">IF(G6&lt;B2,"已过期",2002110030)</f>
        <v>2002110030</v>
      </c>
      <c r="G6" s="2541">
        <v>46387</v>
      </c>
      <c r="H6" s="2542" t="str">
        <f t="shared" ca="1" si="1"/>
        <v>王鹏（注册号：2002110030）</v>
      </c>
    </row>
    <row r="7" spans="1:8" ht="24" customHeight="1">
      <c r="A7" s="1444" t="s">
        <v>2816</v>
      </c>
      <c r="B7" s="1444" t="str">
        <f ca="1">IF(C7&lt;B2,"已过期",1120000080)</f>
        <v>已过期</v>
      </c>
      <c r="C7" s="2538">
        <v>44876</v>
      </c>
      <c r="D7" s="2539" t="str">
        <f t="shared" ca="1" si="0"/>
        <v>欧红伟（注册号：已过期）</v>
      </c>
      <c r="E7" s="2540" t="s">
        <v>2816</v>
      </c>
      <c r="F7" s="1444">
        <f ca="1">IF(G7&lt;B2,"已过期",2000110082)</f>
        <v>2000110082</v>
      </c>
      <c r="G7" s="2541">
        <v>46387</v>
      </c>
      <c r="H7" s="2542" t="str">
        <f t="shared" ca="1" si="1"/>
        <v>欧红伟（注册号：2000110082）</v>
      </c>
    </row>
    <row r="8" spans="1:8" ht="24" customHeight="1">
      <c r="A8" s="1444" t="s">
        <v>2817</v>
      </c>
      <c r="B8" s="1444" t="str">
        <f ca="1">IF(C8&lt;B2,"已过期",1419970001)</f>
        <v>已过期</v>
      </c>
      <c r="C8" s="2538">
        <v>44899</v>
      </c>
      <c r="D8" s="2539" t="str">
        <f t="shared" ca="1" si="0"/>
        <v>吴薇（注册号：已过期）</v>
      </c>
      <c r="E8" s="2540" t="s">
        <v>2817</v>
      </c>
      <c r="F8" s="1444">
        <f ca="1">IF(G8&lt;B2,"已过期",2002110125)</f>
        <v>2002110125</v>
      </c>
      <c r="G8" s="2541">
        <v>47118</v>
      </c>
      <c r="H8" s="2542" t="str">
        <f t="shared" ca="1" si="1"/>
        <v>吴薇（注册号：2002110125）</v>
      </c>
    </row>
    <row r="9" spans="1:8" ht="24" customHeight="1">
      <c r="A9" s="1444" t="s">
        <v>2818</v>
      </c>
      <c r="B9" s="1444" t="str">
        <f ca="1">IF(C9&lt;B2,"已过期",1120060040)</f>
        <v>已过期</v>
      </c>
      <c r="C9" s="2543">
        <v>44554</v>
      </c>
      <c r="D9" s="2539" t="str">
        <f t="shared" ca="1" si="0"/>
        <v>陈颖（注册号：已过期）</v>
      </c>
      <c r="E9" s="2540" t="s">
        <v>2818</v>
      </c>
      <c r="F9" s="1444">
        <f ca="1">IF(G9&lt;B2,"已过期",2004110096)</f>
        <v>2004110096</v>
      </c>
      <c r="G9" s="2541">
        <v>47118</v>
      </c>
      <c r="H9" s="2542" t="str">
        <f t="shared" ca="1" si="1"/>
        <v>陈颖（注册号：2004110096）</v>
      </c>
    </row>
    <row r="10" spans="1:8" ht="24" customHeight="1">
      <c r="A10" s="1444" t="s">
        <v>2819</v>
      </c>
      <c r="B10" s="1444" t="str">
        <f ca="1">IF(C10&lt;B2,"已过期",1120100036)</f>
        <v>已过期</v>
      </c>
      <c r="C10" s="2543">
        <v>44675</v>
      </c>
      <c r="D10" s="2539" t="str">
        <f t="shared" ca="1" si="0"/>
        <v>崔锴（注册号：已过期）</v>
      </c>
      <c r="E10" s="2540" t="s">
        <v>2819</v>
      </c>
      <c r="F10" s="1444">
        <f ca="1">IF(G10&lt;B2,"已过期",2010110070)</f>
        <v>2010110070</v>
      </c>
      <c r="G10" s="2541">
        <v>47907</v>
      </c>
      <c r="H10" s="2542" t="str">
        <f t="shared" ca="1" si="1"/>
        <v>崔锴（注册号：2010110070）</v>
      </c>
    </row>
    <row r="11" spans="1:8" ht="24" customHeight="1">
      <c r="A11" s="1444" t="s">
        <v>2820</v>
      </c>
      <c r="B11" s="1444" t="str">
        <f ca="1">IF(C11&lt;B2,"已过期",1120070131)</f>
        <v>已过期</v>
      </c>
      <c r="C11" s="2538">
        <v>44849</v>
      </c>
      <c r="D11" s="2539" t="str">
        <f t="shared" ca="1" si="0"/>
        <v>郑燚（注册号：已过期）</v>
      </c>
      <c r="E11" s="2540" t="s">
        <v>2820</v>
      </c>
      <c r="F11" s="1444">
        <f ca="1">IF(G11&lt;B2,"已过期",2014110011)</f>
        <v>2014110011</v>
      </c>
      <c r="G11" s="2541">
        <v>49302</v>
      </c>
      <c r="H11" s="2542" t="str">
        <f t="shared" ca="1" si="1"/>
        <v>郑燚（注册号：2014110011）</v>
      </c>
    </row>
    <row r="12" spans="1:8" ht="24" customHeight="1">
      <c r="A12" s="1444" t="s">
        <v>2821</v>
      </c>
      <c r="B12" s="1444" t="str">
        <f ca="1">IF(C12&lt;B2,"已过期",1120040230)</f>
        <v>已过期</v>
      </c>
      <c r="C12" s="2543">
        <v>44864</v>
      </c>
      <c r="D12" s="2539" t="str">
        <f t="shared" ca="1" si="0"/>
        <v>苏海（注册号：已过期）</v>
      </c>
      <c r="E12" s="2540" t="s">
        <v>2821</v>
      </c>
      <c r="F12" s="1444">
        <f ca="1">IF(G12&lt;B2,"已过期",98030020)</f>
        <v>98030020</v>
      </c>
      <c r="G12" s="2541">
        <v>47118</v>
      </c>
      <c r="H12" s="2542" t="str">
        <f t="shared" ca="1" si="1"/>
        <v>苏海（注册号：98030020）</v>
      </c>
    </row>
    <row r="13" spans="1:8" ht="24" customHeight="1">
      <c r="A13" s="1444" t="s">
        <v>2822</v>
      </c>
      <c r="B13" s="1444" t="str">
        <f ca="1">IF(C13&lt;B2,"已过期",1120020033)</f>
        <v>已过期</v>
      </c>
      <c r="C13" s="2538">
        <v>44339</v>
      </c>
      <c r="D13" s="2539" t="str">
        <f t="shared" ca="1" si="0"/>
        <v>刘敬东（注册号：已过期）</v>
      </c>
      <c r="E13" s="2540" t="s">
        <v>2822</v>
      </c>
      <c r="F13" s="1444">
        <f ca="1">IF(G13&lt;B2,"已过期",2000110137)</f>
        <v>2000110137</v>
      </c>
      <c r="G13" s="2541">
        <v>46387</v>
      </c>
      <c r="H13" s="2542" t="str">
        <f t="shared" ca="1" si="1"/>
        <v>刘敬东（注册号：2000110137）</v>
      </c>
    </row>
    <row r="14" spans="1:8" ht="24" customHeight="1">
      <c r="A14" s="1444" t="s">
        <v>2823</v>
      </c>
      <c r="B14" s="1444" t="str">
        <f ca="1">IF(C14&lt;B2,"已过期",1119980106)</f>
        <v>已过期</v>
      </c>
      <c r="C14" s="2543">
        <v>44969</v>
      </c>
      <c r="D14" s="2539" t="str">
        <f t="shared" ca="1" si="0"/>
        <v>刘俊财（注册号：已过期）</v>
      </c>
      <c r="E14" s="2540" t="s">
        <v>2823</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2824</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37" t="s">
        <v>2825</v>
      </c>
      <c r="B17" s="3237"/>
      <c r="C17" s="3237"/>
      <c r="D17" s="3237"/>
      <c r="E17" s="3237"/>
      <c r="F17" s="3237"/>
      <c r="G17" s="3237"/>
      <c r="H17" s="3237"/>
    </row>
    <row r="18" spans="1:8" ht="24" customHeight="1">
      <c r="A18" s="3238" t="s">
        <v>2826</v>
      </c>
      <c r="B18" s="3238"/>
      <c r="C18" s="3238"/>
      <c r="D18" s="2536"/>
      <c r="E18" s="3239" t="s">
        <v>2827</v>
      </c>
      <c r="F18" s="3238"/>
      <c r="G18" s="3238"/>
    </row>
    <row r="19" spans="1:8" s="2547" customFormat="1" ht="24" customHeight="1">
      <c r="A19" s="2546" t="s">
        <v>2828</v>
      </c>
      <c r="B19" s="2535" t="s">
        <v>2829</v>
      </c>
      <c r="C19" s="2535" t="s">
        <v>2808</v>
      </c>
      <c r="D19" s="2536"/>
      <c r="E19" s="2540" t="s">
        <v>2828</v>
      </c>
      <c r="F19" s="2535" t="s">
        <v>2829</v>
      </c>
      <c r="G19" s="2535" t="s">
        <v>2808</v>
      </c>
    </row>
    <row r="20" spans="1:8" s="2547" customFormat="1" ht="24" customHeight="1">
      <c r="A20" s="2548" t="s">
        <v>2830</v>
      </c>
      <c r="B20" s="2548" t="s">
        <v>2831</v>
      </c>
      <c r="C20" s="2541">
        <v>44820</v>
      </c>
      <c r="D20" s="2549"/>
      <c r="E20" s="2550" t="s">
        <v>2832</v>
      </c>
      <c r="F20" s="2548" t="s">
        <v>2833</v>
      </c>
      <c r="G20" s="2551">
        <v>44377</v>
      </c>
    </row>
    <row r="21" spans="1:8" s="2547" customFormat="1" ht="24" customHeight="1">
      <c r="A21" s="2548"/>
      <c r="B21" s="2548"/>
      <c r="C21" s="2552"/>
      <c r="D21" s="2553"/>
      <c r="E21" s="2550" t="s">
        <v>2834</v>
      </c>
      <c r="F21" s="2554" t="s">
        <v>2835</v>
      </c>
      <c r="G21" s="2555">
        <v>44012</v>
      </c>
    </row>
    <row r="22" spans="1:8" ht="24" customHeight="1">
      <c r="C22" s="2556"/>
      <c r="D22" s="2556"/>
      <c r="E22" s="2557"/>
      <c r="F22" s="2558"/>
      <c r="G22" s="2559" t="s">
        <v>2836</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2950</v>
      </c>
      <c r="C17" s="1702"/>
    </row>
    <row r="18" spans="1:3">
      <c r="A18" s="1701" t="s">
        <v>1672</v>
      </c>
      <c r="B18" s="1701" t="s">
        <v>3094</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4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0"/>
      <c r="B54" s="1709" t="s">
        <v>832</v>
      </c>
      <c r="C54" s="1706" t="s">
        <v>1189</v>
      </c>
    </row>
    <row r="55" spans="1:4">
      <c r="A55" s="3240"/>
      <c r="B55" s="1709" t="s">
        <v>833</v>
      </c>
      <c r="C55" s="1706" t="s">
        <v>1190</v>
      </c>
    </row>
    <row r="56" spans="1:4">
      <c r="A56" s="3240"/>
      <c r="B56" s="1709" t="s">
        <v>834</v>
      </c>
      <c r="C56" s="1706" t="s">
        <v>1194</v>
      </c>
    </row>
    <row r="57" spans="1:4">
      <c r="A57" s="324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25" sqref="E25"/>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04" customWidth="1"/>
    <col min="12" max="13" width="10" style="2805"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2837</v>
      </c>
      <c r="B1" s="3249" t="str">
        <f>IF(B10="北京市","北京市",C10)&amp;F10&amp;IF(结果表!G1="在建","出让国有建设用地使用权及在建建筑物",IF(结果表!G1="土地","出让国有建设用地使用权",))&amp;B9&amp;"预评估"</f>
        <v>北京市房地产抵押价值预评估</v>
      </c>
      <c r="C1" s="3250"/>
      <c r="D1" s="3250"/>
      <c r="E1" s="3250"/>
      <c r="F1" s="3250"/>
      <c r="G1" s="3250"/>
      <c r="H1" s="3250"/>
      <c r="I1" s="3251"/>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2838</v>
      </c>
      <c r="B2" s="2565"/>
      <c r="C2" s="2566"/>
      <c r="D2" s="2848"/>
      <c r="E2" s="2838"/>
      <c r="F2" s="2838"/>
      <c r="G2" s="2839"/>
      <c r="H2" s="2839"/>
      <c r="I2" s="2839"/>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2839</v>
      </c>
      <c r="B3" s="2567">
        <v>44628</v>
      </c>
      <c r="C3" s="2568" t="s">
        <v>2840</v>
      </c>
      <c r="D3" s="2567">
        <f>B3</f>
        <v>44628</v>
      </c>
      <c r="E3" s="2839"/>
      <c r="F3" s="2839"/>
      <c r="G3" s="2839"/>
      <c r="H3" s="2839"/>
      <c r="I3" s="2839"/>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2841</v>
      </c>
      <c r="B4" s="2569" t="s">
        <v>3104</v>
      </c>
      <c r="C4" s="2570">
        <f ca="1">SUMIF(注册房地产估价师,B4,估价师及机构信息!B3:B24)</f>
        <v>0</v>
      </c>
      <c r="D4" s="2569" t="s">
        <v>3105</v>
      </c>
      <c r="E4" s="2571">
        <f ca="1">SUMIF(注册房地产估价师,D4,估价师及机构信息!B3:B24)</f>
        <v>0</v>
      </c>
      <c r="F4" s="2569"/>
      <c r="G4" s="2571">
        <f>SUMIF(注册房地产估价师,F4,估价师及机构信息!B3:B24)</f>
        <v>0</v>
      </c>
      <c r="H4" s="2569"/>
      <c r="I4" s="2571">
        <f>SUMIF(注册房地产估价师,H4,估价师及机构信息!B3:B24)</f>
        <v>0</v>
      </c>
      <c r="J4" s="2635"/>
      <c r="K4" s="2572" t="str">
        <f ca="1">CONCATENATE(B4,"（注册号：",C4,")、",D4,"（注册号：",E4,")")</f>
        <v>吴薇（注册号：0)、郑燚（注册号：0)</v>
      </c>
      <c r="L4" s="2563"/>
      <c r="M4" s="2563"/>
      <c r="N4" s="2564"/>
      <c r="O4" s="1731"/>
      <c r="P4" s="2564"/>
      <c r="Q4" s="2564"/>
      <c r="R4" s="2564"/>
      <c r="S4" s="1838"/>
      <c r="T4" s="1901"/>
      <c r="U4" s="1901"/>
      <c r="V4" s="1901"/>
      <c r="W4" s="1901"/>
      <c r="X4" s="1901"/>
      <c r="Y4" s="1901"/>
      <c r="Z4" s="1901"/>
      <c r="AA4" s="1901"/>
      <c r="AB4" s="1901"/>
    </row>
    <row r="5" spans="1:28" ht="13.5" thickTop="1">
      <c r="A5" s="2573" t="s">
        <v>2842</v>
      </c>
      <c r="B5" s="2574"/>
      <c r="C5" s="2575"/>
      <c r="D5" s="2576"/>
      <c r="E5" s="2840"/>
      <c r="F5" s="2840"/>
      <c r="G5" s="2840"/>
      <c r="H5" s="2840"/>
      <c r="I5" s="2840"/>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2843</v>
      </c>
      <c r="B6" s="2578"/>
      <c r="C6" s="2579"/>
      <c r="D6" s="2580"/>
      <c r="E6" s="2838"/>
      <c r="F6" s="2840"/>
      <c r="G6" s="2840"/>
      <c r="H6" s="2840"/>
      <c r="I6" s="2840"/>
      <c r="J6" s="2635"/>
      <c r="K6" s="2790" t="str">
        <f>IF(COUNTIF(B6,"*上海银行*"),"上海银行","")</f>
        <v/>
      </c>
      <c r="L6" s="2788"/>
      <c r="M6" s="2788"/>
      <c r="N6" s="2635"/>
      <c r="O6" s="2646"/>
      <c r="P6" s="2635"/>
      <c r="Q6" s="2635"/>
      <c r="R6" s="2635"/>
    </row>
    <row r="7" spans="1:28">
      <c r="A7" s="2577" t="s">
        <v>2844</v>
      </c>
      <c r="B7" s="2581"/>
      <c r="C7" s="2579"/>
      <c r="D7" s="2580"/>
      <c r="E7" s="2838"/>
      <c r="F7" s="2840"/>
      <c r="G7" s="2840"/>
      <c r="H7" s="2840"/>
      <c r="I7" s="2840"/>
      <c r="J7" s="2635"/>
      <c r="K7" s="2791"/>
      <c r="L7" s="2788"/>
      <c r="M7" s="2788"/>
      <c r="N7" s="2635"/>
      <c r="O7" s="2646"/>
      <c r="P7" s="2635"/>
      <c r="Q7" s="2635"/>
      <c r="R7" s="2635"/>
    </row>
    <row r="8" spans="1:28">
      <c r="A8" s="2582" t="s">
        <v>2845</v>
      </c>
      <c r="B8" s="2583" t="s">
        <v>3099</v>
      </c>
      <c r="C8" s="2584"/>
      <c r="D8" s="3252" t="s">
        <v>2846</v>
      </c>
      <c r="E8" s="2585" t="s">
        <v>3100</v>
      </c>
      <c r="F8" s="2586"/>
      <c r="G8" s="2839"/>
      <c r="H8" s="2839"/>
      <c r="I8" s="2839"/>
      <c r="J8" s="2635"/>
      <c r="K8" s="2789"/>
      <c r="L8" s="2788"/>
      <c r="M8" s="2788"/>
      <c r="N8" s="2635"/>
      <c r="O8" s="2646"/>
      <c r="P8" s="2635"/>
      <c r="Q8" s="2635"/>
      <c r="R8" s="2635"/>
    </row>
    <row r="9" spans="1:28" ht="13.5" thickBot="1">
      <c r="A9" s="2587" t="s">
        <v>2847</v>
      </c>
      <c r="B9" s="2588" t="s">
        <v>3100</v>
      </c>
      <c r="C9" s="2589"/>
      <c r="D9" s="3253"/>
      <c r="E9" s="2588" t="s">
        <v>70</v>
      </c>
      <c r="F9" s="2590"/>
      <c r="G9" s="2841"/>
      <c r="H9" s="2841"/>
      <c r="I9" s="2841"/>
      <c r="J9" s="2635"/>
      <c r="K9" s="2791"/>
      <c r="L9" s="2788"/>
      <c r="M9" s="2788"/>
      <c r="N9" s="2635"/>
      <c r="O9" s="2646"/>
      <c r="P9" s="2635"/>
      <c r="Q9" s="2635"/>
      <c r="R9" s="2635"/>
    </row>
    <row r="10" spans="1:28" ht="13.5" thickTop="1">
      <c r="A10" s="2591" t="s">
        <v>2848</v>
      </c>
      <c r="B10" s="2592" t="s">
        <v>3101</v>
      </c>
      <c r="C10" s="2593"/>
      <c r="D10" s="2576"/>
      <c r="E10" s="2594" t="s">
        <v>2849</v>
      </c>
      <c r="F10" s="2842"/>
      <c r="G10" s="2843"/>
      <c r="H10" s="2844"/>
      <c r="I10" s="2845"/>
      <c r="J10" s="2635"/>
      <c r="K10" s="2791"/>
      <c r="L10" s="2788"/>
      <c r="M10" s="2788"/>
      <c r="N10" s="2635"/>
      <c r="O10" s="2646"/>
      <c r="P10" s="2635"/>
      <c r="Q10" s="2635"/>
      <c r="R10" s="2635"/>
    </row>
    <row r="11" spans="1:28">
      <c r="A11" s="2595" t="s">
        <v>2850</v>
      </c>
      <c r="B11" s="2596" t="s">
        <v>3102</v>
      </c>
      <c r="C11" s="2597"/>
      <c r="D11" s="2598"/>
      <c r="E11" s="2564"/>
      <c r="F11" s="2564"/>
      <c r="G11" s="2564"/>
      <c r="H11" s="2564"/>
      <c r="I11" s="2564"/>
      <c r="J11" s="2635"/>
      <c r="K11" s="2791"/>
      <c r="L11" s="2788"/>
      <c r="M11" s="2788"/>
      <c r="N11" s="2635"/>
      <c r="O11" s="2646"/>
      <c r="P11" s="2635"/>
      <c r="Q11" s="2635"/>
      <c r="R11" s="2635"/>
    </row>
    <row r="12" spans="1:28">
      <c r="A12" s="2599" t="s">
        <v>2851</v>
      </c>
      <c r="B12" s="2596" t="s">
        <v>3103</v>
      </c>
      <c r="C12" s="329" t="s">
        <v>2852</v>
      </c>
      <c r="D12" s="2600" t="s">
        <v>2853</v>
      </c>
      <c r="E12" s="2600" t="s">
        <v>2854</v>
      </c>
      <c r="F12" s="2600" t="s">
        <v>2855</v>
      </c>
      <c r="G12" s="2600" t="s">
        <v>2856</v>
      </c>
      <c r="H12" s="2600" t="s">
        <v>2857</v>
      </c>
      <c r="I12" s="2600" t="s">
        <v>2858</v>
      </c>
      <c r="J12" s="2635"/>
      <c r="K12" s="2791"/>
      <c r="L12" s="2788"/>
      <c r="M12" s="2788"/>
      <c r="N12" s="2635"/>
      <c r="O12" s="2646"/>
      <c r="P12" s="2635"/>
      <c r="Q12" s="2635"/>
      <c r="R12" s="2635"/>
    </row>
    <row r="13" spans="1:28">
      <c r="A13" s="1213"/>
      <c r="B13" s="2601"/>
      <c r="C13" s="2602" t="s">
        <v>2859</v>
      </c>
      <c r="D13" s="965"/>
      <c r="E13" s="965"/>
      <c r="F13" s="965"/>
      <c r="G13" s="965"/>
      <c r="H13" s="965"/>
      <c r="I13" s="965">
        <v>59184</v>
      </c>
      <c r="J13" s="2635"/>
      <c r="K13" s="2791"/>
      <c r="L13" s="2788"/>
      <c r="M13" s="2788"/>
      <c r="N13" s="2635"/>
      <c r="O13" s="2646"/>
      <c r="P13" s="2635"/>
      <c r="Q13" s="2635"/>
      <c r="R13" s="2635"/>
    </row>
    <row r="14" spans="1:28">
      <c r="A14" s="1213"/>
      <c r="B14" s="2601"/>
      <c r="C14" s="2602" t="s">
        <v>2860</v>
      </c>
      <c r="D14" s="2603"/>
      <c r="E14" s="2603"/>
      <c r="F14" s="2603"/>
      <c r="G14" s="2603"/>
      <c r="H14" s="2603"/>
      <c r="I14" s="2603">
        <v>50</v>
      </c>
      <c r="J14" s="2635"/>
      <c r="K14" s="2792"/>
      <c r="L14" s="2788"/>
      <c r="M14" s="2788"/>
      <c r="N14" s="2635"/>
      <c r="O14" s="2646"/>
      <c r="P14" s="2635"/>
      <c r="Q14" s="2635"/>
      <c r="R14" s="2635"/>
    </row>
    <row r="15" spans="1:28">
      <c r="A15" s="326"/>
      <c r="B15" s="2604"/>
      <c r="C15" s="2605" t="s">
        <v>2861</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39.869999999999997</v>
      </c>
      <c r="J15" s="2635"/>
      <c r="K15" s="2793"/>
      <c r="L15" s="2647"/>
      <c r="M15" s="2647"/>
      <c r="N15" s="2703"/>
      <c r="O15" s="2647"/>
      <c r="P15" s="2703"/>
      <c r="Q15" s="2635"/>
      <c r="R15" s="2635"/>
    </row>
    <row r="16" spans="1:28">
      <c r="A16" s="2594" t="s">
        <v>2862</v>
      </c>
      <c r="B16" s="3259"/>
      <c r="C16" s="3260"/>
      <c r="D16" s="3261"/>
      <c r="E16" s="2609" t="s">
        <v>2863</v>
      </c>
      <c r="F16" s="3262"/>
      <c r="G16" s="3263"/>
      <c r="H16" s="3263"/>
      <c r="I16" s="3264"/>
      <c r="J16" s="2635"/>
      <c r="K16" s="2793"/>
      <c r="L16" s="2647"/>
      <c r="M16" s="2647"/>
      <c r="N16" s="2703"/>
      <c r="O16" s="2647"/>
      <c r="P16" s="2703"/>
      <c r="Q16" s="2635"/>
      <c r="R16" s="2635"/>
    </row>
    <row r="17" spans="1:28">
      <c r="A17" s="319" t="s">
        <v>2864</v>
      </c>
      <c r="B17" s="308" t="s">
        <v>2865</v>
      </c>
      <c r="C17" s="11">
        <f>'数据-汇总表'!E3</f>
        <v>2555.66</v>
      </c>
      <c r="D17" s="2515" t="s">
        <v>2866</v>
      </c>
      <c r="E17" s="3265"/>
      <c r="F17" s="3266"/>
      <c r="G17" s="3266"/>
      <c r="H17" s="3266"/>
      <c r="I17" s="3267"/>
      <c r="J17" s="2635"/>
      <c r="K17" s="2794"/>
      <c r="L17" s="2647"/>
      <c r="M17" s="2647"/>
      <c r="N17" s="2703"/>
      <c r="O17" s="2647"/>
      <c r="P17" s="2703"/>
      <c r="Q17" s="2635"/>
      <c r="R17" s="2635"/>
      <c r="S17" s="2635"/>
      <c r="T17" s="2635"/>
      <c r="U17" s="2635"/>
      <c r="V17" s="2635"/>
    </row>
    <row r="18" spans="1:28" ht="24.75" thickBot="1">
      <c r="A18" s="2610" t="s">
        <v>2867</v>
      </c>
      <c r="B18" s="1222" t="s">
        <v>2868</v>
      </c>
      <c r="C18" s="2611">
        <f>'数据-汇总表'!D3</f>
        <v>0</v>
      </c>
      <c r="D18" s="1224" t="s">
        <v>2869</v>
      </c>
      <c r="E18" s="3268"/>
      <c r="F18" s="3269"/>
      <c r="G18" s="3269"/>
      <c r="H18" s="3269"/>
      <c r="I18" s="3270"/>
      <c r="J18" s="2635"/>
      <c r="K18" s="2794"/>
      <c r="L18" s="2647"/>
      <c r="M18" s="2647"/>
      <c r="N18" s="2703"/>
      <c r="O18" s="2647"/>
      <c r="P18" s="2703"/>
      <c r="Q18" s="2635"/>
      <c r="R18" s="2635"/>
      <c r="S18" s="2635"/>
      <c r="T18" s="2635"/>
      <c r="U18" s="2635"/>
      <c r="V18" s="2635"/>
    </row>
    <row r="19" spans="1:28" ht="37.5" thickTop="1" thickBot="1">
      <c r="A19" s="333" t="s">
        <v>1681</v>
      </c>
      <c r="B19" s="313" t="s">
        <v>2870</v>
      </c>
      <c r="C19" s="1718"/>
      <c r="D19" s="1719" t="s">
        <v>2871</v>
      </c>
      <c r="E19" s="1720"/>
      <c r="F19" s="1721" t="str">
        <f>IF(AND(C19="是",E19="否"),"是否提供他项权证或相关说明","")</f>
        <v/>
      </c>
      <c r="G19" s="1722"/>
      <c r="H19" s="2840"/>
      <c r="I19" s="2840"/>
      <c r="J19" s="2635"/>
      <c r="K19" s="2791"/>
      <c r="L19" s="2788"/>
      <c r="M19" s="2788"/>
      <c r="N19" s="2703"/>
      <c r="O19" s="2647"/>
      <c r="P19" s="2703"/>
      <c r="Q19" s="2635"/>
      <c r="R19" s="2635"/>
      <c r="S19" s="2635"/>
      <c r="T19" s="2635"/>
      <c r="U19" s="2635"/>
      <c r="V19" s="2635"/>
    </row>
    <row r="20" spans="1:28">
      <c r="A20" s="2808" t="s">
        <v>2872</v>
      </c>
      <c r="B20" s="3255" t="s">
        <v>2873</v>
      </c>
      <c r="C20" s="3256"/>
      <c r="D20" s="3257" t="s">
        <v>2874</v>
      </c>
      <c r="E20" s="3258"/>
      <c r="F20" s="2823" t="s">
        <v>1682</v>
      </c>
      <c r="G20" s="2840"/>
      <c r="H20" s="2840"/>
      <c r="I20" s="2840"/>
      <c r="J20" s="2635"/>
      <c r="K20" s="3254" t="s">
        <v>2875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08"/>
      <c r="B21" s="2809" t="s">
        <v>2876</v>
      </c>
      <c r="C21" s="2810" t="s">
        <v>1683</v>
      </c>
      <c r="D21" s="1723"/>
      <c r="E21" s="2811" t="s">
        <v>1683</v>
      </c>
      <c r="F21" s="2824"/>
      <c r="G21" s="2840"/>
      <c r="H21" s="2840"/>
      <c r="I21" s="2840"/>
      <c r="J21" s="2635"/>
      <c r="K21" s="325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08"/>
      <c r="B22" s="2812" t="s">
        <v>2877</v>
      </c>
      <c r="C22" s="2810" t="s">
        <v>1684</v>
      </c>
      <c r="D22" s="2839"/>
      <c r="E22" s="2839"/>
      <c r="F22" s="2839"/>
      <c r="G22" s="2840"/>
      <c r="H22" s="2840"/>
      <c r="I22" s="2840"/>
      <c r="J22" s="2635"/>
      <c r="K22" s="325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13" t="s">
        <v>2878</v>
      </c>
      <c r="B23" s="2696" t="s">
        <v>2879</v>
      </c>
      <c r="C23" s="2814"/>
      <c r="D23" s="2815" t="s">
        <v>2879</v>
      </c>
      <c r="E23" s="2816"/>
      <c r="F23" s="2839"/>
      <c r="G23" s="2840"/>
      <c r="H23" s="2840"/>
      <c r="I23" s="2840"/>
      <c r="J23" s="2635"/>
      <c r="K23" s="2795"/>
      <c r="L23" s="2669"/>
      <c r="M23" s="2788"/>
      <c r="N23" s="2703"/>
      <c r="O23" s="2647"/>
      <c r="P23" s="2703"/>
      <c r="Q23" s="2635"/>
      <c r="R23" s="2635"/>
      <c r="S23" s="2635"/>
      <c r="T23" s="2635"/>
      <c r="U23" s="2635"/>
      <c r="V23" s="2635"/>
    </row>
    <row r="24" spans="1:28">
      <c r="A24" s="2813"/>
      <c r="B24" s="2696" t="s">
        <v>1685</v>
      </c>
      <c r="C24" s="2817"/>
      <c r="D24" s="2813" t="s">
        <v>1685</v>
      </c>
      <c r="E24" s="2818"/>
      <c r="F24" s="2839"/>
      <c r="G24" s="2840"/>
      <c r="H24" s="2840"/>
      <c r="I24" s="2840"/>
      <c r="J24" s="2635"/>
      <c r="K24" s="2795"/>
      <c r="L24" s="2669"/>
      <c r="M24" s="2788"/>
      <c r="N24" s="2703"/>
      <c r="O24" s="2647"/>
      <c r="P24" s="2703"/>
      <c r="Q24" s="2635"/>
      <c r="R24" s="2635"/>
      <c r="S24" s="2635"/>
      <c r="T24" s="2635"/>
      <c r="U24" s="2635"/>
      <c r="V24" s="2635"/>
    </row>
    <row r="25" spans="1:28">
      <c r="A25" s="2813"/>
      <c r="B25" s="2696" t="s">
        <v>1686</v>
      </c>
      <c r="C25" s="2817"/>
      <c r="D25" s="2813" t="s">
        <v>1686</v>
      </c>
      <c r="E25" s="2818"/>
      <c r="F25" s="2839"/>
      <c r="G25" s="2840"/>
      <c r="H25" s="2840"/>
      <c r="I25" s="2840"/>
      <c r="J25" s="2635"/>
      <c r="K25" s="2791"/>
      <c r="L25" s="2788"/>
      <c r="M25" s="2788"/>
      <c r="N25" s="2703"/>
      <c r="O25" s="2647"/>
      <c r="P25" s="2703"/>
      <c r="Q25" s="2635"/>
      <c r="R25" s="2635"/>
      <c r="S25" s="2635"/>
      <c r="T25" s="2635"/>
      <c r="U25" s="2635"/>
      <c r="V25" s="2635"/>
    </row>
    <row r="26" spans="1:28" ht="13.5" thickBot="1">
      <c r="A26" s="2819"/>
      <c r="B26" s="2820" t="s">
        <v>1687</v>
      </c>
      <c r="C26" s="2821"/>
      <c r="D26" s="2819" t="s">
        <v>1687</v>
      </c>
      <c r="E26" s="2822"/>
      <c r="F26" s="2841"/>
      <c r="G26" s="2841"/>
      <c r="H26" s="2841"/>
      <c r="I26" s="2841"/>
      <c r="J26" s="2635"/>
      <c r="K26" s="2791"/>
      <c r="L26" s="2788"/>
      <c r="M26" s="2788"/>
      <c r="N26" s="2703"/>
      <c r="O26" s="2647"/>
      <c r="P26" s="2703"/>
      <c r="Q26" s="2635"/>
      <c r="R26" s="2635"/>
      <c r="S26" s="2635"/>
      <c r="T26" s="2635"/>
      <c r="U26" s="2635"/>
      <c r="V26" s="2635"/>
    </row>
    <row r="27" spans="1:28" ht="13.5" thickTop="1">
      <c r="A27" s="3242" t="s">
        <v>2880</v>
      </c>
      <c r="B27" s="326" t="s">
        <v>2881</v>
      </c>
      <c r="C27" s="2612"/>
      <c r="D27" s="2613"/>
      <c r="E27" s="2840"/>
      <c r="F27" s="2840"/>
      <c r="G27" s="2840"/>
      <c r="H27" s="2840"/>
      <c r="I27" s="2840"/>
      <c r="J27" s="2635"/>
      <c r="K27" s="2793"/>
      <c r="L27" s="2647"/>
      <c r="M27" s="2647"/>
      <c r="N27" s="2703"/>
      <c r="O27" s="2647"/>
      <c r="P27" s="2703"/>
      <c r="Q27" s="2635"/>
      <c r="R27" s="2635"/>
      <c r="S27" s="2635"/>
      <c r="T27" s="2635"/>
      <c r="U27" s="2635"/>
      <c r="V27" s="2635"/>
    </row>
    <row r="28" spans="1:28">
      <c r="A28" s="3242"/>
      <c r="B28" s="308" t="s">
        <v>2882</v>
      </c>
      <c r="C28" s="2614"/>
      <c r="D28" s="2615"/>
      <c r="E28" s="2840"/>
      <c r="F28" s="2840"/>
      <c r="G28" s="2840"/>
      <c r="H28" s="2840"/>
      <c r="I28" s="2840"/>
      <c r="J28" s="2635"/>
      <c r="K28" s="2791"/>
      <c r="L28" s="2788"/>
      <c r="M28" s="2788"/>
      <c r="N28" s="2635"/>
      <c r="O28" s="2646"/>
      <c r="P28" s="2635"/>
      <c r="Q28" s="2635"/>
      <c r="R28" s="2635"/>
      <c r="S28" s="2635"/>
      <c r="T28" s="2635"/>
      <c r="U28" s="2635"/>
      <c r="V28" s="2635"/>
    </row>
    <row r="29" spans="1:28">
      <c r="A29" s="3242"/>
      <c r="B29" s="308" t="s">
        <v>2883</v>
      </c>
      <c r="C29" s="2616"/>
      <c r="D29" s="2617"/>
      <c r="E29" s="2840"/>
      <c r="F29" s="2840"/>
      <c r="G29" s="2840"/>
      <c r="H29" s="2840"/>
      <c r="I29" s="2840"/>
      <c r="J29" s="2635"/>
      <c r="K29" s="2791"/>
      <c r="L29" s="2788"/>
      <c r="M29" s="2788"/>
      <c r="N29" s="2635"/>
      <c r="O29" s="2646"/>
      <c r="P29" s="2635"/>
      <c r="Q29" s="2635"/>
      <c r="R29" s="2635"/>
      <c r="S29" s="2635"/>
      <c r="T29" s="2635"/>
      <c r="U29" s="2635"/>
      <c r="V29" s="2635"/>
    </row>
    <row r="30" spans="1:28">
      <c r="A30" s="3243"/>
      <c r="B30" s="308" t="s">
        <v>2884</v>
      </c>
      <c r="C30" s="3244"/>
      <c r="D30" s="3245"/>
      <c r="E30" s="2840"/>
      <c r="F30" s="2840"/>
      <c r="G30" s="2840"/>
      <c r="H30" s="2840"/>
      <c r="I30" s="2840"/>
      <c r="J30" s="2635"/>
      <c r="K30" s="2791"/>
      <c r="L30" s="2788"/>
      <c r="M30" s="2788"/>
      <c r="N30" s="2635"/>
      <c r="O30" s="2646"/>
      <c r="P30" s="2635"/>
      <c r="Q30" s="2635"/>
      <c r="R30" s="2635"/>
      <c r="S30" s="2635"/>
      <c r="T30" s="2635"/>
      <c r="U30" s="2635"/>
      <c r="V30" s="2635"/>
    </row>
    <row r="31" spans="1:28">
      <c r="A31" s="3246" t="s">
        <v>2885</v>
      </c>
      <c r="B31" s="2618"/>
      <c r="C31" s="2516" t="str">
        <f>IF(B31="现房","成新及维护状况正常否",IF(B31="在建","工程状态是否正常",IF(B31="土地","是否闲置","-")))</f>
        <v>-</v>
      </c>
      <c r="D31" s="1527"/>
      <c r="E31" s="2619"/>
      <c r="F31" s="2840"/>
      <c r="G31" s="2840"/>
      <c r="H31" s="2840"/>
      <c r="I31" s="2840"/>
      <c r="J31" s="2635"/>
      <c r="K31" s="2790"/>
      <c r="L31" s="2788"/>
      <c r="M31" s="2788"/>
      <c r="N31" s="2635"/>
      <c r="O31" s="2646"/>
      <c r="P31" s="2635"/>
      <c r="Q31" s="2635"/>
      <c r="R31" s="2635"/>
      <c r="S31" s="2635"/>
      <c r="T31" s="2635"/>
      <c r="U31" s="2635"/>
      <c r="V31" s="2635"/>
    </row>
    <row r="32" spans="1:28">
      <c r="A32" s="3247"/>
      <c r="B32" s="2618"/>
      <c r="C32" s="2516" t="str">
        <f>IF(B32="现房","成新及维护状况是否正常",IF(B32="在建","工程状态是否正常",IF(B32="土地","是否闲置","-")))</f>
        <v>-</v>
      </c>
      <c r="D32" s="1527"/>
      <c r="E32" s="2619"/>
      <c r="F32" s="2840"/>
      <c r="G32" s="2840"/>
      <c r="H32" s="2840"/>
      <c r="I32" s="2840"/>
      <c r="J32" s="2635"/>
      <c r="K32" s="2791"/>
      <c r="L32" s="2788"/>
      <c r="M32" s="2788"/>
      <c r="N32" s="2635"/>
      <c r="O32" s="2646"/>
      <c r="P32" s="2635"/>
      <c r="Q32" s="2635"/>
      <c r="R32" s="2635"/>
      <c r="S32" s="2635"/>
      <c r="T32" s="2635"/>
      <c r="U32" s="2635"/>
      <c r="V32" s="2635"/>
    </row>
    <row r="33" spans="1:30">
      <c r="A33" s="3247"/>
      <c r="B33" s="2621"/>
      <c r="C33" s="1745" t="str">
        <f>IF(B33="现房","成新及维护状况是否正常",IF(B33="在建","工程状态是否正常",IF(B33="土地","是否闲置","-")))</f>
        <v>-</v>
      </c>
      <c r="D33" s="1519"/>
      <c r="E33" s="2622"/>
      <c r="F33" s="2840"/>
      <c r="G33" s="2840"/>
      <c r="H33" s="2840"/>
      <c r="I33" s="2840"/>
      <c r="J33" s="2635"/>
      <c r="K33" s="2791"/>
      <c r="L33" s="2788"/>
      <c r="M33" s="2788"/>
      <c r="N33" s="2635"/>
      <c r="O33" s="2646"/>
      <c r="P33" s="2635"/>
      <c r="Q33" s="2635"/>
      <c r="R33" s="2635"/>
      <c r="S33" s="2635"/>
      <c r="T33" s="2635"/>
      <c r="U33" s="2635"/>
      <c r="V33" s="2635"/>
    </row>
    <row r="34" spans="1:30">
      <c r="A34" s="308" t="s">
        <v>2886</v>
      </c>
      <c r="B34" s="2184"/>
      <c r="C34" s="2184"/>
      <c r="D34" s="2184"/>
      <c r="E34" s="2184"/>
      <c r="F34" s="2184"/>
      <c r="G34" s="2184"/>
      <c r="H34" s="2184"/>
      <c r="I34" s="2840"/>
      <c r="J34" s="2635"/>
      <c r="K34" s="2623">
        <f>COUNTIF(B34:H34,"——")</f>
        <v>0</v>
      </c>
      <c r="L34" s="329" t="s">
        <v>2887</v>
      </c>
      <c r="M34" s="329" t="s">
        <v>2888</v>
      </c>
      <c r="N34" s="329" t="s">
        <v>2889</v>
      </c>
      <c r="O34" s="329" t="s">
        <v>2890</v>
      </c>
      <c r="P34" s="329" t="s">
        <v>2891</v>
      </c>
      <c r="Q34" s="329" t="s">
        <v>2892</v>
      </c>
      <c r="R34" s="329" t="s">
        <v>2893</v>
      </c>
      <c r="S34" s="3241" t="s">
        <v>2894</v>
      </c>
      <c r="T34" s="2624" t="str">
        <f>NUMBERSTRING(7-K34,1)&amp;"通"</f>
        <v>七通</v>
      </c>
      <c r="U34" s="2635"/>
      <c r="V34" s="2635"/>
    </row>
    <row r="35" spans="1:30">
      <c r="A35" s="2625"/>
      <c r="B35" s="3248" t="s">
        <v>2895</v>
      </c>
      <c r="C35" s="3248"/>
      <c r="D35" s="3248"/>
      <c r="E35" s="3248"/>
      <c r="F35" s="673">
        <f>C10</f>
        <v>0</v>
      </c>
      <c r="G35" s="2840"/>
      <c r="H35" s="2840"/>
      <c r="I35" s="2840"/>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41"/>
      <c r="T35" s="335" t="str">
        <f>IF(T34="一通",L35,IF(T34="二通",M35,IF(T34="三通",N35,IF(T34="四通",O35,IF(T34="五通",P35,IF(T34="六通",Q35,R35))))))</f>
        <v>、、、、、、</v>
      </c>
      <c r="U35" s="2635"/>
      <c r="V35" s="2635"/>
    </row>
    <row r="36" spans="1:30">
      <c r="A36" s="2626"/>
      <c r="B36" s="673" t="s">
        <v>2854</v>
      </c>
      <c r="C36" s="673" t="s">
        <v>2855</v>
      </c>
      <c r="D36" s="673" t="s">
        <v>2853</v>
      </c>
      <c r="E36" s="673" t="s">
        <v>2858</v>
      </c>
      <c r="F36" s="2846"/>
      <c r="G36" s="2840"/>
      <c r="H36" s="2840"/>
      <c r="I36" s="2840"/>
      <c r="J36" s="2635"/>
      <c r="K36" s="2791"/>
      <c r="L36" s="2788"/>
      <c r="M36" s="2788"/>
      <c r="N36" s="2635"/>
      <c r="O36" s="2646"/>
      <c r="P36" s="2635"/>
      <c r="Q36" s="2635"/>
      <c r="R36" s="2635"/>
      <c r="S36" s="2635"/>
      <c r="T36" s="2635"/>
      <c r="U36" s="2635"/>
      <c r="V36" s="2635"/>
    </row>
    <row r="37" spans="1:30">
      <c r="A37" s="2806" t="s">
        <v>2896</v>
      </c>
      <c r="B37" s="2627"/>
      <c r="C37" s="2627"/>
      <c r="D37" s="2627"/>
      <c r="E37" s="2627" t="s">
        <v>530</v>
      </c>
      <c r="F37" s="2846"/>
      <c r="G37" s="2840"/>
      <c r="H37" s="2840"/>
      <c r="I37" s="2840"/>
      <c r="J37" s="2635"/>
      <c r="K37" s="2791"/>
      <c r="L37" s="2788"/>
      <c r="M37" s="2788"/>
      <c r="N37" s="2635"/>
      <c r="O37" s="2646"/>
      <c r="P37" s="2635"/>
      <c r="Q37" s="2635"/>
      <c r="R37" s="2635"/>
      <c r="S37" s="2635"/>
      <c r="T37" s="2635"/>
      <c r="U37" s="2635"/>
      <c r="V37" s="2635"/>
    </row>
    <row r="38" spans="1:30" ht="13.5" thickBot="1">
      <c r="A38" s="2807" t="s">
        <v>2897</v>
      </c>
      <c r="B38" s="2628"/>
      <c r="C38" s="2628"/>
      <c r="D38" s="2628"/>
      <c r="E38" s="2628" t="s">
        <v>3106</v>
      </c>
      <c r="F38" s="2847"/>
      <c r="G38" s="2841"/>
      <c r="H38" s="2841"/>
      <c r="I38" s="2841"/>
      <c r="J38" s="2635"/>
      <c r="K38" s="2791"/>
      <c r="L38" s="2788"/>
      <c r="M38" s="2788"/>
      <c r="N38" s="2635"/>
      <c r="O38" s="2646"/>
      <c r="P38" s="2635"/>
      <c r="Q38" s="2635"/>
      <c r="R38" s="2635"/>
      <c r="S38" s="2635"/>
      <c r="T38" s="2635"/>
      <c r="U38" s="2635"/>
      <c r="V38" s="2635"/>
    </row>
    <row r="39" spans="1:30" s="2631" customFormat="1" ht="14.25" thickTop="1" thickBot="1">
      <c r="A39" s="2629" t="s">
        <v>2898</v>
      </c>
      <c r="B39" s="2630"/>
      <c r="C39" s="2630"/>
      <c r="D39" s="2630"/>
      <c r="E39" s="2630"/>
      <c r="F39" s="2630"/>
      <c r="G39" s="2630"/>
      <c r="H39" s="2630"/>
      <c r="I39" s="2630"/>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64"/>
      <c r="B40" s="2564"/>
      <c r="C40" s="2564"/>
      <c r="D40" s="2564"/>
      <c r="E40" s="2564"/>
      <c r="F40" s="2564"/>
      <c r="G40" s="2564"/>
      <c r="H40" s="2564"/>
      <c r="I40" s="1733"/>
      <c r="J40" s="2703"/>
      <c r="K40" s="2790"/>
      <c r="L40" s="2647"/>
      <c r="M40" s="2647"/>
      <c r="N40" s="2703"/>
      <c r="O40" s="2647"/>
      <c r="P40" s="2635"/>
      <c r="Q40" s="2635"/>
      <c r="R40" s="2635"/>
      <c r="S40" s="2635"/>
      <c r="T40" s="2635"/>
      <c r="U40" s="2635"/>
      <c r="V40" s="2635"/>
    </row>
    <row r="41" spans="1:30">
      <c r="A41" s="2632" t="s">
        <v>2899</v>
      </c>
      <c r="B41" s="1913"/>
      <c r="C41" s="1527"/>
      <c r="D41" s="2564"/>
      <c r="E41" s="2564"/>
      <c r="F41" s="2564"/>
      <c r="G41" s="2564"/>
      <c r="H41" s="2564"/>
      <c r="I41" s="1731"/>
      <c r="J41" s="2635"/>
      <c r="K41" s="2791"/>
      <c r="L41" s="2788"/>
      <c r="M41" s="2788"/>
      <c r="N41" s="2635"/>
      <c r="O41" s="2646"/>
      <c r="P41" s="2635"/>
      <c r="Q41" s="2635"/>
      <c r="R41" s="2635"/>
      <c r="S41" s="2635"/>
      <c r="T41" s="2635"/>
      <c r="U41" s="2635"/>
      <c r="V41" s="2635"/>
    </row>
    <row r="42" spans="1:30" ht="25.5">
      <c r="A42" s="329" t="s">
        <v>2900</v>
      </c>
      <c r="B42" s="11" t="s">
        <v>2901</v>
      </c>
      <c r="C42" s="11" t="s">
        <v>2902</v>
      </c>
      <c r="D42" s="11" t="s">
        <v>2903</v>
      </c>
      <c r="E42" s="11" t="s">
        <v>2904</v>
      </c>
      <c r="F42" s="11" t="s">
        <v>2905</v>
      </c>
      <c r="G42" s="11" t="s">
        <v>2906</v>
      </c>
      <c r="H42" s="11" t="s">
        <v>2907</v>
      </c>
      <c r="I42" s="11" t="s">
        <v>2908</v>
      </c>
      <c r="J42" s="2802" t="s">
        <v>2909</v>
      </c>
      <c r="K42" s="2803" t="s">
        <v>2910</v>
      </c>
      <c r="L42" s="2803" t="s">
        <v>2911</v>
      </c>
      <c r="M42" s="2803" t="s">
        <v>2912</v>
      </c>
      <c r="N42" s="2796" t="s">
        <v>2913</v>
      </c>
      <c r="O42" s="2796" t="s">
        <v>2914</v>
      </c>
      <c r="P42" s="2796" t="s">
        <v>2915</v>
      </c>
      <c r="Q42" s="2797" t="s">
        <v>2916</v>
      </c>
      <c r="R42" s="2797" t="s">
        <v>2917</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c r="B3" s="14">
        <f>IF(C3="否",G5-AT5,G5)</f>
        <v>2555.66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2555.66</v>
      </c>
      <c r="H5" s="16">
        <f t="shared" ref="H5:AT5" si="0">SUM(H13:H656)</f>
        <v>2555.66</v>
      </c>
      <c r="I5" s="16">
        <f t="shared" si="0"/>
        <v>2555.66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2555.66</v>
      </c>
      <c r="BA5" s="18">
        <f t="shared" si="1"/>
        <v>2555.66</v>
      </c>
      <c r="BB5" s="18">
        <f t="shared" si="1"/>
        <v>2555.66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3108</v>
      </c>
      <c r="J9" s="918"/>
      <c r="K9" s="1758"/>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f>K9</f>
        <v>0</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3107</v>
      </c>
      <c r="E13" s="16">
        <f>IF($C$3="是",ROUND($A$3*G13/$B$3,2),ROUND($A$3*(G13-AT13)/$B$3,2))</f>
        <v>0</v>
      </c>
      <c r="F13" s="32"/>
      <c r="G13" s="33">
        <f>H13+AC13+AT13</f>
        <v>2555.66</v>
      </c>
      <c r="H13" s="20">
        <f>SUMIF(I$12:AB$12,"总值",I13:AB13)</f>
        <v>2555.66</v>
      </c>
      <c r="I13" s="1781">
        <v>2555.66</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0</v>
      </c>
      <c r="AZ13" s="16">
        <f>BA13+BL13</f>
        <v>2555.66</v>
      </c>
      <c r="BA13" s="16">
        <f>SUM(BB13:BK13)</f>
        <v>2555.66</v>
      </c>
      <c r="BB13" s="16">
        <f>IF($D13="是",I13-J13,0)</f>
        <v>2555.66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71" t="s">
        <v>0</v>
      </c>
      <c r="B1" s="3271" t="s">
        <v>4</v>
      </c>
      <c r="C1" s="3271" t="s">
        <v>5</v>
      </c>
      <c r="D1" s="3272" t="s">
        <v>53</v>
      </c>
      <c r="E1" s="3272" t="s">
        <v>54</v>
      </c>
      <c r="F1" s="3272"/>
      <c r="G1" s="3272"/>
      <c r="H1" s="3272"/>
      <c r="I1" s="3272"/>
      <c r="J1" s="3272"/>
      <c r="K1" s="3272"/>
      <c r="L1" s="3272"/>
      <c r="M1" s="3272"/>
    </row>
    <row r="2" spans="1:13" ht="27" customHeight="1">
      <c r="A2" s="3271"/>
      <c r="B2" s="3271"/>
      <c r="C2" s="3271"/>
      <c r="D2" s="3272"/>
      <c r="E2" s="3272" t="s">
        <v>37</v>
      </c>
      <c r="F2" s="3272" t="s">
        <v>38</v>
      </c>
      <c r="G2" s="3272"/>
      <c r="H2" s="3272"/>
      <c r="I2" s="3272"/>
      <c r="J2" s="3272" t="s">
        <v>39</v>
      </c>
      <c r="K2" s="3272"/>
      <c r="L2" s="3272"/>
      <c r="M2" s="3272"/>
    </row>
    <row r="3" spans="1:13" ht="28.5">
      <c r="A3" s="3271"/>
      <c r="B3" s="3271"/>
      <c r="C3" s="3271"/>
      <c r="D3" s="3272"/>
      <c r="E3" s="32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72" t="s">
        <v>55</v>
      </c>
      <c r="B9" s="3272"/>
      <c r="C9" s="32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2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82" t="s">
        <v>1757</v>
      </c>
      <c r="B2" s="3282"/>
      <c r="C2" s="3282"/>
      <c r="D2" s="904" t="s">
        <v>1733</v>
      </c>
      <c r="E2" s="1794" t="s">
        <v>1734</v>
      </c>
      <c r="F2" s="2835"/>
      <c r="G2" s="2826"/>
      <c r="H2" s="2827"/>
      <c r="I2" s="2518" t="s">
        <v>1758</v>
      </c>
      <c r="J2" s="2835"/>
      <c r="K2" s="2835"/>
      <c r="L2" s="2835"/>
      <c r="M2" s="2835"/>
      <c r="N2" s="2837"/>
      <c r="O2" s="2835"/>
      <c r="P2" s="2835"/>
    </row>
    <row r="3" spans="1:16" ht="15.75" thickBot="1">
      <c r="A3" s="3283" t="s">
        <v>1731</v>
      </c>
      <c r="B3" s="3283"/>
      <c r="C3" s="3283"/>
      <c r="D3" s="46">
        <f>'数据-基础表'!AY6</f>
        <v>0</v>
      </c>
      <c r="E3" s="46">
        <f>'数据-基础表'!AZ5</f>
        <v>2555.66</v>
      </c>
      <c r="F3" s="2835"/>
      <c r="G3" s="1279"/>
      <c r="H3" s="1157" t="s">
        <v>1732</v>
      </c>
      <c r="I3" s="964" t="e">
        <f>ROUND('数据-基础表'!B3/'数据-基础表'!A3,2)</f>
        <v>#DIV/0!</v>
      </c>
      <c r="J3" s="2835"/>
      <c r="K3" s="2835"/>
      <c r="L3" s="2835"/>
      <c r="M3" s="2835"/>
      <c r="N3" s="2837"/>
      <c r="O3" s="2835"/>
      <c r="P3" s="2835"/>
    </row>
    <row r="4" spans="1:16" ht="15">
      <c r="A4" s="3284"/>
      <c r="B4" s="3285"/>
      <c r="C4" s="3286"/>
      <c r="D4" s="1796" t="s">
        <v>1733</v>
      </c>
      <c r="E4" s="1797" t="s">
        <v>1734</v>
      </c>
      <c r="F4" s="2835"/>
      <c r="G4" s="2828" t="s">
        <v>1759</v>
      </c>
      <c r="H4" s="1157" t="s">
        <v>1739</v>
      </c>
      <c r="I4" s="964" t="e">
        <f>ROUND(SUMIF('数据-基础表'!I9:AS9,"地上",'数据-基础表'!I5:AS5)/'数据-基础表'!A3,2)</f>
        <v>#DIV/0!</v>
      </c>
      <c r="J4" s="2835"/>
      <c r="K4" s="2835"/>
      <c r="L4" s="2835"/>
      <c r="M4" s="2835"/>
      <c r="N4" s="2837"/>
      <c r="O4" s="2835"/>
      <c r="P4" s="2835"/>
    </row>
    <row r="5" spans="1:16">
      <c r="A5" s="47" t="s">
        <v>1735</v>
      </c>
      <c r="B5" s="3287" t="s">
        <v>1736</v>
      </c>
      <c r="C5" s="3287"/>
      <c r="D5" s="48">
        <f>ROUND($D$3*E5/$E$3,2)</f>
        <v>0</v>
      </c>
      <c r="E5" s="49">
        <f>SUMIF('数据-基础表'!$11:$11,"住宅",'数据-基础表'!$5:$5)</f>
        <v>0</v>
      </c>
      <c r="F5" s="2835"/>
      <c r="G5" s="1279"/>
      <c r="H5" s="1157" t="s">
        <v>1732</v>
      </c>
      <c r="I5" s="964" t="e">
        <f>ROUND(E31/D31,2)</f>
        <v>#DIV/0!</v>
      </c>
      <c r="J5" s="2835"/>
      <c r="K5" s="2835"/>
      <c r="L5" s="2835"/>
      <c r="M5" s="2835"/>
      <c r="N5" s="2835"/>
      <c r="O5" s="2835"/>
      <c r="P5" s="2835"/>
    </row>
    <row r="6" spans="1:16" ht="15" thickBot="1">
      <c r="A6" s="1799"/>
      <c r="B6" s="3287" t="s">
        <v>1737</v>
      </c>
      <c r="C6" s="3287"/>
      <c r="D6" s="48">
        <f>ROUND($D$3*E6/$E$3,2)</f>
        <v>0</v>
      </c>
      <c r="E6" s="49">
        <f>E3-E5</f>
        <v>2555.66</v>
      </c>
      <c r="F6" s="2835"/>
      <c r="G6" s="2829" t="s">
        <v>1738</v>
      </c>
      <c r="H6" s="1280" t="s">
        <v>1739</v>
      </c>
      <c r="I6" s="2830" t="e">
        <f>ROUND(F31/D31,2)</f>
        <v>#DIV/0!</v>
      </c>
      <c r="J6" s="2835"/>
      <c r="K6" s="2835"/>
      <c r="L6" s="2835"/>
      <c r="M6" s="2835"/>
      <c r="N6" s="2835"/>
      <c r="O6" s="2835"/>
      <c r="P6" s="2835"/>
    </row>
    <row r="7" spans="1:16" ht="15.75" thickBot="1">
      <c r="A7" s="3279"/>
      <c r="B7" s="3280"/>
      <c r="C7" s="3281"/>
      <c r="D7" s="1796" t="s">
        <v>1733</v>
      </c>
      <c r="E7" s="1800" t="s">
        <v>1740</v>
      </c>
      <c r="F7" s="2835"/>
      <c r="G7" s="2831" t="s">
        <v>1741</v>
      </c>
      <c r="H7" s="2832"/>
      <c r="I7" s="2833">
        <v>1.47</v>
      </c>
      <c r="J7" s="2835"/>
      <c r="K7" s="2835"/>
      <c r="L7" s="2835"/>
      <c r="M7" s="2835"/>
      <c r="N7" s="2835"/>
      <c r="O7" s="2835"/>
      <c r="P7" s="2835"/>
    </row>
    <row r="8" spans="1:16">
      <c r="A8" s="47" t="s">
        <v>1742</v>
      </c>
      <c r="B8" s="50" t="s">
        <v>1743</v>
      </c>
      <c r="C8" s="48" t="s">
        <v>1744</v>
      </c>
      <c r="D8" s="48">
        <f t="shared" ref="D8:D15" si="0">ROUND($D$3*E8/$E$3,2)</f>
        <v>0</v>
      </c>
      <c r="E8" s="51">
        <f>SUMIF('数据-基础表'!BB10:BK10,"地上",'数据-基础表'!BB5:BK5)</f>
        <v>2555.66</v>
      </c>
      <c r="F8" s="2835"/>
      <c r="G8" s="2836"/>
      <c r="H8" s="2836"/>
      <c r="I8" s="2835"/>
      <c r="J8" s="2835"/>
      <c r="K8" s="2835"/>
      <c r="L8" s="2835"/>
      <c r="M8" s="2835"/>
      <c r="N8" s="2835"/>
      <c r="O8" s="2835"/>
      <c r="P8" s="2835"/>
    </row>
    <row r="9" spans="1:16">
      <c r="A9" s="1801"/>
      <c r="B9" s="1802"/>
      <c r="C9" s="48" t="s">
        <v>1745</v>
      </c>
      <c r="D9" s="48">
        <f t="shared" si="0"/>
        <v>0</v>
      </c>
      <c r="E9" s="52">
        <v>0</v>
      </c>
      <c r="F9" s="2835"/>
      <c r="G9" s="2836"/>
      <c r="H9" s="2836"/>
      <c r="I9" s="2835"/>
      <c r="J9" s="2835"/>
      <c r="K9" s="2835"/>
      <c r="L9" s="2835"/>
      <c r="M9" s="2835"/>
      <c r="N9" s="2835"/>
      <c r="O9" s="2835"/>
      <c r="P9" s="2835"/>
    </row>
    <row r="10" spans="1:16">
      <c r="A10" s="1801"/>
      <c r="B10" s="1802"/>
      <c r="C10" s="48" t="s">
        <v>1754</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801"/>
      <c r="B11" s="1802"/>
      <c r="C11" s="48" t="s">
        <v>1746</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801"/>
      <c r="B12" s="1802"/>
      <c r="C12" s="48" t="s">
        <v>1747</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801"/>
      <c r="B13" s="1802"/>
      <c r="C13" s="48" t="s">
        <v>1748</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801"/>
      <c r="B14" s="1802"/>
      <c r="C14" s="48" t="s">
        <v>1760</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801"/>
      <c r="B15" s="1802"/>
      <c r="C15" s="48" t="s">
        <v>1755</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99"/>
      <c r="B16" s="1802"/>
      <c r="C16" s="50" t="s">
        <v>1749</v>
      </c>
      <c r="D16" s="50">
        <f>SUM(D8:D15)</f>
        <v>0</v>
      </c>
      <c r="E16" s="53">
        <f>SUM(E8:E15)</f>
        <v>2555.66</v>
      </c>
      <c r="F16" s="2835"/>
      <c r="G16" s="2836"/>
      <c r="H16" s="1803" t="s">
        <v>1761</v>
      </c>
      <c r="I16" s="1804"/>
      <c r="J16" s="1273"/>
      <c r="K16" s="3276" t="s">
        <v>1761</v>
      </c>
      <c r="L16" s="3277"/>
      <c r="M16" s="3277"/>
      <c r="N16" s="3277"/>
      <c r="O16" s="3277"/>
      <c r="P16" s="3278"/>
    </row>
    <row r="17" spans="1:19" ht="15">
      <c r="A17" s="1805" t="s">
        <v>1762</v>
      </c>
      <c r="B17" s="1806" t="s">
        <v>1763</v>
      </c>
      <c r="C17" s="1807" t="s">
        <v>1764</v>
      </c>
      <c r="D17" s="1808" t="s">
        <v>1752</v>
      </c>
      <c r="E17" s="1809" t="s">
        <v>1753</v>
      </c>
      <c r="F17" s="1810"/>
      <c r="G17" s="1811"/>
      <c r="H17" s="1812" t="s">
        <v>1765</v>
      </c>
      <c r="I17" s="1813" t="s">
        <v>1750</v>
      </c>
      <c r="J17" s="1273"/>
      <c r="K17" s="3273" t="s">
        <v>1766</v>
      </c>
      <c r="L17" s="3274"/>
      <c r="M17" s="3275"/>
      <c r="N17" s="3273" t="s">
        <v>1767</v>
      </c>
      <c r="O17" s="3274"/>
      <c r="P17" s="3275"/>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186" t="s">
        <v>3110</v>
      </c>
      <c r="D19" s="48">
        <f>ROUND($D$3*E19/$E$3,2)</f>
        <v>0</v>
      </c>
      <c r="E19" s="56">
        <f t="shared" ref="E19:E26" si="1">SUM(F19:G19)</f>
        <v>2555.66</v>
      </c>
      <c r="F19" s="2975">
        <f>'数据-基础表'!I13</f>
        <v>2555.66</v>
      </c>
      <c r="G19" s="2976"/>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2555.66</v>
      </c>
    </row>
    <row r="20" spans="1:19">
      <c r="A20" s="1826"/>
      <c r="B20" s="50" t="s">
        <v>1779</v>
      </c>
      <c r="C20" s="1823"/>
      <c r="D20" s="48">
        <f t="shared" ref="D20:D26" si="6">ROUND($D$3*E20/$E$3,2)</f>
        <v>0</v>
      </c>
      <c r="E20" s="56">
        <f t="shared" si="1"/>
        <v>0</v>
      </c>
      <c r="F20" s="2975"/>
      <c r="G20" s="2976"/>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75"/>
      <c r="G21" s="2976"/>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77"/>
      <c r="G22" s="2978"/>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77"/>
      <c r="G23" s="2978"/>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77"/>
      <c r="G24" s="2978"/>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77"/>
      <c r="G25" s="2978"/>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77"/>
      <c r="G26" s="2978"/>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0</v>
      </c>
      <c r="E27" s="1275">
        <f>IF(SUM(E19:E26)='数据-基础表'!BA5,SUM(E19:E26),IF(F27="地上面积有误","面积有误","地下面积有误"))</f>
        <v>2555.66</v>
      </c>
      <c r="F27" s="1274">
        <f>IF(SUM(F19:F26)=E8,SUM(F19:F26),"地上面积有误")</f>
        <v>2555.66</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2555.66</v>
      </c>
    </row>
    <row r="28" spans="1:19">
      <c r="A28" s="1826"/>
      <c r="B28" s="50" t="s">
        <v>1781</v>
      </c>
      <c r="C28" s="1169" t="s">
        <v>1782</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26"/>
      <c r="B29" s="50" t="s">
        <v>1781</v>
      </c>
      <c r="C29" s="1830" t="s">
        <v>1783</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26"/>
      <c r="B30" s="50"/>
      <c r="C30" s="1831" t="s">
        <v>1780</v>
      </c>
      <c r="D30" s="1274">
        <f>SUM(D28:D29)</f>
        <v>0</v>
      </c>
      <c r="E30" s="1274">
        <f>SUM(E28:E29)</f>
        <v>0</v>
      </c>
      <c r="F30" s="1274">
        <f>SUM(F28:F29)</f>
        <v>0</v>
      </c>
      <c r="G30" s="1276">
        <f>SUM(G28:G29)</f>
        <v>0</v>
      </c>
      <c r="H30" s="2835"/>
      <c r="I30" s="2835"/>
      <c r="J30" s="2835"/>
      <c r="K30" s="2835"/>
      <c r="L30" s="2835"/>
      <c r="M30" s="2835"/>
      <c r="N30" s="2835"/>
      <c r="O30" s="2835"/>
      <c r="P30" s="2835"/>
    </row>
    <row r="31" spans="1:19" ht="15.75" thickBot="1">
      <c r="A31" s="1832"/>
      <c r="B31" s="1833"/>
      <c r="C31" s="944" t="s">
        <v>1784</v>
      </c>
      <c r="D31" s="685">
        <f>D27+D30</f>
        <v>0</v>
      </c>
      <c r="E31" s="685">
        <f>E27+E30</f>
        <v>2555.66</v>
      </c>
      <c r="F31" s="686">
        <f>F27+F30</f>
        <v>2555.66</v>
      </c>
      <c r="G31" s="687">
        <f>G27+G30</f>
        <v>0</v>
      </c>
      <c r="H31" s="2835"/>
      <c r="I31" s="2835"/>
      <c r="J31" s="2835"/>
      <c r="K31" s="2835"/>
      <c r="L31" s="2835"/>
      <c r="M31" s="2835"/>
      <c r="N31" s="2835"/>
      <c r="O31" s="2835"/>
      <c r="P31" s="2835"/>
    </row>
    <row r="32" spans="1:19">
      <c r="A32" s="1798"/>
      <c r="B32" s="1798" t="s">
        <v>1785</v>
      </c>
      <c r="C32" s="1798"/>
      <c r="D32" s="1798"/>
      <c r="E32" s="1184">
        <f>SUMIF(C19:C26,"*住宅*",E19:E26)</f>
        <v>0</v>
      </c>
      <c r="F32" s="1798"/>
      <c r="G32" s="1798"/>
      <c r="H32" s="2835"/>
      <c r="I32" s="2835"/>
      <c r="J32" s="2835"/>
      <c r="K32" s="2835"/>
      <c r="L32" s="2835"/>
      <c r="M32" s="2835"/>
      <c r="N32" s="2835"/>
      <c r="O32" s="2835"/>
      <c r="P32" s="2835"/>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49"/>
      <c r="AO1" s="2849"/>
      <c r="AP1" s="2849"/>
      <c r="AQ1" s="2849"/>
      <c r="AR1" s="2849"/>
    </row>
    <row r="2" spans="1:67" s="1714" customFormat="1" ht="15.75" thickBot="1">
      <c r="A2" s="1839" t="s">
        <v>1787</v>
      </c>
      <c r="B2" s="1176">
        <f>项目基本情况!D3</f>
        <v>44628</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51"/>
      <c r="AO2" s="2851"/>
      <c r="AP2" s="2851"/>
      <c r="AQ2" s="2851"/>
      <c r="AR2" s="2851"/>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51"/>
      <c r="AO3" s="2851"/>
      <c r="AP3" s="2851"/>
      <c r="AQ3" s="2851"/>
      <c r="AR3" s="2851"/>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34"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51"/>
      <c r="AO4" s="2851"/>
      <c r="AP4" s="2851"/>
      <c r="AQ4" s="2851"/>
      <c r="AR4" s="2851"/>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3111</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工业用房</v>
      </c>
      <c r="B6" s="1869" t="str">
        <f>IF(A6=0,"","经营性")</f>
        <v>经营性</v>
      </c>
      <c r="C6" s="1870" t="s">
        <v>6</v>
      </c>
      <c r="D6" s="967">
        <f>SUMIF(项目基本情况!D$12:I$12,C6,项目基本情况!D$14:I$14)</f>
        <v>50</v>
      </c>
      <c r="E6" s="966">
        <f>IF(B6="","",SUMIF(项目基本情况!D$12:I$12,C6,项目基本情况!D$13:I$13))</f>
        <v>59184</v>
      </c>
      <c r="F6" s="68">
        <f>SUMIF(项目基本情况!D$12:I$12,C6,项目基本情况!D$15:I$15)</f>
        <v>39.869999999999997</v>
      </c>
      <c r="G6" s="69">
        <f>IF(ISERROR(ROUND(POWER(1+H6,D6-F6)*(POWER(1+H6,F6)-1)/(POWER(1+H6,D6)-1),3)),0,ROUND(POWER(1+H6,D6-F6)*(POWER(1+H6,F6)-1)/(POWER(1+H6,D6)-1),3))</f>
        <v>0.93</v>
      </c>
      <c r="H6" s="741">
        <v>4.4999999999999998E-2</v>
      </c>
      <c r="I6" s="741">
        <v>0.05</v>
      </c>
      <c r="J6" s="70">
        <v>7.4999999999999997E-2</v>
      </c>
      <c r="K6" s="1161">
        <f>SUMIF('数据-汇总表'!C$19:C$33,A6,'数据-汇总表'!E$19:E$33)</f>
        <v>2555.66</v>
      </c>
      <c r="L6" s="742">
        <v>3500</v>
      </c>
      <c r="M6" s="71">
        <f t="shared" ref="M6:M14" si="0">ROUND(K6*L6/10000,0)</f>
        <v>894</v>
      </c>
      <c r="N6" s="740">
        <f>51/60</f>
        <v>0.85</v>
      </c>
      <c r="O6" s="71" t="str">
        <f>IF($N$5="成新度","——",ROUND(M6*N6,0))</f>
        <v>——</v>
      </c>
      <c r="P6" s="72" t="str">
        <f>IF($N$5="成新度","——",M6-O6)</f>
        <v>——</v>
      </c>
      <c r="Q6" s="743">
        <v>0.1</v>
      </c>
      <c r="R6" s="73">
        <f ca="1">SUMIF('数据-汇总表'!C$19:C$33,A6,'数据-汇总表'!R$19:R$27)</f>
        <v>0</v>
      </c>
      <c r="S6" s="54">
        <f>IF('数据-汇总表'!$I$17="按面积比例",SUMIF('数据-汇总表'!C$19:C$33,A6,'数据-汇总表'!K$19:K$33),SUMIF('数据-汇总表'!C$19:C$33,A6,'数据-汇总表'!N$19:N$33))</f>
        <v>0</v>
      </c>
      <c r="T6" s="1306">
        <f>ROUND($L$14*S6/10000,0)</f>
        <v>0</v>
      </c>
      <c r="U6" s="74">
        <v>1.1000000000000001</v>
      </c>
      <c r="V6" s="75">
        <v>0.02</v>
      </c>
      <c r="W6" s="75">
        <v>0.1</v>
      </c>
      <c r="X6" s="1171"/>
      <c r="Y6" s="76">
        <f>N6</f>
        <v>0.85</v>
      </c>
      <c r="Z6" s="77"/>
      <c r="AA6" s="70"/>
      <c r="AB6" s="70"/>
      <c r="AC6" s="1171"/>
      <c r="AD6" s="78"/>
      <c r="AE6" s="1172">
        <f ca="1">IF(AN6="",0,SUMIF(INDIRECT("'"&amp;AN6&amp;"'"&amp;"!E:E"),$AE$5,INDIRECT("'"&amp;AN6&amp;"'"&amp;"!F:F")))</f>
        <v>39.869999999999997</v>
      </c>
      <c r="AF6" s="1502"/>
      <c r="AG6" s="143">
        <f>IF(AF6="",0,AE6-AF6)</f>
        <v>0</v>
      </c>
      <c r="AH6" s="79"/>
      <c r="AI6" s="81">
        <v>365</v>
      </c>
      <c r="AJ6" s="82"/>
      <c r="AK6" s="83">
        <v>1.4999999999999999E-2</v>
      </c>
      <c r="AL6" s="84">
        <v>1.5E-3</v>
      </c>
      <c r="AM6" s="85">
        <v>0.02</v>
      </c>
      <c r="AN6" s="1871" t="s">
        <v>3112</v>
      </c>
      <c r="AO6" s="55">
        <f ca="1">SUMIF(INDIRECT("'"&amp;AN6&amp;"'"&amp;"!A:A"),"总价",INDIRECT("'"&amp;AN6&amp;"'"&amp;"!B:B"))</f>
        <v>1283</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49"/>
      <c r="AO14" s="2851"/>
      <c r="AP14" s="2851"/>
      <c r="AQ14" s="2851"/>
      <c r="AR14" s="2851"/>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49"/>
      <c r="AO15" s="2851"/>
      <c r="AP15" s="2851"/>
      <c r="AQ15" s="2851"/>
      <c r="AR15" s="2851"/>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0.93</v>
      </c>
      <c r="H16" s="95">
        <f>ROUND(SUMPRODUCT(H6:H13,K6:K13)/SUMPRODUCT((H6:H13&gt;0)*(K6:K13)),3)</f>
        <v>4.4999999999999998E-2</v>
      </c>
      <c r="I16" s="96"/>
      <c r="J16" s="96"/>
      <c r="K16" s="97">
        <f>SUM(K6:K15)</f>
        <v>2555.66</v>
      </c>
      <c r="L16" s="98">
        <f>ROUND(M16*10000/SUM(K6:K14),0)</f>
        <v>3498</v>
      </c>
      <c r="M16" s="98">
        <f>SUM(M6:M14)</f>
        <v>894</v>
      </c>
      <c r="N16" s="99">
        <f>ROUND(SUMPRODUCT(M6:M14,N6:N14)/M16,3)</f>
        <v>0.85</v>
      </c>
      <c r="O16" s="98">
        <f>SUM(O6:O14)</f>
        <v>0</v>
      </c>
      <c r="P16" s="98">
        <f>SUM(P6:P14)</f>
        <v>0</v>
      </c>
      <c r="Q16" s="100">
        <f>ROUND(SUMPRODUCT(Q6:Q13,K6:K13)/SUMPRODUCT((Q6:Q13&gt;0)*(K6:K13)),2)</f>
        <v>0.1</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60"/>
      <c r="C17" s="2849"/>
      <c r="D17" s="2853"/>
      <c r="E17" s="2853"/>
      <c r="F17" s="2849"/>
      <c r="G17" s="2849"/>
      <c r="H17" s="2849"/>
      <c r="I17" s="2849"/>
      <c r="J17" s="2849"/>
      <c r="K17" s="2850"/>
      <c r="L17" s="2850"/>
      <c r="M17" s="2849"/>
      <c r="N17" s="2849">
        <v>2013</v>
      </c>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1836</v>
      </c>
      <c r="B18" s="2863"/>
      <c r="C18" s="2851"/>
      <c r="D18" s="2854"/>
      <c r="E18" s="2851"/>
      <c r="F18" s="2851"/>
      <c r="G18" s="2851"/>
      <c r="H18" s="2851"/>
      <c r="I18" s="2851"/>
      <c r="J18" s="2851"/>
      <c r="K18" s="2850"/>
      <c r="L18" s="2850"/>
      <c r="M18" s="2849"/>
      <c r="N18" s="2849">
        <f>2022-N17</f>
        <v>9</v>
      </c>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78" t="s">
        <v>1837</v>
      </c>
      <c r="B19" s="108">
        <v>0</v>
      </c>
      <c r="C19" s="2979" t="s">
        <v>2962</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79" t="s">
        <v>1838</v>
      </c>
      <c r="B20" s="109">
        <v>1</v>
      </c>
      <c r="C20" s="2980" t="s">
        <v>2960</v>
      </c>
      <c r="D20" s="2854"/>
      <c r="E20" s="2851"/>
      <c r="F20" s="2851"/>
      <c r="G20" s="2851"/>
      <c r="H20" s="2851"/>
      <c r="I20" s="2851"/>
      <c r="J20" s="2851"/>
      <c r="K20" s="2850"/>
      <c r="L20" s="2850"/>
      <c r="M20" s="2849"/>
      <c r="N20" s="2849"/>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80" t="s">
        <v>1839</v>
      </c>
      <c r="B21" s="109">
        <v>1</v>
      </c>
      <c r="C21" s="2851"/>
      <c r="D21" s="2854"/>
      <c r="E21" s="2851"/>
      <c r="F21" s="2851"/>
      <c r="G21" s="2851"/>
      <c r="H21" s="2851"/>
      <c r="I21" s="2851"/>
      <c r="J21" s="2851"/>
      <c r="K21" s="2850"/>
      <c r="L21" s="2850"/>
      <c r="M21" s="2849"/>
      <c r="N21" s="2849"/>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79" t="s">
        <v>1840</v>
      </c>
      <c r="B22" s="110">
        <f>B19+B20</f>
        <v>1</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80" t="s">
        <v>1841</v>
      </c>
      <c r="B23" s="110">
        <f>B19+B21</f>
        <v>1</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81" t="s">
        <v>1842</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712"/>
      <c r="B25" s="184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39" t="s">
        <v>1843</v>
      </c>
      <c r="B26" s="1882" t="s">
        <v>1844</v>
      </c>
      <c r="C26" s="2855" t="s">
        <v>1845</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84" customFormat="1" ht="27.75">
      <c r="A27" s="1883" t="s">
        <v>1846</v>
      </c>
      <c r="B27" s="112">
        <v>150</v>
      </c>
      <c r="C27" s="2981" t="s">
        <v>2964</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190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49</v>
      </c>
      <c r="C29" s="2982" t="s">
        <v>2951</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2983" t="s">
        <v>2952</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2983" t="s">
        <v>2953</v>
      </c>
      <c r="D34" s="2862" t="s">
        <v>2961</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2983" t="s">
        <v>2954</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2983" t="s">
        <v>2955</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87" t="s">
        <v>1856</v>
      </c>
      <c r="B37" s="120">
        <v>0.02</v>
      </c>
      <c r="C37" s="2983" t="s">
        <v>2956</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85" t="s">
        <v>1857</v>
      </c>
      <c r="B38" s="118">
        <v>0.02</v>
      </c>
      <c r="C38" s="2983" t="s">
        <v>2956</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88" t="s">
        <v>1858</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3113</v>
      </c>
      <c r="B40" s="1210">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83" t="s">
        <v>1859</v>
      </c>
      <c r="B41" s="121">
        <f>B42+B43</f>
        <v>5.5000000000000007E-2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89" t="s">
        <v>1860</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89" t="s">
        <v>1861</v>
      </c>
      <c r="B43" s="123">
        <f>B42*(B44+B45+B46)+B47</f>
        <v>5.000000000000001E-3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90" t="s">
        <v>1862</v>
      </c>
      <c r="B44" s="124">
        <v>0.05</v>
      </c>
      <c r="C44" s="2983" t="s">
        <v>2965</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90" t="s">
        <v>1863</v>
      </c>
      <c r="B45" s="122">
        <v>0.03</v>
      </c>
      <c r="C45" s="2982" t="s">
        <v>2957</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90" t="s">
        <v>1864</v>
      </c>
      <c r="B46" s="122">
        <v>0.02</v>
      </c>
      <c r="C46" s="2982" t="s">
        <v>2958</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91" t="s">
        <v>1865</v>
      </c>
      <c r="B47" s="125"/>
      <c r="C47" s="2985" t="s">
        <v>2966</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92" t="s">
        <v>1866</v>
      </c>
      <c r="B48" s="126">
        <v>0.03</v>
      </c>
      <c r="C48" s="2982" t="s">
        <v>2957</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88" t="s">
        <v>1867</v>
      </c>
      <c r="B49" s="122">
        <v>5.0000000000000001E-4</v>
      </c>
      <c r="C49" s="2982" t="s">
        <v>2959</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93" t="s">
        <v>1868</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86" t="s">
        <v>1869</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93" t="s">
        <v>1870</v>
      </c>
      <c r="B52" s="129">
        <f>SUMIF(A54:A63,B53,B54:B63)</f>
        <v>0</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85" t="s">
        <v>1871</v>
      </c>
      <c r="B53" s="1894"/>
      <c r="C53" s="2837" t="s">
        <v>1872</v>
      </c>
      <c r="D53" s="2984" t="s">
        <v>2963</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95" t="s">
        <v>1873</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95" t="s">
        <v>1874</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95" t="s">
        <v>1875</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95" t="s">
        <v>1876</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95" t="s">
        <v>1877</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95" t="s">
        <v>1878</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95" t="s">
        <v>1879</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95" t="s">
        <v>1880</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95" t="s">
        <v>1881</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96" t="s">
        <v>1882</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901"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901"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901"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901"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901"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6" sqref="G6"/>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288" t="s">
        <v>2943</v>
      </c>
      <c r="B1" s="3289"/>
      <c r="C1" s="3289"/>
      <c r="D1" s="3289"/>
      <c r="E1" s="3289"/>
      <c r="F1" s="3289"/>
      <c r="G1" s="3289"/>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2940</v>
      </c>
      <c r="D2" s="2657"/>
      <c r="E2" s="2654"/>
      <c r="F2" s="2658"/>
      <c r="G2" s="2656" t="s">
        <v>2941</v>
      </c>
      <c r="H2" s="907"/>
      <c r="I2" s="907"/>
      <c r="J2" s="907"/>
      <c r="K2" s="907"/>
      <c r="L2" s="907"/>
      <c r="M2" s="907"/>
      <c r="N2" s="907"/>
      <c r="O2" s="907"/>
      <c r="P2" s="907"/>
      <c r="Q2" s="907"/>
      <c r="R2" s="907"/>
    </row>
    <row r="3" spans="1:29" ht="24">
      <c r="A3" s="2637" t="s">
        <v>2942</v>
      </c>
      <c r="B3" s="2659" t="s">
        <v>2918</v>
      </c>
      <c r="C3" s="2660"/>
      <c r="D3" s="2661"/>
      <c r="E3" s="2638" t="s">
        <v>2942</v>
      </c>
      <c r="F3" s="2662" t="s">
        <v>2919</v>
      </c>
      <c r="G3" s="3188" t="s">
        <v>3133</v>
      </c>
      <c r="H3" s="907"/>
      <c r="I3" s="907"/>
      <c r="J3" s="907"/>
      <c r="K3" s="907"/>
      <c r="L3" s="907"/>
      <c r="M3" s="907"/>
      <c r="N3" s="907"/>
      <c r="O3" s="907"/>
      <c r="P3" s="907"/>
      <c r="Q3" s="907"/>
      <c r="R3" s="907"/>
    </row>
    <row r="4" spans="1:29">
      <c r="A4" s="2638"/>
      <c r="B4" s="329" t="s">
        <v>2920</v>
      </c>
      <c r="C4" s="2663"/>
      <c r="D4" s="2661"/>
      <c r="E4" s="2664"/>
      <c r="F4" s="1527" t="s">
        <v>2921</v>
      </c>
      <c r="G4" s="3189" t="s">
        <v>3133</v>
      </c>
      <c r="H4" s="907"/>
      <c r="I4" s="907"/>
      <c r="J4" s="907"/>
      <c r="K4" s="907"/>
      <c r="L4" s="907"/>
      <c r="M4" s="907"/>
      <c r="N4" s="907"/>
      <c r="O4" s="907"/>
      <c r="P4" s="907"/>
      <c r="Q4" s="907"/>
      <c r="R4" s="907"/>
    </row>
    <row r="5" spans="1:29">
      <c r="A5" s="2638"/>
      <c r="B5" s="329" t="s">
        <v>2922</v>
      </c>
      <c r="C5" s="2663"/>
      <c r="D5" s="2661"/>
      <c r="E5" s="2664"/>
      <c r="F5" s="329" t="s">
        <v>2923</v>
      </c>
      <c r="G5" s="3189" t="s">
        <v>3159</v>
      </c>
      <c r="H5" s="907"/>
      <c r="I5" s="907"/>
      <c r="J5" s="907"/>
      <c r="K5" s="907"/>
      <c r="L5" s="907"/>
      <c r="M5" s="907"/>
      <c r="N5" s="907"/>
      <c r="O5" s="907"/>
      <c r="P5" s="907"/>
      <c r="Q5" s="907"/>
      <c r="R5" s="907"/>
    </row>
    <row r="6" spans="1:29">
      <c r="A6" s="2638"/>
      <c r="B6" s="329" t="s">
        <v>2924</v>
      </c>
      <c r="C6" s="2665"/>
      <c r="D6" s="2661"/>
      <c r="E6" s="2664"/>
      <c r="F6" s="329" t="s">
        <v>2925</v>
      </c>
      <c r="G6" s="3189" t="s">
        <v>3135</v>
      </c>
      <c r="H6" s="907"/>
      <c r="I6" s="907"/>
      <c r="J6" s="907"/>
      <c r="K6" s="907"/>
      <c r="L6" s="907"/>
      <c r="M6" s="907"/>
      <c r="N6" s="907"/>
      <c r="O6" s="907"/>
      <c r="P6" s="907"/>
      <c r="Q6" s="907"/>
      <c r="R6" s="907"/>
    </row>
    <row r="7" spans="1:29" ht="15" thickBot="1">
      <c r="A7" s="2638"/>
      <c r="B7" s="329" t="s">
        <v>2923</v>
      </c>
      <c r="C7" s="2665"/>
      <c r="D7" s="2666"/>
      <c r="E7" s="2667"/>
      <c r="F7" s="2668" t="s">
        <v>2926</v>
      </c>
      <c r="G7" s="3190" t="s">
        <v>3132</v>
      </c>
      <c r="H7" s="907"/>
      <c r="I7" s="907"/>
      <c r="J7" s="907"/>
      <c r="K7" s="907"/>
      <c r="L7" s="907"/>
      <c r="M7" s="907"/>
      <c r="N7" s="907"/>
      <c r="O7" s="907"/>
      <c r="P7" s="907"/>
      <c r="Q7" s="907"/>
      <c r="R7" s="907"/>
    </row>
    <row r="8" spans="1:29">
      <c r="A8" s="2638"/>
      <c r="B8" s="329" t="s">
        <v>2925</v>
      </c>
      <c r="C8" s="2665"/>
      <c r="D8" s="2666"/>
      <c r="E8" s="2666"/>
      <c r="F8" s="2669"/>
      <c r="G8" s="2669"/>
      <c r="H8" s="907"/>
      <c r="I8" s="907"/>
      <c r="J8" s="907"/>
      <c r="K8" s="907"/>
      <c r="L8" s="907"/>
      <c r="M8" s="907"/>
      <c r="N8" s="907"/>
      <c r="O8" s="907"/>
      <c r="P8" s="907"/>
      <c r="Q8" s="907"/>
      <c r="R8" s="907"/>
    </row>
    <row r="9" spans="1:29">
      <c r="A9" s="2638"/>
      <c r="B9" s="329" t="s">
        <v>2927</v>
      </c>
      <c r="C9" s="2663"/>
      <c r="D9" s="2661"/>
      <c r="E9" s="2666"/>
      <c r="F9" s="2669"/>
      <c r="G9" s="2669"/>
      <c r="H9" s="907"/>
      <c r="I9" s="907"/>
      <c r="J9" s="907"/>
      <c r="K9" s="907"/>
      <c r="L9" s="907"/>
      <c r="M9" s="907"/>
      <c r="N9" s="907"/>
      <c r="O9" s="907"/>
      <c r="P9" s="907"/>
      <c r="Q9" s="907"/>
      <c r="R9" s="907"/>
    </row>
    <row r="10" spans="1:29" s="2675" customFormat="1" ht="15" thickBot="1">
      <c r="A10" s="2639"/>
      <c r="B10" s="2670" t="s">
        <v>2928</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2944</v>
      </c>
      <c r="B13" s="2678"/>
      <c r="C13" s="2678"/>
      <c r="D13" s="2676"/>
      <c r="E13" s="2678"/>
      <c r="F13" s="2678"/>
      <c r="G13" s="2678"/>
    </row>
    <row r="14" spans="1:29" ht="15" thickBot="1">
      <c r="A14" s="2688"/>
      <c r="B14" s="2688"/>
      <c r="C14" s="2689" t="s">
        <v>2929</v>
      </c>
      <c r="D14" s="2661"/>
      <c r="E14" s="2690"/>
      <c r="F14" s="2690"/>
      <c r="G14" s="2656" t="s">
        <v>2930</v>
      </c>
    </row>
    <row r="15" spans="1:29" ht="24">
      <c r="A15" s="2640" t="s">
        <v>2931</v>
      </c>
      <c r="B15" s="2691" t="s">
        <v>2918</v>
      </c>
      <c r="C15" s="2692">
        <f>C3</f>
        <v>0</v>
      </c>
      <c r="D15" s="2661"/>
      <c r="E15" s="2641" t="s">
        <v>2932</v>
      </c>
      <c r="F15" s="2691" t="s">
        <v>2933</v>
      </c>
      <c r="G15" s="2693" t="str">
        <f>G3</f>
        <v>一般</v>
      </c>
    </row>
    <row r="16" spans="1:29">
      <c r="A16" s="2642"/>
      <c r="B16" s="2694" t="s">
        <v>2920</v>
      </c>
      <c r="C16" s="2695">
        <f>C4</f>
        <v>0</v>
      </c>
      <c r="D16" s="2661"/>
      <c r="E16" s="2643"/>
      <c r="F16" s="2696" t="s">
        <v>2921</v>
      </c>
      <c r="G16" s="2697" t="str">
        <f>G4</f>
        <v>一般</v>
      </c>
    </row>
    <row r="17" spans="1:18">
      <c r="A17" s="2642"/>
      <c r="B17" s="2694" t="s">
        <v>2922</v>
      </c>
      <c r="C17" s="2695">
        <f>C5</f>
        <v>0</v>
      </c>
      <c r="D17" s="2666"/>
      <c r="E17" s="2643"/>
      <c r="F17" s="2696" t="s">
        <v>2934</v>
      </c>
      <c r="G17" s="3187" t="s">
        <v>3133</v>
      </c>
    </row>
    <row r="18" spans="1:18">
      <c r="A18" s="2642"/>
      <c r="B18" s="2696" t="s">
        <v>2924</v>
      </c>
      <c r="C18" s="2697">
        <f>C6</f>
        <v>0</v>
      </c>
      <c r="D18" s="2666"/>
      <c r="E18" s="2643"/>
      <c r="F18" s="2696" t="s">
        <v>2926</v>
      </c>
      <c r="G18" s="2697" t="str">
        <f>G7</f>
        <v>较好</v>
      </c>
    </row>
    <row r="19" spans="1:18">
      <c r="A19" s="2642"/>
      <c r="B19" s="2696" t="s">
        <v>2935</v>
      </c>
      <c r="C19" s="2698"/>
      <c r="D19" s="2661"/>
      <c r="E19" s="2643"/>
      <c r="F19" s="329" t="s">
        <v>2923</v>
      </c>
      <c r="G19" s="2697" t="str">
        <f>G5</f>
        <v>较差</v>
      </c>
    </row>
    <row r="20" spans="1:18">
      <c r="A20" s="2642"/>
      <c r="B20" s="2696" t="s">
        <v>2936</v>
      </c>
      <c r="C20" s="2695">
        <f>C9</f>
        <v>0</v>
      </c>
      <c r="D20" s="2666"/>
      <c r="E20" s="2643"/>
      <c r="F20" s="329" t="s">
        <v>2925</v>
      </c>
      <c r="G20" s="2697" t="str">
        <f>G6</f>
        <v>五通</v>
      </c>
    </row>
    <row r="21" spans="1:18">
      <c r="A21" s="2642"/>
      <c r="B21" s="329" t="s">
        <v>2923</v>
      </c>
      <c r="C21" s="2697">
        <f>C7</f>
        <v>0</v>
      </c>
      <c r="D21" s="2661"/>
      <c r="E21" s="2643"/>
      <c r="F21" s="2696" t="s">
        <v>2937</v>
      </c>
      <c r="G21" s="2699" t="s">
        <v>3136</v>
      </c>
    </row>
    <row r="22" spans="1:18" ht="13.5" customHeight="1">
      <c r="A22" s="2642"/>
      <c r="B22" s="329" t="s">
        <v>2925</v>
      </c>
      <c r="C22" s="2697">
        <f>C8</f>
        <v>0</v>
      </c>
      <c r="D22" s="2661"/>
      <c r="E22" s="2643"/>
      <c r="F22" s="2696" t="s">
        <v>2928</v>
      </c>
      <c r="G22" s="2698"/>
    </row>
    <row r="23" spans="1:18" s="907" customFormat="1" ht="15" thickBot="1">
      <c r="A23" s="2642"/>
      <c r="B23" s="2696" t="s">
        <v>2937</v>
      </c>
      <c r="C23" s="2699"/>
      <c r="D23" s="1897"/>
      <c r="E23" s="2644"/>
      <c r="F23" s="2700" t="s">
        <v>2938</v>
      </c>
      <c r="G23" s="2701"/>
      <c r="H23" s="2685"/>
      <c r="I23" s="2686"/>
      <c r="J23" s="2685"/>
      <c r="K23" s="2685"/>
      <c r="L23" s="2686"/>
      <c r="M23" s="2685"/>
      <c r="N23" s="2685"/>
      <c r="O23" s="2686"/>
      <c r="P23" s="2685"/>
      <c r="Q23" s="2685"/>
      <c r="R23" s="2687"/>
    </row>
    <row r="24" spans="1:18" s="907" customFormat="1" ht="15" thickBot="1">
      <c r="A24" s="2645"/>
      <c r="B24" s="2700" t="s">
        <v>2939</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14" sqref="B1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2555.66</v>
      </c>
      <c r="C1" s="2864"/>
      <c r="D1" s="2864"/>
      <c r="E1" s="2864"/>
      <c r="F1" s="2864"/>
      <c r="G1" s="2865"/>
      <c r="H1" s="2866"/>
      <c r="I1" s="2866"/>
      <c r="J1" s="2866"/>
      <c r="K1" s="2866"/>
    </row>
    <row r="2" spans="1:11" ht="16.5">
      <c r="A2" s="2706" t="s">
        <v>1259</v>
      </c>
      <c r="B2" s="2706">
        <f>SUM(C14:C23)</f>
        <v>0</v>
      </c>
      <c r="C2" s="2864"/>
      <c r="D2" s="2864"/>
      <c r="E2" s="2864"/>
      <c r="F2" s="2864"/>
      <c r="G2" s="2865"/>
      <c r="H2" s="2866"/>
      <c r="I2" s="2866"/>
      <c r="J2" s="2866"/>
      <c r="K2" s="2866"/>
    </row>
    <row r="3" spans="1:11" ht="16.5">
      <c r="A3" s="2706" t="s">
        <v>1268</v>
      </c>
      <c r="B3" s="2708">
        <f>项目基本情况!D3</f>
        <v>44628</v>
      </c>
      <c r="C3" s="2864"/>
      <c r="D3" s="2864"/>
      <c r="E3" s="2864"/>
      <c r="F3" s="2864"/>
      <c r="G3" s="2865"/>
      <c r="H3" s="2866"/>
      <c r="I3" s="2866"/>
      <c r="J3" s="2866"/>
      <c r="K3" s="2866"/>
    </row>
    <row r="4" spans="1:11" ht="33">
      <c r="A4" s="2706" t="s">
        <v>1267</v>
      </c>
      <c r="B4" s="2706" t="s">
        <v>1266</v>
      </c>
      <c r="C4" s="2706" t="s">
        <v>1265</v>
      </c>
      <c r="D4" s="2706" t="s">
        <v>1264</v>
      </c>
      <c r="E4" s="2864"/>
      <c r="F4" s="2865"/>
      <c r="G4" s="2865"/>
      <c r="H4" s="2866"/>
      <c r="I4" s="2866"/>
      <c r="J4" s="2866"/>
      <c r="K4" s="2866"/>
    </row>
    <row r="5" spans="1:11" ht="16.5">
      <c r="A5" s="2706" t="s">
        <v>1263</v>
      </c>
      <c r="B5" s="2706">
        <f ca="1">SUM(D14:D23)</f>
        <v>1376</v>
      </c>
      <c r="C5" s="2706">
        <f ca="1">ROUND(B5*10000/$B$1,0)</f>
        <v>5384</v>
      </c>
      <c r="D5" s="2706" t="e">
        <f ca="1">ROUND(B5*10000/$B$2,0)</f>
        <v>#DIV/0!</v>
      </c>
      <c r="E5" s="2864"/>
      <c r="F5" s="2865"/>
      <c r="G5" s="2865"/>
      <c r="H5" s="2866"/>
      <c r="I5" s="2866"/>
      <c r="J5" s="2866"/>
      <c r="K5" s="2866"/>
    </row>
    <row r="6" spans="1:11" ht="16.5">
      <c r="A6" s="2706" t="s">
        <v>1262</v>
      </c>
      <c r="B6" s="2706">
        <f ca="1">SUM(G14:G23)</f>
        <v>1376</v>
      </c>
      <c r="C6" s="2706">
        <f ca="1">ROUND(B6*10000/$B$1,0)</f>
        <v>5384</v>
      </c>
      <c r="D6" s="2706" t="e">
        <f ca="1">ROUND(B6*10000/$B$2,0)</f>
        <v>#DIV/0!</v>
      </c>
      <c r="E6" s="2864"/>
      <c r="F6" s="2865"/>
      <c r="G6" s="2865"/>
      <c r="H6" s="2866"/>
      <c r="I6" s="2866"/>
      <c r="J6" s="2866"/>
      <c r="K6" s="2866"/>
    </row>
    <row r="7" spans="1:11" ht="16.5">
      <c r="A7" s="2706" t="s">
        <v>1270</v>
      </c>
      <c r="B7" s="2706">
        <f>SUM(H14:H23)</f>
        <v>0</v>
      </c>
      <c r="C7" s="2706">
        <f>ROUND(B7*10000/$B$1,0)</f>
        <v>0</v>
      </c>
      <c r="D7" s="2706" t="e">
        <f>ROUND(B7*10000/$B$2,0)</f>
        <v>#DIV/0!</v>
      </c>
      <c r="E7" s="2864"/>
      <c r="F7" s="2865"/>
      <c r="G7" s="2865"/>
      <c r="H7" s="2866"/>
      <c r="I7" s="2866"/>
      <c r="J7" s="2866"/>
      <c r="K7" s="2866"/>
    </row>
    <row r="8" spans="1:11" ht="16.5">
      <c r="A8" s="2706" t="s">
        <v>1193</v>
      </c>
      <c r="B8" s="2706">
        <f>SUM(I14:I23)</f>
        <v>0</v>
      </c>
      <c r="C8" s="2706">
        <f>ROUND(B8*10000/$B$1,0)</f>
        <v>0</v>
      </c>
      <c r="D8" s="2706" t="e">
        <f>ROUND(B8*10000/$B$2,0)</f>
        <v>#DIV/0!</v>
      </c>
      <c r="E8" s="2864"/>
      <c r="F8" s="2865"/>
      <c r="G8" s="2865"/>
      <c r="H8" s="2866"/>
      <c r="I8" s="2866"/>
      <c r="J8" s="2866"/>
      <c r="K8" s="2866"/>
    </row>
    <row r="9" spans="1:11" ht="16.5">
      <c r="A9" s="2706" t="s">
        <v>1261</v>
      </c>
      <c r="B9" s="2714"/>
      <c r="C9" s="2864"/>
      <c r="D9" s="2864"/>
      <c r="E9" s="2864"/>
      <c r="F9" s="2865"/>
      <c r="G9" s="2865"/>
      <c r="H9" s="2866"/>
      <c r="I9" s="2866"/>
      <c r="J9" s="2866"/>
      <c r="K9" s="2866"/>
    </row>
    <row r="10" spans="1:11" ht="16.5">
      <c r="A10" s="2706" t="s">
        <v>1260</v>
      </c>
      <c r="B10" s="2714"/>
      <c r="C10" s="2864"/>
      <c r="D10" s="2864"/>
      <c r="E10" s="2864"/>
      <c r="F10" s="2865"/>
      <c r="G10" s="2865"/>
      <c r="H10" s="2866"/>
      <c r="I10" s="2866"/>
      <c r="J10" s="2866"/>
      <c r="K10" s="2866"/>
    </row>
    <row r="11" spans="1:11" ht="16.5">
      <c r="A11" s="2706" t="s">
        <v>1276</v>
      </c>
      <c r="B11" s="2714"/>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709" t="s">
        <v>1275</v>
      </c>
      <c r="B13" s="2710" t="s">
        <v>1272</v>
      </c>
      <c r="C13" s="2710" t="s">
        <v>1274</v>
      </c>
      <c r="D13" s="2710" t="s">
        <v>1273</v>
      </c>
      <c r="E13" s="2706" t="s">
        <v>1265</v>
      </c>
      <c r="F13" s="2706" t="s">
        <v>1264</v>
      </c>
      <c r="G13" s="2710" t="s">
        <v>1258</v>
      </c>
      <c r="H13" s="2710" t="s">
        <v>1269</v>
      </c>
      <c r="I13" s="2710" t="s">
        <v>1257</v>
      </c>
      <c r="J13" s="2865"/>
      <c r="K13" s="2866"/>
    </row>
    <row r="14" spans="1:11" ht="16.5">
      <c r="A14" s="2711" t="s">
        <v>1256</v>
      </c>
      <c r="B14" s="2712">
        <f>结果表!B118</f>
        <v>2555.66</v>
      </c>
      <c r="C14" s="2712">
        <f>结果表!C118</f>
        <v>0</v>
      </c>
      <c r="D14" s="2712">
        <f ca="1">结果表!H118</f>
        <v>1376</v>
      </c>
      <c r="E14" s="2712">
        <f ca="1">ROUND(D14*10000/B14,0)</f>
        <v>5384</v>
      </c>
      <c r="F14" s="2712" t="e">
        <f ca="1">ROUND(D14*10000/C14,0)</f>
        <v>#DIV/0!</v>
      </c>
      <c r="G14" s="2712">
        <f ca="1">结果表!D122</f>
        <v>1376</v>
      </c>
      <c r="H14" s="2712" t="str">
        <f>结果表!D124</f>
        <v>——</v>
      </c>
      <c r="I14" s="2712" t="str">
        <f>结果表!D126</f>
        <v>——</v>
      </c>
      <c r="J14" s="2865"/>
      <c r="K14" s="2866"/>
    </row>
    <row r="15" spans="1:11" ht="16.5">
      <c r="A15" s="2711" t="s">
        <v>1255</v>
      </c>
      <c r="B15" s="2713"/>
      <c r="C15" s="2713"/>
      <c r="D15" s="2713"/>
      <c r="E15" s="2712" t="e">
        <f t="shared" ref="E15:E23" si="0">ROUND(D15*10000/B15,0)</f>
        <v>#DIV/0!</v>
      </c>
      <c r="F15" s="2712" t="e">
        <f t="shared" ref="F15:F23" si="1">ROUND(D15*10000/C15,0)</f>
        <v>#DIV/0!</v>
      </c>
      <c r="G15" s="1471"/>
      <c r="H15" s="1471"/>
      <c r="I15" s="2713"/>
      <c r="J15" s="2865"/>
      <c r="K15" s="2866"/>
    </row>
    <row r="16" spans="1:11" ht="16.5">
      <c r="A16" s="2711" t="s">
        <v>1254</v>
      </c>
      <c r="B16" s="2713"/>
      <c r="C16" s="2713"/>
      <c r="D16" s="2713"/>
      <c r="E16" s="2712" t="e">
        <f t="shared" si="0"/>
        <v>#DIV/0!</v>
      </c>
      <c r="F16" s="2712" t="e">
        <f t="shared" si="1"/>
        <v>#DIV/0!</v>
      </c>
      <c r="G16" s="1471"/>
      <c r="H16" s="1471"/>
      <c r="I16" s="2713"/>
      <c r="J16" s="2866"/>
      <c r="K16" s="2866"/>
    </row>
    <row r="17" spans="1:11" ht="16.5">
      <c r="A17" s="2711" t="s">
        <v>1253</v>
      </c>
      <c r="B17" s="2713"/>
      <c r="C17" s="2713"/>
      <c r="D17" s="2713"/>
      <c r="E17" s="2712" t="e">
        <f t="shared" si="0"/>
        <v>#DIV/0!</v>
      </c>
      <c r="F17" s="2712" t="e">
        <f t="shared" si="1"/>
        <v>#DIV/0!</v>
      </c>
      <c r="G17" s="1471"/>
      <c r="H17" s="1471"/>
      <c r="I17" s="2713"/>
      <c r="J17" s="2866"/>
      <c r="K17" s="2866"/>
    </row>
    <row r="18" spans="1:11" ht="16.5">
      <c r="A18" s="2711" t="s">
        <v>1252</v>
      </c>
      <c r="B18" s="2713"/>
      <c r="C18" s="2713"/>
      <c r="D18" s="2713"/>
      <c r="E18" s="2712" t="e">
        <f t="shared" si="0"/>
        <v>#DIV/0!</v>
      </c>
      <c r="F18" s="2712" t="e">
        <f t="shared" si="1"/>
        <v>#DIV/0!</v>
      </c>
      <c r="G18" s="2713"/>
      <c r="H18" s="2713"/>
      <c r="I18" s="2713"/>
      <c r="J18" s="2866"/>
      <c r="K18" s="2866"/>
    </row>
    <row r="19" spans="1:11" ht="16.5">
      <c r="A19" s="2711" t="s">
        <v>1251</v>
      </c>
      <c r="B19" s="2713"/>
      <c r="C19" s="2713"/>
      <c r="D19" s="2713"/>
      <c r="E19" s="2712" t="e">
        <f t="shared" si="0"/>
        <v>#DIV/0!</v>
      </c>
      <c r="F19" s="2712" t="e">
        <f t="shared" si="1"/>
        <v>#DIV/0!</v>
      </c>
      <c r="G19" s="2713"/>
      <c r="H19" s="2713"/>
      <c r="I19" s="2713"/>
      <c r="J19" s="2866"/>
      <c r="K19" s="2866"/>
    </row>
    <row r="20" spans="1:11" ht="16.5">
      <c r="A20" s="2711" t="s">
        <v>1250</v>
      </c>
      <c r="B20" s="2713"/>
      <c r="C20" s="2713"/>
      <c r="D20" s="2713"/>
      <c r="E20" s="2712" t="e">
        <f t="shared" si="0"/>
        <v>#DIV/0!</v>
      </c>
      <c r="F20" s="2712" t="e">
        <f t="shared" si="1"/>
        <v>#DIV/0!</v>
      </c>
      <c r="G20" s="2713"/>
      <c r="H20" s="2713"/>
      <c r="I20" s="2713"/>
      <c r="J20" s="2866"/>
      <c r="K20" s="2866"/>
    </row>
    <row r="21" spans="1:11" ht="16.5">
      <c r="A21" s="2711" t="s">
        <v>1249</v>
      </c>
      <c r="B21" s="2713"/>
      <c r="C21" s="2713"/>
      <c r="D21" s="2713"/>
      <c r="E21" s="2712" t="e">
        <f t="shared" si="0"/>
        <v>#DIV/0!</v>
      </c>
      <c r="F21" s="2712" t="e">
        <f t="shared" si="1"/>
        <v>#DIV/0!</v>
      </c>
      <c r="G21" s="2713"/>
      <c r="H21" s="2713"/>
      <c r="I21" s="2713"/>
      <c r="J21" s="2866"/>
      <c r="K21" s="2866"/>
    </row>
    <row r="22" spans="1:11" ht="16.5">
      <c r="A22" s="2711" t="s">
        <v>1248</v>
      </c>
      <c r="B22" s="2713"/>
      <c r="C22" s="2713"/>
      <c r="D22" s="2713"/>
      <c r="E22" s="2712" t="e">
        <f t="shared" si="0"/>
        <v>#DIV/0!</v>
      </c>
      <c r="F22" s="2712" t="e">
        <f t="shared" si="1"/>
        <v>#DIV/0!</v>
      </c>
      <c r="G22" s="2713"/>
      <c r="H22" s="2713"/>
      <c r="I22" s="2713"/>
      <c r="J22" s="2866"/>
      <c r="K22" s="2866"/>
    </row>
    <row r="23" spans="1:11" ht="16.5">
      <c r="A23" s="2711" t="s">
        <v>1247</v>
      </c>
      <c r="B23" s="2713"/>
      <c r="C23" s="2713"/>
      <c r="D23" s="2713"/>
      <c r="E23" s="2714" t="e">
        <f t="shared" si="0"/>
        <v>#DIV/0!</v>
      </c>
      <c r="F23" s="2714" t="e">
        <f t="shared" si="1"/>
        <v>#DIV/0!</v>
      </c>
      <c r="G23" s="2713"/>
      <c r="H23" s="2713"/>
      <c r="I23" s="2713"/>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F30" zoomScale="80" zoomScaleNormal="100" zoomScaleSheetLayoutView="80" zoomScalePageLayoutView="80" workbookViewId="0">
      <selection activeCell="N61" sqref="N61"/>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c r="D1" s="1903"/>
      <c r="E1" s="1903"/>
      <c r="F1" s="1905" t="s">
        <v>1889</v>
      </c>
      <c r="G1" s="1716" t="s">
        <v>3115</v>
      </c>
      <c r="H1" s="1906" t="str">
        <f>IF(G1="现房","——","估价对象范围")</f>
        <v>——</v>
      </c>
      <c r="I1" s="1907" t="s">
        <v>3116</v>
      </c>
    </row>
    <row r="2" spans="1:12" ht="21.75" customHeight="1" thickBot="1">
      <c r="A2" s="3324" t="str">
        <f>项目基本情况!S2</f>
        <v>北京市房地产</v>
      </c>
      <c r="B2" s="3325"/>
      <c r="C2" s="3325"/>
      <c r="D2" s="3325"/>
      <c r="E2" s="3325"/>
      <c r="F2" s="3325"/>
      <c r="G2" s="3325"/>
      <c r="H2" s="3325"/>
      <c r="I2" s="3326"/>
    </row>
    <row r="3" spans="1:12" ht="12.75">
      <c r="A3" s="3328" t="s">
        <v>1890</v>
      </c>
      <c r="B3" s="3329"/>
      <c r="C3" s="3329"/>
      <c r="D3" s="3329"/>
      <c r="E3" s="3329"/>
      <c r="F3" s="3329"/>
      <c r="G3" s="3329"/>
      <c r="H3" s="3329"/>
      <c r="I3" s="3329"/>
    </row>
    <row r="4" spans="1:12" ht="14.25">
      <c r="A4" s="1910" t="s">
        <v>1891</v>
      </c>
      <c r="B4" s="1911" t="s">
        <v>1892</v>
      </c>
      <c r="C4" s="1912" t="s">
        <v>3114</v>
      </c>
      <c r="D4" s="1912" t="s">
        <v>3112</v>
      </c>
      <c r="E4" s="3330" t="s">
        <v>1893</v>
      </c>
      <c r="F4" s="3331"/>
      <c r="G4" s="3331"/>
      <c r="H4" s="3331"/>
      <c r="I4" s="3332"/>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04" t="s">
        <v>1894</v>
      </c>
      <c r="B5" s="3291">
        <v>25</v>
      </c>
      <c r="C5" s="3307"/>
      <c r="D5" s="3327"/>
      <c r="E5" s="136" t="s">
        <v>1895</v>
      </c>
      <c r="F5" s="1913"/>
      <c r="G5" s="1913"/>
      <c r="H5" s="1913"/>
      <c r="I5" s="1527"/>
    </row>
    <row r="6" spans="1:12" ht="12.75">
      <c r="A6" s="3304"/>
      <c r="B6" s="3291"/>
      <c r="C6" s="3308"/>
      <c r="D6" s="3327"/>
      <c r="E6" s="136" t="s">
        <v>1896</v>
      </c>
      <c r="F6" s="1913"/>
      <c r="G6" s="1913"/>
      <c r="H6" s="1913"/>
      <c r="I6" s="1527"/>
    </row>
    <row r="7" spans="1:12" ht="12.75">
      <c r="A7" s="3304"/>
      <c r="B7" s="3291"/>
      <c r="C7" s="3309"/>
      <c r="D7" s="3327"/>
      <c r="E7" s="136" t="s">
        <v>1897</v>
      </c>
      <c r="F7" s="1913"/>
      <c r="G7" s="1913"/>
      <c r="H7" s="1913"/>
      <c r="I7" s="1527"/>
    </row>
    <row r="8" spans="1:12" ht="12.75">
      <c r="A8" s="3304" t="s">
        <v>1898</v>
      </c>
      <c r="B8" s="3291">
        <v>15</v>
      </c>
      <c r="C8" s="3307"/>
      <c r="D8" s="3327"/>
      <c r="E8" s="136" t="s">
        <v>1899</v>
      </c>
      <c r="F8" s="1913"/>
      <c r="G8" s="1913"/>
      <c r="H8" s="1913"/>
      <c r="I8" s="1527"/>
    </row>
    <row r="9" spans="1:12" ht="12.75">
      <c r="A9" s="3304"/>
      <c r="B9" s="3291"/>
      <c r="C9" s="3309"/>
      <c r="D9" s="3327"/>
      <c r="E9" s="136" t="s">
        <v>1900</v>
      </c>
      <c r="F9" s="1913"/>
      <c r="G9" s="1913"/>
      <c r="H9" s="1913"/>
      <c r="I9" s="1527"/>
    </row>
    <row r="10" spans="1:12" ht="12.75">
      <c r="A10" s="3304" t="s">
        <v>1901</v>
      </c>
      <c r="B10" s="3291">
        <v>15</v>
      </c>
      <c r="C10" s="3307"/>
      <c r="D10" s="3327"/>
      <c r="E10" s="136" t="s">
        <v>1902</v>
      </c>
      <c r="F10" s="1913"/>
      <c r="G10" s="1913"/>
      <c r="H10" s="1913"/>
      <c r="I10" s="1527"/>
    </row>
    <row r="11" spans="1:12" ht="12.75">
      <c r="A11" s="3304"/>
      <c r="B11" s="3291"/>
      <c r="C11" s="3309"/>
      <c r="D11" s="3327"/>
      <c r="E11" s="136" t="s">
        <v>1903</v>
      </c>
      <c r="F11" s="1913"/>
      <c r="G11" s="1913"/>
      <c r="H11" s="1913"/>
      <c r="I11" s="1527"/>
    </row>
    <row r="12" spans="1:12" ht="12.75">
      <c r="A12" s="3304" t="s">
        <v>1904</v>
      </c>
      <c r="B12" s="3291">
        <v>15</v>
      </c>
      <c r="C12" s="3307"/>
      <c r="D12" s="3327"/>
      <c r="E12" s="136" t="s">
        <v>1905</v>
      </c>
      <c r="F12" s="1913"/>
      <c r="G12" s="1913"/>
      <c r="H12" s="1913"/>
      <c r="I12" s="1527"/>
    </row>
    <row r="13" spans="1:12" ht="12.75">
      <c r="A13" s="3304"/>
      <c r="B13" s="3291"/>
      <c r="C13" s="3309"/>
      <c r="D13" s="3327"/>
      <c r="E13" s="136" t="s">
        <v>1906</v>
      </c>
      <c r="F13" s="1913"/>
      <c r="G13" s="1913"/>
      <c r="H13" s="1913"/>
      <c r="I13" s="1527"/>
    </row>
    <row r="14" spans="1:12" ht="12.75">
      <c r="A14" s="3304" t="s">
        <v>1907</v>
      </c>
      <c r="B14" s="3291">
        <v>30</v>
      </c>
      <c r="C14" s="3307">
        <v>5</v>
      </c>
      <c r="D14" s="3327">
        <f>10-C14</f>
        <v>5</v>
      </c>
      <c r="E14" s="136" t="s">
        <v>1908</v>
      </c>
      <c r="F14" s="1913"/>
      <c r="G14" s="1913"/>
      <c r="H14" s="1913"/>
      <c r="I14" s="1527"/>
    </row>
    <row r="15" spans="1:12" ht="12.75">
      <c r="A15" s="3304"/>
      <c r="B15" s="3291"/>
      <c r="C15" s="3308"/>
      <c r="D15" s="3327"/>
      <c r="E15" s="136" t="s">
        <v>1909</v>
      </c>
      <c r="F15" s="1913"/>
      <c r="G15" s="1913"/>
      <c r="H15" s="1913"/>
      <c r="I15" s="1527"/>
    </row>
    <row r="16" spans="1:12" ht="12.75">
      <c r="A16" s="3304"/>
      <c r="B16" s="3291"/>
      <c r="C16" s="3309"/>
      <c r="D16" s="3327"/>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14" t="s">
        <v>2796</v>
      </c>
      <c r="F18" s="3315"/>
      <c r="G18" s="3315"/>
      <c r="H18" s="3315"/>
      <c r="I18" s="3315"/>
      <c r="K18" s="308" t="s">
        <v>1915</v>
      </c>
      <c r="L18" s="308">
        <f>IF(C1="",'数据-汇总表'!E3,SUMIF(项目类型,C1,'数据-汇总表'!E17:E26)+SUMIF(项目类型,C1,'数据-汇总表'!I17:I26))</f>
        <v>2555.66</v>
      </c>
      <c r="M18" s="308">
        <f>IF(C1="",'数据-汇总表'!E3,SUMIF(项目类型,C1,'数据-汇总表'!E17:E26))</f>
        <v>2555.66</v>
      </c>
    </row>
    <row r="19" spans="1:36" ht="15">
      <c r="A19" s="1917" t="s">
        <v>1916</v>
      </c>
      <c r="B19" s="1918" t="s">
        <v>1917</v>
      </c>
      <c r="C19" s="139">
        <f ca="1">SUMIF(INDIRECT("'"&amp;C4&amp;"'"&amp;"!A:A"),结果表!B19,INDIRECT("'"&amp;C4&amp;"'"&amp;"!B:B"))</f>
        <v>1468</v>
      </c>
      <c r="D19" s="140">
        <f ca="1">SUMIF(INDIRECT("'"&amp;D4&amp;"'"&amp;"!A:A"),结果表!B19,INDIRECT("'"&amp;D4&amp;"'"&amp;"!B:B"))</f>
        <v>1283</v>
      </c>
      <c r="E19" s="1917" t="s">
        <v>1918</v>
      </c>
      <c r="F19" s="1918" t="s">
        <v>1917</v>
      </c>
      <c r="G19" s="141">
        <f ca="1">ROUND(C19*$C$18+D19*$D$18,0)</f>
        <v>1376</v>
      </c>
      <c r="H19" s="1919" t="s">
        <v>1919</v>
      </c>
      <c r="I19" s="134"/>
      <c r="K19" s="308" t="s">
        <v>1920</v>
      </c>
      <c r="L19" s="308">
        <f>IF(C1="",'数据-汇总表'!D3,SUMIF(项目类型,C1,'数据-汇总表'!D17:D26)+SUMIF(项目类型,C1,'数据-汇总表'!H17:H27))</f>
        <v>0</v>
      </c>
      <c r="M19" s="308">
        <f>IF(C1="",'数据-汇总表'!D3,SUMIF(项目类型,C1,'数据-汇总表'!D17:D26))</f>
        <v>0</v>
      </c>
    </row>
    <row r="20" spans="1:36" ht="15">
      <c r="A20" s="1920"/>
      <c r="B20" s="1157" t="s">
        <v>1921</v>
      </c>
      <c r="C20" s="142">
        <f ca="1">SUMIF(INDIRECT("'"&amp;C4&amp;"'"&amp;"!A:A"),结果表!B20,INDIRECT("'"&amp;C4&amp;"'"&amp;"!B:B"))</f>
        <v>5746</v>
      </c>
      <c r="D20" s="143">
        <f ca="1">SUMIF(INDIRECT("'"&amp;D4&amp;"'"&amp;"!A:A"),结果表!B20,INDIRECT("'"&amp;D4&amp;"'"&amp;"!B:B"))</f>
        <v>5020</v>
      </c>
      <c r="E20" s="1920"/>
      <c r="F20" s="1157" t="s">
        <v>1921</v>
      </c>
      <c r="G20" s="144">
        <f ca="1">ROUND(C20*$C$18+D20*$D$18,0)</f>
        <v>5383</v>
      </c>
      <c r="H20" s="917" t="s">
        <v>1922</v>
      </c>
      <c r="I20" s="134"/>
    </row>
    <row r="21" spans="1:36" ht="15" customHeight="1" thickBot="1">
      <c r="A21" s="937"/>
      <c r="B21" s="1921" t="s">
        <v>1923</v>
      </c>
      <c r="C21" s="728" t="e">
        <f ca="1">ROUND(C19*10000/L19,0)</f>
        <v>#DIV/0!</v>
      </c>
      <c r="D21" s="729" t="e">
        <f ca="1">ROUND(D19*10000/L19,0)</f>
        <v>#DIV/0!</v>
      </c>
      <c r="E21" s="937"/>
      <c r="F21" s="1921" t="s">
        <v>1923</v>
      </c>
      <c r="G21" s="145" t="e">
        <f ca="1">ROUND(G19*10000/L19,0)</f>
        <v>#DIV/0!</v>
      </c>
      <c r="H21" s="1922" t="s">
        <v>1922</v>
      </c>
      <c r="I21" s="134"/>
    </row>
    <row r="22" spans="1:36" ht="15" thickBot="1">
      <c r="A22" s="1844" t="s">
        <v>1924</v>
      </c>
      <c r="B22" s="1923"/>
      <c r="C22" s="1924"/>
      <c r="D22" s="730">
        <f ca="1">IF(C19&lt;D19,D19/C19-1,C19/D19-1)</f>
        <v>0.14419329696024952</v>
      </c>
      <c r="E22" s="134"/>
      <c r="F22" s="134"/>
      <c r="G22" s="134"/>
      <c r="H22" s="134"/>
      <c r="I22" s="134"/>
    </row>
    <row r="23" spans="1:36" ht="13.5" thickBot="1">
      <c r="A23" s="1903"/>
      <c r="B23" s="1903"/>
      <c r="C23" s="1903"/>
      <c r="D23" s="1903"/>
      <c r="E23" s="134"/>
      <c r="F23" s="134"/>
      <c r="G23" s="134"/>
      <c r="H23" s="134"/>
      <c r="I23" s="134"/>
    </row>
    <row r="24" spans="1:36" ht="14.25">
      <c r="A24" s="3298" t="s">
        <v>1925</v>
      </c>
      <c r="B24" s="1918" t="s">
        <v>1917</v>
      </c>
      <c r="C24" s="141">
        <f>IF(B30=0,0,D30)</f>
        <v>0</v>
      </c>
      <c r="D24" s="1925"/>
      <c r="E24" s="134"/>
      <c r="F24" s="134"/>
      <c r="G24" s="134"/>
      <c r="H24" s="134"/>
      <c r="I24" s="134"/>
    </row>
    <row r="25" spans="1:36" ht="14.25">
      <c r="A25" s="3299"/>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2797</v>
      </c>
      <c r="F30" s="134"/>
      <c r="G30" s="134"/>
      <c r="H30" s="134"/>
      <c r="I30" s="134"/>
    </row>
    <row r="31" spans="1:36" s="2497" customFormat="1" ht="26.45" customHeight="1" thickTop="1" thickBot="1">
      <c r="A31" s="2492"/>
      <c r="B31" s="2493"/>
      <c r="C31" s="2493"/>
      <c r="D31" s="2493"/>
      <c r="E31" s="2493"/>
      <c r="F31" s="2493"/>
      <c r="G31" s="2493"/>
      <c r="H31" s="2493"/>
      <c r="I31" s="2494" t="s">
        <v>2798</v>
      </c>
      <c r="J31" s="2867"/>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1376</v>
      </c>
      <c r="D32" s="1931" t="s">
        <v>3117</v>
      </c>
      <c r="E32" s="134"/>
      <c r="F32" s="134"/>
      <c r="G32" s="134"/>
      <c r="H32" s="134"/>
      <c r="I32" s="134"/>
    </row>
    <row r="33" spans="1:15" ht="15">
      <c r="A33" s="894" t="s">
        <v>1932</v>
      </c>
      <c r="B33" s="1932"/>
      <c r="C33" s="1933" t="s">
        <v>3118</v>
      </c>
      <c r="D33" s="1934" t="s">
        <v>3112</v>
      </c>
      <c r="E33" s="1935" t="s">
        <v>1933</v>
      </c>
      <c r="F33" s="1936" t="str">
        <f>IF(D32="楼面单价","取值（单价）","取值（总价）")</f>
        <v>取值（总价）</v>
      </c>
      <c r="G33" s="134"/>
      <c r="H33" s="134"/>
      <c r="I33" s="134"/>
    </row>
    <row r="34" spans="1:15" ht="15">
      <c r="A34" s="1937"/>
      <c r="B34" s="1938" t="s">
        <v>1934</v>
      </c>
      <c r="C34" s="153">
        <f ca="1">IF(C33="自定义",F34,C32-C35)</f>
        <v>-575</v>
      </c>
      <c r="D34" s="970">
        <f ca="1">IF(C33="自定义",ROUND(C34/C32,3),IF(C33="收益比率",SUMIF(INDIRECT("'"&amp;D33&amp;"'"&amp;"!b:b"),"土地收益比率",INDIRECT("'"&amp;D33&amp;"'"&amp;"!c:c")),SUMIF(INDIRECT("'"&amp;D33&amp;"'"&amp;"!b:b"),"土地成本比率",INDIRECT("'"&amp;D33&amp;"'"&amp;"!c:c"))))</f>
        <v>-0.41799999999999993</v>
      </c>
      <c r="E34" s="1939" t="s">
        <v>1935</v>
      </c>
      <c r="F34" s="1470"/>
      <c r="G34" s="134"/>
      <c r="H34" s="134"/>
      <c r="I34" s="134"/>
    </row>
    <row r="35" spans="1:15" ht="15.75" thickBot="1">
      <c r="A35" s="1940"/>
      <c r="B35" s="1941" t="s">
        <v>1936</v>
      </c>
      <c r="C35" s="1304">
        <f ca="1">IF(C33="自定义",F35,ROUND(C32*D35,0))</f>
        <v>1951</v>
      </c>
      <c r="D35" s="1305">
        <f ca="1">IF(C33="自定义",ROUND(C35/C32,3),IF(C33="收益比率",SUMIF(INDIRECT("'"&amp;D33&amp;"'"&amp;"!b:b"),"建筑物收益比率",INDIRECT("'"&amp;D33&amp;"'"&amp;"!c:c")),SUMIF(INDIRECT("'"&amp;D33&amp;"'"&amp;"!b:b"),"建筑物成本比率",INDIRECT("'"&amp;D33&amp;"'"&amp;"!c:c"))))</f>
        <v>1.4179999999999999</v>
      </c>
      <c r="E35" s="1942" t="s">
        <v>1937</v>
      </c>
      <c r="F35" s="159"/>
      <c r="G35" s="134"/>
      <c r="H35" s="134"/>
      <c r="I35" s="134"/>
    </row>
    <row r="36" spans="1:15" ht="15.75" thickBot="1">
      <c r="A36" s="3318" t="s">
        <v>1938</v>
      </c>
      <c r="B36" s="1943" t="s">
        <v>1939</v>
      </c>
      <c r="C36" s="150"/>
      <c r="D36" s="1944"/>
      <c r="E36" s="1945"/>
      <c r="F36" s="1946"/>
      <c r="G36" s="134"/>
      <c r="H36" s="134"/>
      <c r="I36" s="134"/>
    </row>
    <row r="37" spans="1:15" ht="15.75" thickBot="1">
      <c r="A37" s="3319"/>
      <c r="B37" s="1830" t="s">
        <v>1940</v>
      </c>
      <c r="C37" s="152"/>
      <c r="D37" s="1273"/>
      <c r="E37" s="1273"/>
      <c r="F37" s="1946"/>
      <c r="G37" s="134"/>
      <c r="H37" s="134"/>
      <c r="I37" s="134"/>
    </row>
    <row r="38" spans="1:15" ht="15.75" thickBot="1">
      <c r="A38" s="3320"/>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295" t="s">
        <v>1952</v>
      </c>
      <c r="B45" s="3296"/>
      <c r="C45" s="3297"/>
      <c r="D45" s="160">
        <f ca="1">ROUND(H101*F45,0)</f>
        <v>1376</v>
      </c>
      <c r="E45" s="161" t="s">
        <v>1953</v>
      </c>
      <c r="F45" s="162">
        <v>1</v>
      </c>
      <c r="G45" s="163" t="s">
        <v>1954</v>
      </c>
      <c r="H45" s="134"/>
      <c r="I45" s="134"/>
      <c r="J45" s="3373" t="s">
        <v>1955</v>
      </c>
      <c r="K45" s="3373"/>
      <c r="L45" s="3373"/>
      <c r="M45" s="3373"/>
      <c r="N45" s="3373"/>
      <c r="O45" s="3373"/>
    </row>
    <row r="46" spans="1:15" ht="14.25" customHeight="1">
      <c r="A46" s="3292" t="s">
        <v>1956</v>
      </c>
      <c r="B46" s="3293"/>
      <c r="C46" s="3293"/>
      <c r="D46" s="3293"/>
      <c r="E46" s="3293"/>
      <c r="F46" s="3293"/>
      <c r="G46" s="3294"/>
      <c r="H46" s="1962"/>
      <c r="I46" s="164"/>
      <c r="J46" s="2717">
        <v>1</v>
      </c>
      <c r="K46" s="3357" t="s">
        <v>1957</v>
      </c>
      <c r="L46" s="3357"/>
      <c r="M46" s="3374"/>
      <c r="N46" s="3374"/>
      <c r="O46" s="3374"/>
    </row>
    <row r="47" spans="1:15" ht="12" customHeight="1">
      <c r="A47" s="165" t="s">
        <v>1958</v>
      </c>
      <c r="B47" s="166"/>
      <c r="C47" s="167"/>
      <c r="D47" s="1219" t="s">
        <v>1959</v>
      </c>
      <c r="E47" s="308" t="s">
        <v>1960</v>
      </c>
      <c r="F47" s="168" t="s">
        <v>1961</v>
      </c>
      <c r="G47" s="2721" t="s">
        <v>1962</v>
      </c>
      <c r="H47" s="2722"/>
      <c r="I47" s="164"/>
      <c r="J47" s="175">
        <v>2</v>
      </c>
      <c r="K47" s="3530" t="s">
        <v>3163</v>
      </c>
      <c r="L47" s="3530"/>
      <c r="M47" s="3531">
        <f>'数据-取费表'!B2</f>
        <v>44628</v>
      </c>
      <c r="N47" s="3531"/>
      <c r="O47" s="3531"/>
    </row>
    <row r="48" spans="1:15" ht="25.5">
      <c r="A48" s="3323" t="s">
        <v>1963</v>
      </c>
      <c r="B48" s="3306"/>
      <c r="C48" s="3306"/>
      <c r="D48" s="2517">
        <f ca="1">IF(H48="情况1",0,IF(H48="情况2",D52,IF(H48="情况3",D53,IF(H48="情况4",D54))))</f>
        <v>72</v>
      </c>
      <c r="E48" s="2527" t="str">
        <f>IF(H48="情况4","(销售额-原购置价)×税（费）率","销售额×税（费）率")</f>
        <v>(销售额-原购置价)×税（费）率</v>
      </c>
      <c r="F48" s="2723">
        <f>IF(H48="情况1","免征",'数据-取费表'!B41)</f>
        <v>5.5000000000000007E-2</v>
      </c>
      <c r="G48" s="2724" t="s">
        <v>1964</v>
      </c>
      <c r="H48" s="2725" t="s">
        <v>3160</v>
      </c>
      <c r="I48" s="1962"/>
      <c r="J48" s="175">
        <v>3</v>
      </c>
      <c r="K48" s="3530" t="s">
        <v>3164</v>
      </c>
      <c r="L48" s="3530"/>
      <c r="M48" s="3532">
        <f ca="1">H101</f>
        <v>1376</v>
      </c>
      <c r="N48" s="3532"/>
      <c r="O48" s="3532"/>
    </row>
    <row r="49" spans="1:35" ht="25.5" customHeight="1">
      <c r="A49" s="2526" t="s">
        <v>1965</v>
      </c>
      <c r="B49" s="3290" t="s">
        <v>1966</v>
      </c>
      <c r="C49" s="3290"/>
      <c r="D49" s="1745">
        <v>0</v>
      </c>
      <c r="E49" s="330" t="s">
        <v>1967</v>
      </c>
      <c r="F49" s="2620" t="s">
        <v>34</v>
      </c>
      <c r="G49" s="3360"/>
      <c r="H49" s="2498" t="s">
        <v>2799</v>
      </c>
      <c r="I49" s="2499"/>
      <c r="J49" s="175">
        <v>4</v>
      </c>
      <c r="K49" s="3530" t="str">
        <f>IF(项目基本情况!E8="房地产抵押价值","房地产抵押价值","抵押担保权已注销时的房地产抵押价值")</f>
        <v>房地产抵押价值</v>
      </c>
      <c r="L49" s="3530"/>
      <c r="M49" s="3532">
        <f ca="1">IF(项目基本情况!E8="房地产抵押价值",H107,H109)</f>
        <v>1376</v>
      </c>
      <c r="N49" s="3532"/>
      <c r="O49" s="3532"/>
    </row>
    <row r="50" spans="1:35" ht="25.5" customHeight="1">
      <c r="A50" s="2726"/>
      <c r="B50" s="3290" t="s">
        <v>1968</v>
      </c>
      <c r="C50" s="3290"/>
      <c r="D50" s="2727"/>
      <c r="E50" s="338"/>
      <c r="F50" s="2620"/>
      <c r="G50" s="3361"/>
      <c r="H50" s="2500" t="s">
        <v>2800</v>
      </c>
      <c r="I50" s="2499"/>
      <c r="J50" s="3532" t="s">
        <v>3165</v>
      </c>
      <c r="K50" s="3532"/>
      <c r="L50" s="3532"/>
      <c r="M50" s="3532"/>
      <c r="N50" s="3532"/>
      <c r="O50" s="3532"/>
    </row>
    <row r="51" spans="1:35" ht="20.45" customHeight="1">
      <c r="A51" s="2728"/>
      <c r="B51" s="3290" t="s">
        <v>1969</v>
      </c>
      <c r="C51" s="3290"/>
      <c r="D51" s="1219"/>
      <c r="E51" s="333"/>
      <c r="F51" s="2620"/>
      <c r="G51" s="3362"/>
      <c r="H51" s="2500" t="s">
        <v>2801</v>
      </c>
      <c r="I51" s="2499"/>
      <c r="J51" s="179" t="s">
        <v>3166</v>
      </c>
      <c r="K51" s="3530" t="s">
        <v>3167</v>
      </c>
      <c r="L51" s="3530"/>
      <c r="M51" s="179" t="s">
        <v>3178</v>
      </c>
      <c r="N51" s="179" t="s">
        <v>3168</v>
      </c>
      <c r="O51" s="179" t="s">
        <v>3169</v>
      </c>
    </row>
    <row r="52" spans="1:35" ht="24" customHeight="1">
      <c r="A52" s="2528" t="s">
        <v>1970</v>
      </c>
      <c r="B52" s="3290" t="s">
        <v>1971</v>
      </c>
      <c r="C52" s="3290"/>
      <c r="D52" s="1219">
        <f ca="1">ROUND(D45*'数据-取费表'!B41/(1+'数据-取费表'!C42),0)</f>
        <v>72</v>
      </c>
      <c r="E52" s="2527" t="s">
        <v>1972</v>
      </c>
      <c r="F52" s="2729">
        <f>'数据-取费表'!B41</f>
        <v>5.5000000000000007E-2</v>
      </c>
      <c r="G52" s="2730"/>
      <c r="H52" s="2719"/>
      <c r="I52" s="1963"/>
      <c r="J52" s="175">
        <v>1</v>
      </c>
      <c r="K52" s="3533" t="s">
        <v>3170</v>
      </c>
      <c r="L52" s="3533"/>
      <c r="M52" s="175">
        <f ca="1">D48</f>
        <v>72</v>
      </c>
      <c r="N52" s="175" t="str">
        <f>E48</f>
        <v>(销售额-原购置价)×税（费）率</v>
      </c>
      <c r="O52" s="3534">
        <f>F48</f>
        <v>5.5000000000000007E-2</v>
      </c>
    </row>
    <row r="53" spans="1:35" ht="12" customHeight="1">
      <c r="A53" s="2528" t="s">
        <v>1973</v>
      </c>
      <c r="B53" s="3316" t="s">
        <v>2948</v>
      </c>
      <c r="C53" s="3317"/>
      <c r="D53" s="1219">
        <f ca="1">ROUND(D45*'数据-取费表'!B41/(1+'数据-取费表'!C42),0)</f>
        <v>72</v>
      </c>
      <c r="E53" s="2527" t="s">
        <v>1972</v>
      </c>
      <c r="F53" s="2729">
        <f>'数据-取费表'!B41</f>
        <v>5.5000000000000007E-2</v>
      </c>
      <c r="G53" s="2730"/>
      <c r="H53" s="2719"/>
      <c r="I53" s="1963"/>
      <c r="J53" s="175">
        <v>2</v>
      </c>
      <c r="K53" s="3533" t="s">
        <v>3171</v>
      </c>
      <c r="L53" s="3533"/>
      <c r="M53" s="175">
        <f t="shared" ref="M53:O54" ca="1" si="0">D55</f>
        <v>1</v>
      </c>
      <c r="N53" s="175" t="str">
        <f t="shared" si="0"/>
        <v>销售额×税（费）率</v>
      </c>
      <c r="O53" s="3534">
        <f t="shared" si="0"/>
        <v>5.0000000000000001E-4</v>
      </c>
    </row>
    <row r="54" spans="1:35" ht="12" customHeight="1">
      <c r="A54" s="2528" t="s">
        <v>1974</v>
      </c>
      <c r="B54" s="3316" t="s">
        <v>2949</v>
      </c>
      <c r="C54" s="3317"/>
      <c r="D54" s="1219">
        <f ca="1">C68</f>
        <v>72</v>
      </c>
      <c r="E54" s="333" t="s">
        <v>1975</v>
      </c>
      <c r="F54" s="2729">
        <f>'数据-取费表'!B41</f>
        <v>5.5000000000000007E-2</v>
      </c>
      <c r="G54" s="2730"/>
      <c r="H54" s="2731"/>
      <c r="I54" s="1963"/>
      <c r="J54" s="175">
        <v>3</v>
      </c>
      <c r="K54" s="3533" t="s">
        <v>3172</v>
      </c>
      <c r="L54" s="3533"/>
      <c r="M54" s="175">
        <f t="shared" ca="1" si="0"/>
        <v>66</v>
      </c>
      <c r="N54" s="175" t="str">
        <f t="shared" si="0"/>
        <v>增值额×税（费）率</v>
      </c>
      <c r="O54" s="3535" t="str">
        <f t="shared" si="0"/>
        <v>——</v>
      </c>
    </row>
    <row r="55" spans="1:35" ht="24" customHeight="1">
      <c r="A55" s="3305" t="s">
        <v>1976</v>
      </c>
      <c r="B55" s="3306"/>
      <c r="C55" s="3306"/>
      <c r="D55" s="2517">
        <f ca="1">IF(H55="个人住宅",0,ROUND(D45*I55,0))</f>
        <v>1</v>
      </c>
      <c r="E55" s="2527" t="s">
        <v>1977</v>
      </c>
      <c r="F55" s="2729">
        <f>IF(H55="正常",I55,"免征")</f>
        <v>5.0000000000000001E-4</v>
      </c>
      <c r="G55" s="2730"/>
      <c r="H55" s="2725" t="s">
        <v>3142</v>
      </c>
      <c r="I55" s="170">
        <f>'数据-取费表'!B49</f>
        <v>5.0000000000000001E-4</v>
      </c>
      <c r="J55" s="175" t="str">
        <f>IF(H59="非个人房产","",4)</f>
        <v/>
      </c>
      <c r="K55" s="3533" t="str">
        <f>IF(H59="非个人房产","——","个人所得税")</f>
        <v>——</v>
      </c>
      <c r="L55" s="3533"/>
      <c r="M55" s="2188" t="str">
        <f>D59</f>
        <v>——</v>
      </c>
      <c r="N55" s="2188" t="str">
        <f>E59</f>
        <v>——</v>
      </c>
      <c r="O55" s="3536" t="str">
        <f>F59</f>
        <v>——</v>
      </c>
    </row>
    <row r="56" spans="1:35" ht="24.75">
      <c r="A56" s="3305" t="s">
        <v>1978</v>
      </c>
      <c r="B56" s="3306"/>
      <c r="C56" s="3306"/>
      <c r="D56" s="3529">
        <f ca="1">ROUND(D45/1.05*5%,0)</f>
        <v>66</v>
      </c>
      <c r="E56" s="2527" t="s">
        <v>1979</v>
      </c>
      <c r="F56" s="2729" t="str">
        <f>IF(H56="正常",F58,"免征")</f>
        <v>——</v>
      </c>
      <c r="G56" s="2732" t="s">
        <v>1980</v>
      </c>
      <c r="H56" s="2733" t="s">
        <v>3142</v>
      </c>
      <c r="I56" s="1964"/>
      <c r="J56" s="175" t="str">
        <f>IF(项目基本情况!K6="上海银行",IF(J55="",4,J55+1),"")</f>
        <v/>
      </c>
      <c r="K56" s="3537" t="str">
        <f>IF(项目基本情况!K6="上海银行","其他处置费用","")</f>
        <v/>
      </c>
      <c r="L56" s="3538"/>
      <c r="M56" s="175" t="str">
        <f>IF(项目基本情况!K6="上海银行",M69,"")</f>
        <v/>
      </c>
      <c r="N56" s="3537" t="str">
        <f>IF(项目基本情况!K6="上海银行","包含处置中涉及的律师、诉讼、拍卖、评估等费用","")</f>
        <v/>
      </c>
      <c r="O56" s="3539"/>
    </row>
    <row r="57" spans="1:35" ht="12.75">
      <c r="A57" s="2528" t="s">
        <v>1965</v>
      </c>
      <c r="B57" s="3316" t="s">
        <v>1981</v>
      </c>
      <c r="C57" s="3317"/>
      <c r="D57" s="1745">
        <v>0</v>
      </c>
      <c r="E57" s="330" t="s">
        <v>1967</v>
      </c>
      <c r="F57" s="308"/>
      <c r="G57" s="2730"/>
      <c r="H57" s="2734"/>
      <c r="I57" s="1964"/>
      <c r="J57" s="3533">
        <f>IF(AND(J55="",J56=""),4,IF(项目基本情况!K6="上海银行",结果表!J56+1,结果表!J55+1))</f>
        <v>4</v>
      </c>
      <c r="K57" s="3533" t="s">
        <v>3173</v>
      </c>
      <c r="L57" s="2756" t="s">
        <v>3174</v>
      </c>
      <c r="M57" s="3540"/>
      <c r="N57" s="3541">
        <f ca="1">SUMIF(M52:M56,"&lt;9e307")</f>
        <v>139</v>
      </c>
      <c r="O57" s="3542"/>
      <c r="P57" s="2868">
        <f ca="1">N57/M49</f>
        <v>0.10101744186046512</v>
      </c>
    </row>
    <row r="58" spans="1:35" ht="24.75">
      <c r="A58" s="2528" t="s">
        <v>1970</v>
      </c>
      <c r="B58" s="3316" t="s">
        <v>1982</v>
      </c>
      <c r="C58" s="3290"/>
      <c r="D58" s="2517">
        <f ca="1">IF(H58="转让取得",C81,C97)</f>
        <v>779</v>
      </c>
      <c r="E58" s="2527" t="s">
        <v>1979</v>
      </c>
      <c r="F58" s="308" t="s">
        <v>34</v>
      </c>
      <c r="G58" s="2730"/>
      <c r="H58" s="2733" t="s">
        <v>3161</v>
      </c>
      <c r="I58" s="1964"/>
      <c r="J58" s="3533"/>
      <c r="K58" s="3533"/>
      <c r="L58" s="2756" t="s">
        <v>3175</v>
      </c>
      <c r="M58" s="2756"/>
      <c r="N58" s="3543" t="str">
        <f ca="1">NUMBERSTRING(INT(N57*10000),2)&amp;"元整"</f>
        <v>壹佰叁拾玖万元整</v>
      </c>
      <c r="O58" s="2265"/>
    </row>
    <row r="59" spans="1:35" ht="24.75" thickBot="1">
      <c r="A59" s="3358" t="s">
        <v>1983</v>
      </c>
      <c r="B59" s="3359"/>
      <c r="C59" s="3359"/>
      <c r="D59" s="2735" t="str">
        <f>IF(H59="非个人房产","——",IF(H59="个人住宅（满五唯一有凭证）",0,IF(H59="个人其他（无凭证）",ROUND(D45*F59,0),ROUND(C67*F59,0))))</f>
        <v>——</v>
      </c>
      <c r="E59" s="2736" t="str">
        <f>IF(H59="非个人房产","——",IF(H59="个人其他（无凭证）","销售额×税（费）率",IF(H59="个人住宅（满五唯一有凭证）","免征","差额计税")))</f>
        <v>——</v>
      </c>
      <c r="F59" s="2737" t="str">
        <f>IF(OR(H59="非个人房产",H59="个人住宅（满五唯一有凭证）"),"——",IF(H59="个人其他（有凭证）",20%,1%))</f>
        <v>——</v>
      </c>
      <c r="G59" s="2738" t="s">
        <v>1980</v>
      </c>
      <c r="H59" s="2502" t="s">
        <v>3162</v>
      </c>
      <c r="I59" s="2501" t="s">
        <v>2802</v>
      </c>
      <c r="J59" s="3544">
        <f>J57+1</f>
        <v>5</v>
      </c>
      <c r="K59" s="3533" t="s">
        <v>3176</v>
      </c>
      <c r="L59" s="175" t="s">
        <v>3174</v>
      </c>
      <c r="M59" s="3545"/>
      <c r="N59" s="3546">
        <f ca="1">M49-N57</f>
        <v>1237</v>
      </c>
      <c r="O59" s="3547"/>
    </row>
    <row r="60" spans="1:35" ht="12" customHeight="1">
      <c r="A60" s="1965"/>
      <c r="B60" s="1903"/>
      <c r="C60" s="1903"/>
      <c r="D60" s="1903"/>
      <c r="E60" s="1733"/>
      <c r="F60" s="1964"/>
      <c r="G60" s="1964"/>
      <c r="H60" s="1966"/>
      <c r="I60" s="134"/>
      <c r="J60" s="3548"/>
      <c r="K60" s="3533"/>
      <c r="L60" s="2756" t="s">
        <v>3175</v>
      </c>
      <c r="M60" s="2756"/>
      <c r="N60" s="3543" t="str">
        <f ca="1">NUMBERSTRING(INT(N59*10000),2)&amp;"元整"</f>
        <v>壹仟贰佰叁拾柒万元整</v>
      </c>
      <c r="O60" s="2265"/>
    </row>
    <row r="61" spans="1:35" ht="13.5" thickBot="1">
      <c r="A61" s="3303" t="s">
        <v>1984</v>
      </c>
      <c r="B61" s="3303"/>
      <c r="C61" s="3303"/>
      <c r="D61" s="3303"/>
      <c r="E61" s="3303"/>
      <c r="F61" s="1964"/>
      <c r="G61" s="1964"/>
      <c r="H61" s="1966"/>
      <c r="I61" s="134"/>
      <c r="J61" s="175">
        <f>J59+1</f>
        <v>6</v>
      </c>
      <c r="K61" s="3533" t="s">
        <v>3177</v>
      </c>
      <c r="L61" s="3533"/>
      <c r="M61" s="3549"/>
      <c r="N61" s="3550">
        <f ca="1">ROUND(N59*10000/'数据-汇总表'!E3,0)</f>
        <v>4840</v>
      </c>
      <c r="O61" s="3551"/>
    </row>
    <row r="62" spans="1:35" ht="12.75" hidden="1">
      <c r="A62" s="3321" t="s">
        <v>1985</v>
      </c>
      <c r="B62" s="3322"/>
      <c r="C62" s="2179"/>
      <c r="D62" s="2179" t="s">
        <v>1986</v>
      </c>
      <c r="E62" s="171" t="s">
        <v>1987</v>
      </c>
      <c r="F62" s="1964"/>
      <c r="G62" s="1964"/>
      <c r="H62" s="1966"/>
      <c r="I62" s="134"/>
    </row>
    <row r="63" spans="1:35" ht="12.75" hidden="1">
      <c r="A63" s="178" t="s">
        <v>775</v>
      </c>
      <c r="B63" s="172" t="s">
        <v>1988</v>
      </c>
      <c r="C63" s="2739">
        <f ca="1">ROUND((C64+C65)/(1+'数据-取费表'!C42),0)</f>
        <v>1310</v>
      </c>
      <c r="D63" s="172"/>
      <c r="E63" s="173"/>
      <c r="F63" s="1964"/>
      <c r="G63" s="1964"/>
      <c r="H63" s="1966"/>
      <c r="I63" s="134"/>
      <c r="J63" s="3376" t="s">
        <v>1989</v>
      </c>
      <c r="K63" s="1472" t="s">
        <v>1990</v>
      </c>
      <c r="L63" s="1472">
        <f ca="1">IF(M49&gt;10000,M49*0.5%,IF(AND(M49&gt;1000,M49&lt;=10000),M49*1%,IF(AND(M49&gt;100,M49&lt;=1000),M49*3%,IF(AND(M49&gt;10,M49&lt;=100),M49*5%,M49*8%))))</f>
        <v>13.76</v>
      </c>
      <c r="M63" s="308">
        <f ca="1">ROUND(L63,1)</f>
        <v>13.8</v>
      </c>
      <c r="N63" s="2718"/>
      <c r="Z63" s="1908"/>
      <c r="AI63" s="1909"/>
    </row>
    <row r="64" spans="1:35" ht="14.25" hidden="1" customHeight="1">
      <c r="A64" s="174" t="s">
        <v>770</v>
      </c>
      <c r="B64" s="175" t="s">
        <v>1991</v>
      </c>
      <c r="C64" s="2740">
        <f ca="1">D45</f>
        <v>1376</v>
      </c>
      <c r="D64" s="175" t="s">
        <v>32</v>
      </c>
      <c r="E64" s="177"/>
      <c r="F64" s="1964"/>
      <c r="G64" s="1964"/>
      <c r="H64" s="1966"/>
      <c r="I64" s="134"/>
      <c r="J64" s="3376"/>
      <c r="K64" s="1472" t="s">
        <v>1992</v>
      </c>
      <c r="L64" s="1472">
        <f ca="1">IF(M49&gt;2000,M49*0.5%,IF(AND(M49&gt;1000,M49&lt;=2000),M49*0.6%,IF(AND(M49&gt;500,M49&lt;=1000),M49*0.7%,IF(AND(M49&gt;200,M49&lt;=500),M49*0.8%,IF(AND(M49&gt;100,M49&lt;=200),M49*0.9%,IF(AND(M49&gt;50,M49&lt;=100),M49*1%,IF(AND(M49&gt;20,M49&lt;=50),M49*1.5%,IF(AND(M49&gt;10,M49&lt;=20),M49*2%,IF(AND(M49&gt;1,M49&lt;=10),M49*2.5%)))))))))</f>
        <v>8.2560000000000002</v>
      </c>
      <c r="M64" s="308">
        <f t="shared" ref="M64:M65" ca="1" si="1">ROUND(L64,1)</f>
        <v>8.3000000000000007</v>
      </c>
      <c r="N64" s="2719" t="s">
        <v>1993</v>
      </c>
      <c r="Z64" s="1908"/>
      <c r="AI64" s="1909"/>
    </row>
    <row r="65" spans="1:35" ht="14.25" hidden="1" customHeight="1">
      <c r="A65" s="174" t="s">
        <v>771</v>
      </c>
      <c r="B65" s="175" t="s">
        <v>1994</v>
      </c>
      <c r="C65" s="2741"/>
      <c r="D65" s="175"/>
      <c r="E65" s="177"/>
      <c r="F65" s="1964"/>
      <c r="G65" s="1964"/>
      <c r="H65" s="1966"/>
      <c r="I65" s="134"/>
      <c r="J65" s="3376"/>
      <c r="K65" s="1472" t="s">
        <v>1995</v>
      </c>
      <c r="L65" s="1472">
        <f ca="1">IF(M49&gt;1000,M49*0.1%,IF(AND(M49&gt;500,M49&lt;=1000),M49*0.5%,IF(AND(M49&gt;50,M49&lt;=500),M49*1%,IF(AND(M49&gt;1,M49&lt;=50),M49*1.5%))))</f>
        <v>1.3760000000000001</v>
      </c>
      <c r="M65" s="308">
        <f t="shared" ca="1" si="1"/>
        <v>1.4</v>
      </c>
      <c r="N65" s="2719" t="s">
        <v>1993</v>
      </c>
      <c r="Z65" s="1908"/>
      <c r="AI65" s="1909"/>
    </row>
    <row r="66" spans="1:35" ht="14.25" hidden="1" customHeight="1">
      <c r="A66" s="178" t="s">
        <v>772</v>
      </c>
      <c r="B66" s="179" t="s">
        <v>1996</v>
      </c>
      <c r="C66" s="2742"/>
      <c r="D66" s="179" t="s">
        <v>32</v>
      </c>
      <c r="E66" s="1479" t="s">
        <v>1277</v>
      </c>
      <c r="F66" s="1964"/>
      <c r="G66" s="1964"/>
      <c r="H66" s="1966"/>
      <c r="I66" s="134"/>
      <c r="J66" s="3376"/>
      <c r="K66" s="1472" t="s">
        <v>1997</v>
      </c>
      <c r="L66" s="1472">
        <f ca="1">M49*0.5%</f>
        <v>6.88</v>
      </c>
      <c r="M66" s="308">
        <f ca="1">IF(L66&gt;0.5,0.5,ROUND(L66,0))</f>
        <v>0.5</v>
      </c>
      <c r="N66" s="2719" t="s">
        <v>1998</v>
      </c>
      <c r="Z66" s="1908"/>
      <c r="AI66" s="1909"/>
    </row>
    <row r="67" spans="1:35" ht="14.25" hidden="1" customHeight="1">
      <c r="A67" s="178" t="s">
        <v>773</v>
      </c>
      <c r="B67" s="179" t="s">
        <v>1999</v>
      </c>
      <c r="C67" s="2743">
        <f ca="1">C63-C66</f>
        <v>1310</v>
      </c>
      <c r="D67" s="175" t="s">
        <v>32</v>
      </c>
      <c r="E67" s="177"/>
      <c r="F67" s="1964"/>
      <c r="G67" s="1964"/>
      <c r="H67" s="1966"/>
      <c r="I67" s="134"/>
      <c r="J67" s="3376"/>
      <c r="K67" s="1472" t="s">
        <v>2000</v>
      </c>
      <c r="L67" s="1472">
        <f ca="1">IF(M49&gt;=10000,(8.25+(M49-10000)*0.01%),IF(AND(M49&gt;=8000,M49&lt;10000),(7.85+(M49-8000)*0.02%),IF(AND(M49&gt;=5000,M49&lt;8000),(6.65+(M49-5000)*0.04%),IF(AND(M49&gt;=2000,M49&lt;5000),(4.25+(PM49-2000)*0.08%),IF(AND(M49&gt;=1000,M49&lt;2000),(2.75+(M49-1000)*0.15%),IF(AND(M49&gt;=100,M49&lt;1000),(0.5+(M49-100)*0.25%),IF(AND(M49&gt;0,M49&lt;100),M49*0.5%)))))))</f>
        <v>3.3140000000000001</v>
      </c>
      <c r="M67" s="308">
        <f ca="1">ROUND(L67*0.9,1)</f>
        <v>3</v>
      </c>
      <c r="N67" s="2718"/>
      <c r="Z67" s="1908"/>
      <c r="AI67" s="1909"/>
    </row>
    <row r="68" spans="1:35" ht="14.25" hidden="1" customHeight="1" thickBot="1">
      <c r="A68" s="181" t="s">
        <v>774</v>
      </c>
      <c r="B68" s="182" t="s">
        <v>2001</v>
      </c>
      <c r="C68" s="2744">
        <f ca="1">IF(C67&lt;=0,0,ROUND(C67*D68,0))</f>
        <v>72</v>
      </c>
      <c r="D68" s="2745">
        <f>'数据-取费表'!B41</f>
        <v>5.5000000000000007E-2</v>
      </c>
      <c r="E68" s="184"/>
      <c r="F68" s="1964"/>
      <c r="G68" s="1964"/>
      <c r="H68" s="1966"/>
      <c r="I68" s="134"/>
      <c r="J68" s="3376"/>
      <c r="K68" s="1472" t="s">
        <v>2002</v>
      </c>
      <c r="L68" s="1472">
        <f ca="1">IF(M49&gt;10000,M49*0.5%,IF(AND(M49&gt;5000,M49&lt;=10000),M49*1%,IF(AND(M49&gt;1000,M49&lt;=5000),M49*2%,IF(AND(M49&gt;200,M49&lt;=1000),M49*3%,M49*5%))))</f>
        <v>27.52</v>
      </c>
      <c r="M68" s="308">
        <f ca="1">ROUND(L68,1)</f>
        <v>27.5</v>
      </c>
      <c r="N68" s="2718"/>
      <c r="Z68" s="1908"/>
      <c r="AI68" s="1909"/>
    </row>
    <row r="69" spans="1:35" s="1928" customFormat="1" ht="16.5" hidden="1" customHeight="1">
      <c r="A69" s="1967"/>
      <c r="B69" s="1968"/>
      <c r="C69" s="1969"/>
      <c r="D69" s="1970"/>
      <c r="E69" s="1971"/>
      <c r="F69" s="1733"/>
      <c r="G69" s="1733"/>
      <c r="H69" s="1732"/>
      <c r="I69" s="1903"/>
      <c r="J69" s="3376"/>
      <c r="K69" s="1472" t="s">
        <v>2003</v>
      </c>
      <c r="L69" s="1472"/>
      <c r="M69" s="308">
        <f ca="1">ROUND(SUM(M63:M68),0)</f>
        <v>55</v>
      </c>
      <c r="N69" s="2720">
        <f ca="1">M69/M49</f>
        <v>3.9970930232558141E-2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hidden="1" thickBot="1">
      <c r="A70" s="3342" t="s">
        <v>2004</v>
      </c>
      <c r="B70" s="3343"/>
      <c r="C70" s="3343"/>
      <c r="D70" s="3343"/>
      <c r="E70" s="3343"/>
      <c r="F70" s="3343"/>
      <c r="G70" s="3343"/>
      <c r="H70" s="3343"/>
      <c r="I70" s="1972"/>
      <c r="J70" s="2869"/>
      <c r="K70" s="2869"/>
      <c r="L70" s="2869"/>
      <c r="M70" s="2869"/>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hidden="1">
      <c r="A71" s="3321" t="s">
        <v>1985</v>
      </c>
      <c r="B71" s="3322"/>
      <c r="C71" s="2179"/>
      <c r="D71" s="2179" t="s">
        <v>1986</v>
      </c>
      <c r="E71" s="185" t="s">
        <v>1987</v>
      </c>
      <c r="F71" s="186"/>
      <c r="G71" s="186"/>
      <c r="H71" s="187"/>
      <c r="I71" s="1976"/>
      <c r="J71" s="2869"/>
      <c r="K71" s="2869"/>
      <c r="L71" s="2869"/>
      <c r="M71" s="2869"/>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hidden="1">
      <c r="A72" s="178" t="s">
        <v>775</v>
      </c>
      <c r="B72" s="179" t="s">
        <v>2005</v>
      </c>
      <c r="C72" s="2743">
        <f ca="1">ROUND(D45/(1+'数据-取费表'!C42),0)</f>
        <v>1310</v>
      </c>
      <c r="D72" s="175" t="s">
        <v>32</v>
      </c>
      <c r="E72" s="2524"/>
      <c r="F72" s="2523"/>
      <c r="G72" s="2523"/>
      <c r="H72" s="188"/>
      <c r="I72" s="1976"/>
      <c r="J72" s="2869"/>
      <c r="K72" s="2869"/>
      <c r="L72" s="2869"/>
      <c r="M72" s="2869"/>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hidden="1">
      <c r="A73" s="178" t="s">
        <v>772</v>
      </c>
      <c r="B73" s="168" t="s">
        <v>2006</v>
      </c>
      <c r="C73" s="2743">
        <f ca="1">C74+C78</f>
        <v>7</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hidden="1">
      <c r="A74" s="174" t="s">
        <v>770</v>
      </c>
      <c r="B74" s="175" t="s">
        <v>2007</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hidden="1">
      <c r="A75" s="174" t="s">
        <v>776</v>
      </c>
      <c r="B75" s="175" t="s">
        <v>2008</v>
      </c>
      <c r="C75" s="2746"/>
      <c r="D75" s="175" t="s">
        <v>32</v>
      </c>
      <c r="E75" s="190" t="s">
        <v>2009</v>
      </c>
      <c r="F75" s="2747"/>
      <c r="G75" s="190" t="s">
        <v>2010</v>
      </c>
      <c r="H75" s="2748"/>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hidden="1" customHeight="1">
      <c r="A76" s="174" t="s">
        <v>777</v>
      </c>
      <c r="B76" s="191" t="s">
        <v>2011</v>
      </c>
      <c r="C76" s="175">
        <f>IF(F75="购房发票",ROUND(C75*H75*D76,0),0)</f>
        <v>0</v>
      </c>
      <c r="D76" s="2749">
        <v>0.05</v>
      </c>
      <c r="E76" s="3316" t="s">
        <v>2012</v>
      </c>
      <c r="F76" s="3290"/>
      <c r="G76" s="3290"/>
      <c r="H76" s="3341"/>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hidden="1" customHeight="1">
      <c r="A77" s="174" t="s">
        <v>778</v>
      </c>
      <c r="B77" s="175" t="s">
        <v>2013</v>
      </c>
      <c r="C77" s="175">
        <f>ROUND(IF(G77="个人住宅",0,IF(G77="2016年5月1日前购买",C75*D77,C75*D77/(1+'数据-取费表'!C42))),0)</f>
        <v>0</v>
      </c>
      <c r="D77" s="2750">
        <f>'数据-取费表'!B48+'数据-取费表'!B49</f>
        <v>3.0499999999999999E-2</v>
      </c>
      <c r="E77" s="2517" t="s">
        <v>2014</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hidden="1" customHeight="1">
      <c r="A78" s="174" t="s">
        <v>771</v>
      </c>
      <c r="B78" s="175" t="s">
        <v>2015</v>
      </c>
      <c r="C78" s="2751">
        <f ca="1">ROUND(D45*D78/(1+'数据-取费表'!C42),0)</f>
        <v>7</v>
      </c>
      <c r="D78" s="2752">
        <f>'数据-取费表'!B43</f>
        <v>5.000000000000001E-3</v>
      </c>
      <c r="E78" s="3300" t="s">
        <v>2016</v>
      </c>
      <c r="F78" s="3301"/>
      <c r="G78" s="3301"/>
      <c r="H78" s="3310"/>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hidden="1">
      <c r="A79" s="178" t="s">
        <v>779</v>
      </c>
      <c r="B79" s="179" t="s">
        <v>2017</v>
      </c>
      <c r="C79" s="2743">
        <f ca="1">C72-C73</f>
        <v>1303</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hidden="1">
      <c r="A80" s="178" t="s">
        <v>780</v>
      </c>
      <c r="B80" s="179" t="s">
        <v>2018</v>
      </c>
      <c r="C80" s="2753">
        <f ca="1">IF(C79&lt;=0,0,C79/C73)</f>
        <v>186.14285714285714</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hidden="1" thickBot="1">
      <c r="A81" s="181" t="s">
        <v>781</v>
      </c>
      <c r="B81" s="182" t="s">
        <v>2019</v>
      </c>
      <c r="C81" s="2754">
        <f ca="1">ROUND(IF(C79&lt;=0,0,IF(C80&gt;=200%,C79*60%-C73*35%,IF(C80&gt;=100%,C79*50%-C73*15%,IF(C80&gt;=50%,C79*40%-C73*5%,IF(C80&lt;50%,C79*30%,0))))),0)</f>
        <v>779</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hidden="1"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hidden="1" thickBot="1">
      <c r="A83" s="3342" t="s">
        <v>2020</v>
      </c>
      <c r="B83" s="3343"/>
      <c r="C83" s="3343"/>
      <c r="D83" s="3343"/>
      <c r="E83" s="3343"/>
      <c r="F83" s="3343"/>
      <c r="G83" s="3343"/>
      <c r="H83" s="3343"/>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hidden="1">
      <c r="A84" s="3321" t="s">
        <v>1985</v>
      </c>
      <c r="B84" s="3322"/>
      <c r="C84" s="2179"/>
      <c r="D84" s="2179" t="s">
        <v>1986</v>
      </c>
      <c r="E84" s="185" t="s">
        <v>1987</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hidden="1">
      <c r="A85" s="178" t="s">
        <v>775</v>
      </c>
      <c r="B85" s="179" t="s">
        <v>2005</v>
      </c>
      <c r="C85" s="2743">
        <f ca="1">ROUND(D45/(1+'数据-取费表'!C42),0)</f>
        <v>1310</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hidden="1">
      <c r="A86" s="178" t="s">
        <v>772</v>
      </c>
      <c r="B86" s="168" t="s">
        <v>2006</v>
      </c>
      <c r="C86" s="2743">
        <f ca="1">IF(H88="仅含出让金",C87+C90+C91+C92+C93+C94,C87+C91+C92+C93+C94)</f>
        <v>7</v>
      </c>
      <c r="D86" s="2756"/>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hidden="1">
      <c r="A87" s="174" t="s">
        <v>770</v>
      </c>
      <c r="B87" s="175" t="s">
        <v>2021</v>
      </c>
      <c r="C87" s="2751">
        <f>C88+C89</f>
        <v>0</v>
      </c>
      <c r="D87" s="2752"/>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hidden="1">
      <c r="A88" s="174" t="s">
        <v>776</v>
      </c>
      <c r="B88" s="175" t="s">
        <v>2022</v>
      </c>
      <c r="C88" s="2757"/>
      <c r="D88" s="2752"/>
      <c r="E88" s="199" t="s">
        <v>2023</v>
      </c>
      <c r="F88" s="2520"/>
      <c r="G88" s="200" t="s">
        <v>2024</v>
      </c>
      <c r="H88" s="1980"/>
      <c r="I88" s="1977"/>
      <c r="J88" s="2715" t="s">
        <v>2945</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hidden="1">
      <c r="A89" s="174" t="s">
        <v>777</v>
      </c>
      <c r="B89" s="175" t="s">
        <v>2013</v>
      </c>
      <c r="C89" s="2751">
        <f>ROUND(C88*D89,0)</f>
        <v>0</v>
      </c>
      <c r="D89" s="2752">
        <f>'数据-取费表'!B48+'数据-取费表'!B49</f>
        <v>3.0499999999999999E-2</v>
      </c>
      <c r="E89" s="199" t="s">
        <v>2025</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hidden="1">
      <c r="A90" s="174" t="s">
        <v>771</v>
      </c>
      <c r="B90" s="175" t="s">
        <v>2026</v>
      </c>
      <c r="C90" s="2757"/>
      <c r="D90" s="2752"/>
      <c r="E90" s="199" t="str">
        <f>IF(H88="-","土地取得成本中已包含该笔费用"," ")</f>
        <v xml:space="preserve"> </v>
      </c>
      <c r="F90" s="2520"/>
      <c r="G90" s="3377" t="s">
        <v>2794</v>
      </c>
      <c r="H90" s="3378"/>
      <c r="I90" s="1977"/>
      <c r="J90" s="2715" t="s">
        <v>2946</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hidden="1" customHeight="1">
      <c r="A91" s="174" t="s">
        <v>2027</v>
      </c>
      <c r="B91" s="175" t="s">
        <v>2028</v>
      </c>
      <c r="C91" s="2751">
        <f>IF(H91="——",成本法!C33,I91)</f>
        <v>0</v>
      </c>
      <c r="D91" s="2752"/>
      <c r="E91" s="3300" t="s">
        <v>2029</v>
      </c>
      <c r="F91" s="3301"/>
      <c r="G91" s="3301"/>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hidden="1" customHeight="1">
      <c r="A92" s="174" t="s">
        <v>2030</v>
      </c>
      <c r="B92" s="175" t="s">
        <v>2031</v>
      </c>
      <c r="C92" s="2751">
        <f>ROUND((C87+C90+C91)*D92,0)</f>
        <v>0</v>
      </c>
      <c r="D92" s="2758"/>
      <c r="E92" s="3300" t="s">
        <v>2032</v>
      </c>
      <c r="F92" s="3301"/>
      <c r="G92" s="3301"/>
      <c r="H92" s="3310"/>
      <c r="I92" s="1977"/>
      <c r="J92" s="2716" t="s">
        <v>2947</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hidden="1" customHeight="1">
      <c r="A93" s="174" t="s">
        <v>2033</v>
      </c>
      <c r="B93" s="175" t="s">
        <v>2015</v>
      </c>
      <c r="C93" s="2751">
        <f ca="1">ROUND(D45*D93/(1+'数据-取费表'!C42),0)</f>
        <v>7</v>
      </c>
      <c r="D93" s="2752">
        <f>'数据-取费表'!B43</f>
        <v>5.000000000000001E-3</v>
      </c>
      <c r="E93" s="3300" t="s">
        <v>2016</v>
      </c>
      <c r="F93" s="3301"/>
      <c r="G93" s="3301"/>
      <c r="H93" s="3310"/>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hidden="1" customHeight="1">
      <c r="A94" s="174" t="s">
        <v>2034</v>
      </c>
      <c r="B94" s="175" t="s">
        <v>2035</v>
      </c>
      <c r="C94" s="2757">
        <f>ROUND((C87+C90+C91)*D94,0)</f>
        <v>0</v>
      </c>
      <c r="D94" s="2752">
        <v>0.2</v>
      </c>
      <c r="E94" s="3311" t="s">
        <v>2036</v>
      </c>
      <c r="F94" s="3312"/>
      <c r="G94" s="3312"/>
      <c r="H94" s="3313"/>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hidden="1">
      <c r="A95" s="178" t="s">
        <v>779</v>
      </c>
      <c r="B95" s="179" t="s">
        <v>2017</v>
      </c>
      <c r="C95" s="2743">
        <f ca="1">ROUND(C85-C86,0)</f>
        <v>1303</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hidden="1">
      <c r="A96" s="178" t="s">
        <v>780</v>
      </c>
      <c r="B96" s="179" t="s">
        <v>2018</v>
      </c>
      <c r="C96" s="2753">
        <f ca="1">IF(C95&lt;=0,0,C95/C86)</f>
        <v>186.14285714285714</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hidden="1" thickBot="1">
      <c r="A97" s="181" t="s">
        <v>781</v>
      </c>
      <c r="B97" s="182" t="s">
        <v>2019</v>
      </c>
      <c r="C97" s="2754">
        <f ca="1">ROUND(IF(C95&lt;=0,0,IF(C96&gt;=200%,C95*60%-C86*35%,IF(C96&gt;=100%,C95*50%-C86*15%,IF(C96&gt;=50%,C95*40%-C86*5%,IF(C96&lt;50%,C95*30%,0))))),0)</f>
        <v>779</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hidden="1" customHeight="1">
      <c r="A98" s="1965"/>
      <c r="B98" s="1903"/>
      <c r="C98" s="1903"/>
      <c r="D98" s="1903"/>
      <c r="E98" s="1733"/>
      <c r="F98" s="1733"/>
      <c r="G98" s="1733"/>
      <c r="H98" s="1732"/>
      <c r="I98" s="134"/>
    </row>
    <row r="99" spans="1:35" ht="21.75" customHeight="1" thickBot="1">
      <c r="A99" s="1956" t="s">
        <v>2037</v>
      </c>
      <c r="B99" s="1903"/>
      <c r="C99" s="1903"/>
      <c r="D99" s="1903"/>
      <c r="E99" s="1733"/>
      <c r="F99" s="1733"/>
      <c r="G99" s="1733"/>
      <c r="H99" s="1732"/>
      <c r="I99" s="134"/>
    </row>
    <row r="100" spans="1:35" ht="18.75" customHeight="1">
      <c r="A100" s="3284" t="s">
        <v>2038</v>
      </c>
      <c r="B100" s="3285"/>
      <c r="C100" s="3285"/>
      <c r="D100" s="3302"/>
      <c r="E100" s="3285" t="s">
        <v>2039</v>
      </c>
      <c r="F100" s="3285"/>
      <c r="G100" s="3285"/>
      <c r="H100" s="3302"/>
      <c r="I100" s="134"/>
    </row>
    <row r="101" spans="1:35" ht="18.75" customHeight="1">
      <c r="A101" s="3363" t="s">
        <v>2040</v>
      </c>
      <c r="B101" s="3364"/>
      <c r="C101" s="2760" t="str">
        <f>C4</f>
        <v>比较法-工业</v>
      </c>
      <c r="D101" s="2761" t="str">
        <f>D4</f>
        <v>收益法</v>
      </c>
      <c r="E101" s="3375" t="s">
        <v>2041</v>
      </c>
      <c r="F101" s="3334"/>
      <c r="G101" s="1983" t="s">
        <v>2042</v>
      </c>
      <c r="H101" s="2770">
        <f ca="1">H118</f>
        <v>1376</v>
      </c>
      <c r="I101" s="134"/>
    </row>
    <row r="102" spans="1:35" ht="18.75" customHeight="1">
      <c r="A102" s="3336" t="s">
        <v>2043</v>
      </c>
      <c r="B102" s="2759" t="s">
        <v>2042</v>
      </c>
      <c r="C102" s="2760">
        <f ca="1">C19</f>
        <v>1468</v>
      </c>
      <c r="D102" s="2761">
        <f ca="1">D19</f>
        <v>1283</v>
      </c>
      <c r="E102" s="3375"/>
      <c r="F102" s="3334"/>
      <c r="G102" s="1983" t="s">
        <v>2044</v>
      </c>
      <c r="H102" s="2730">
        <f ca="1">I118</f>
        <v>5384</v>
      </c>
      <c r="I102" s="134"/>
    </row>
    <row r="103" spans="1:35" ht="42.75" customHeight="1">
      <c r="A103" s="3336"/>
      <c r="B103" s="2759" t="s">
        <v>2044</v>
      </c>
      <c r="C103" s="2762">
        <f ca="1">C20</f>
        <v>5746</v>
      </c>
      <c r="D103" s="2763">
        <f ca="1">D20</f>
        <v>5020</v>
      </c>
      <c r="E103" s="3371" t="s">
        <v>2045</v>
      </c>
      <c r="F103" s="3372"/>
      <c r="G103" s="1984" t="s">
        <v>2046</v>
      </c>
      <c r="H103" s="2770">
        <f>IF(D36="正常操作",H104+H105+H106,H105+H106)</f>
        <v>0</v>
      </c>
      <c r="I103" s="134"/>
    </row>
    <row r="104" spans="1:35" ht="18.75" customHeight="1">
      <c r="A104" s="3336" t="s">
        <v>2047</v>
      </c>
      <c r="B104" s="2764" t="s">
        <v>2042</v>
      </c>
      <c r="C104" s="2765">
        <f ca="1">H118</f>
        <v>1376</v>
      </c>
      <c r="D104" s="2766"/>
      <c r="E104" s="1830" t="s">
        <v>2048</v>
      </c>
      <c r="F104" s="1821"/>
      <c r="G104" s="1984" t="s">
        <v>2046</v>
      </c>
      <c r="H104" s="2771">
        <f>IF(D36="同一抵押权人同一抵押物续贷",C36&amp;"（续贷，未扣减，详见特别提示）",C36)</f>
        <v>0</v>
      </c>
      <c r="I104" s="134"/>
    </row>
    <row r="105" spans="1:35" ht="18.75" customHeight="1" thickBot="1">
      <c r="A105" s="3337"/>
      <c r="B105" s="2767" t="s">
        <v>2044</v>
      </c>
      <c r="C105" s="2768">
        <f ca="1">I118</f>
        <v>5384</v>
      </c>
      <c r="D105" s="2769"/>
      <c r="E105" s="1830" t="s">
        <v>2049</v>
      </c>
      <c r="F105" s="1821"/>
      <c r="G105" s="1984" t="s">
        <v>2046</v>
      </c>
      <c r="H105" s="2772">
        <f>C37</f>
        <v>0</v>
      </c>
      <c r="I105" s="134"/>
    </row>
    <row r="106" spans="1:35" ht="18.75" customHeight="1">
      <c r="A106" s="1903" t="s">
        <v>2050</v>
      </c>
      <c r="B106" s="1903"/>
      <c r="C106" s="1903"/>
      <c r="D106" s="1903"/>
      <c r="E106" s="1985" t="s">
        <v>2051</v>
      </c>
      <c r="F106" s="1821"/>
      <c r="G106" s="1984" t="s">
        <v>2046</v>
      </c>
      <c r="H106" s="2772">
        <f>C38</f>
        <v>0</v>
      </c>
      <c r="I106" s="134"/>
    </row>
    <row r="107" spans="1:35" ht="18.75" customHeight="1">
      <c r="A107" s="134"/>
      <c r="B107" s="134"/>
      <c r="C107" s="134"/>
      <c r="D107" s="134"/>
      <c r="E107" s="3333" t="str">
        <f>IF(项目基本情况!E8="已注销","——","3.房地产抵押价值")</f>
        <v>3.房地产抵押价值</v>
      </c>
      <c r="F107" s="3334"/>
      <c r="G107" s="1983" t="s">
        <v>2042</v>
      </c>
      <c r="H107" s="2770">
        <f ca="1">IF(E107="——","——",H101-H103)</f>
        <v>1376</v>
      </c>
      <c r="I107" s="134"/>
    </row>
    <row r="108" spans="1:35" ht="18.75" customHeight="1">
      <c r="A108" s="134"/>
      <c r="B108" s="134"/>
      <c r="C108" s="134"/>
      <c r="D108" s="134"/>
      <c r="E108" s="3333"/>
      <c r="F108" s="3334"/>
      <c r="G108" s="1983" t="s">
        <v>2044</v>
      </c>
      <c r="H108" s="2730">
        <f ca="1">ROUND(H107*10000/'数据-汇总表'!E3,0)</f>
        <v>5384</v>
      </c>
      <c r="I108" s="134"/>
    </row>
    <row r="109" spans="1:35" ht="18.75" customHeight="1">
      <c r="A109" s="134"/>
      <c r="B109" s="134"/>
      <c r="C109" s="134"/>
      <c r="D109" s="134"/>
      <c r="E109" s="3333" t="str">
        <f>IF(项目基本情况!E8="已注销及未注销","4.抵押担保权已注销时的房地产抵押价值",IF(项目基本情况!E8="已注销","3.抵押担保权已注销时的房地产抵押价值","——"))</f>
        <v>——</v>
      </c>
      <c r="F109" s="3334"/>
      <c r="G109" s="1983" t="s">
        <v>2042</v>
      </c>
      <c r="H109" s="2773" t="str">
        <f>IF(E109="——","——",H101-H105-H106)</f>
        <v>——</v>
      </c>
      <c r="I109" s="134"/>
    </row>
    <row r="110" spans="1:35" ht="18.75" customHeight="1">
      <c r="A110" s="134"/>
      <c r="B110" s="134"/>
      <c r="C110" s="134"/>
      <c r="D110" s="134"/>
      <c r="E110" s="3333"/>
      <c r="F110" s="3334"/>
      <c r="G110" s="1983" t="s">
        <v>2044</v>
      </c>
      <c r="H110" s="2730" t="str">
        <f>IF(H109="——","——",ROUND(H109*10000/'数据-汇总表'!E3,0))</f>
        <v>——</v>
      </c>
      <c r="I110" s="134"/>
    </row>
    <row r="111" spans="1:35" ht="18.75" customHeight="1">
      <c r="A111" s="134"/>
      <c r="B111" s="134"/>
      <c r="C111" s="134"/>
      <c r="D111" s="134"/>
      <c r="E111" s="3365" t="str">
        <f>IF(项目基本情况!E9="抵押净值",IF(OR(项目基本情况!E8="已注销",项目基本情况!E8="房地产抵押价值"),"4.抵押净值","5.抵押净值"),"——")</f>
        <v>——</v>
      </c>
      <c r="F111" s="3335"/>
      <c r="G111" s="1983" t="s">
        <v>2042</v>
      </c>
      <c r="H111" s="2770" t="str">
        <f>IF(E111="——","——",N59)</f>
        <v>——</v>
      </c>
      <c r="I111" s="134"/>
    </row>
    <row r="112" spans="1:35" ht="18.75" customHeight="1" thickBot="1">
      <c r="A112" s="134"/>
      <c r="B112" s="134"/>
      <c r="C112" s="134"/>
      <c r="D112" s="134"/>
      <c r="E112" s="3366"/>
      <c r="F112" s="3367"/>
      <c r="G112" s="1986" t="s">
        <v>2044</v>
      </c>
      <c r="H112" s="2774" t="str">
        <f>IF(E111="——","——",N61)</f>
        <v>——</v>
      </c>
      <c r="I112" s="134"/>
    </row>
    <row r="113" spans="1:27" ht="18.75" customHeight="1">
      <c r="A113" s="134"/>
      <c r="B113" s="134"/>
      <c r="C113" s="134"/>
      <c r="D113" s="134"/>
      <c r="E113" s="3338" t="s">
        <v>2050</v>
      </c>
      <c r="F113" s="3338"/>
      <c r="G113" s="3338"/>
      <c r="H113" s="3338"/>
      <c r="I113" s="134"/>
    </row>
    <row r="114" spans="1:27" ht="3.75" customHeight="1">
      <c r="A114" s="1903"/>
      <c r="B114" s="1903"/>
      <c r="C114" s="1903"/>
      <c r="D114" s="1903"/>
      <c r="E114" s="1965"/>
      <c r="F114" s="1965"/>
      <c r="G114" s="1965"/>
      <c r="H114" s="1965"/>
      <c r="I114" s="1903"/>
    </row>
    <row r="115" spans="1:27" ht="18.75" customHeight="1">
      <c r="A115" s="3351" t="s">
        <v>2052</v>
      </c>
      <c r="B115" s="3352"/>
      <c r="C115" s="3352"/>
      <c r="D115" s="3352"/>
      <c r="E115" s="3352"/>
      <c r="F115" s="3352"/>
      <c r="G115" s="3352"/>
      <c r="H115" s="3352"/>
      <c r="I115" s="3353"/>
    </row>
    <row r="116" spans="1:27" ht="27" customHeight="1">
      <c r="A116" s="3304" t="s">
        <v>2053</v>
      </c>
      <c r="B116" s="3339" t="s">
        <v>2054</v>
      </c>
      <c r="C116" s="3339" t="s">
        <v>2055</v>
      </c>
      <c r="D116" s="3355" t="s">
        <v>2056</v>
      </c>
      <c r="E116" s="3356"/>
      <c r="F116" s="3347" t="s">
        <v>2057</v>
      </c>
      <c r="G116" s="3347"/>
      <c r="H116" s="3304" t="s">
        <v>2058</v>
      </c>
      <c r="I116" s="3304"/>
    </row>
    <row r="117" spans="1:27" ht="18.75" customHeight="1">
      <c r="A117" s="3304"/>
      <c r="B117" s="3340"/>
      <c r="C117" s="3340"/>
      <c r="D117" s="2522" t="s">
        <v>2059</v>
      </c>
      <c r="E117" s="2522" t="s">
        <v>2060</v>
      </c>
      <c r="F117" s="2522" t="s">
        <v>2059</v>
      </c>
      <c r="G117" s="2522" t="s">
        <v>2061</v>
      </c>
      <c r="H117" s="2522" t="s">
        <v>2059</v>
      </c>
      <c r="I117" s="2522" t="s">
        <v>2061</v>
      </c>
    </row>
    <row r="118" spans="1:27" ht="24.75" customHeight="1">
      <c r="A118" s="2775" t="str">
        <f>项目基本情况!S2</f>
        <v>北京市房地产</v>
      </c>
      <c r="B118" s="2522">
        <f>M18</f>
        <v>2555.66</v>
      </c>
      <c r="C118" s="2522">
        <f>M19</f>
        <v>0</v>
      </c>
      <c r="D118" s="2522">
        <f ca="1">ROUND(IF(D32="总价",C34,E118*B118/10000),0)</f>
        <v>-575</v>
      </c>
      <c r="E118" s="2522">
        <f ca="1">ROUND(IF(C33="自定义",IF(D32="楼面单价",C34,D118*10000/B118),I118-G118),0)</f>
        <v>-2250</v>
      </c>
      <c r="F118" s="2522">
        <f ca="1">ROUND(IF(D32="总价",C35,G118*B118/10000),0)</f>
        <v>1951</v>
      </c>
      <c r="G118" s="2522">
        <f ca="1">ROUND(IF(D32="楼面单价",C35,F118*10000/B118),0)</f>
        <v>7634</v>
      </c>
      <c r="H118" s="2522">
        <f ca="1">ROUND(IF(D32="总价",C32,I118*B118/10000),0)</f>
        <v>1376</v>
      </c>
      <c r="I118" s="2522">
        <f ca="1">ROUND(IF(D32="楼面单价",C32,H118*10000/B118),0)</f>
        <v>5384</v>
      </c>
    </row>
    <row r="119" spans="1:27" ht="18.75" customHeight="1">
      <c r="A119" s="3304" t="s">
        <v>2062</v>
      </c>
      <c r="B119" s="3304"/>
      <c r="C119" s="3304"/>
      <c r="D119" s="3344" t="e">
        <f ca="1">NUMBERSTRING(INT(D118*10000),2)&amp;"元整"</f>
        <v>#NUM!</v>
      </c>
      <c r="E119" s="3346"/>
      <c r="F119" s="3344" t="str">
        <f ca="1">NUMBERSTRING(INT(F118*10000),2)&amp;"元整"</f>
        <v>壹仟玖佰伍拾壹万元整</v>
      </c>
      <c r="G119" s="3346"/>
      <c r="H119" s="3344" t="str">
        <f ca="1">NUMBERSTRING(INT(H118*10000),2)&amp;"元整"</f>
        <v>壹仟叁佰柒拾陆万元整</v>
      </c>
      <c r="I119" s="3346"/>
    </row>
    <row r="120" spans="1:27" ht="18.75" customHeight="1">
      <c r="A120" s="3368" t="str">
        <f>IF(项目基本情况!B9="房地产市场价值","",MID(E103,3,LEN(E103)-2))</f>
        <v>估价师知悉的法定优先受偿款</v>
      </c>
      <c r="B120" s="3369"/>
      <c r="C120" s="3370"/>
      <c r="D120" s="3368">
        <f>H103</f>
        <v>0</v>
      </c>
      <c r="E120" s="3369"/>
      <c r="F120" s="3369"/>
      <c r="G120" s="3369"/>
      <c r="H120" s="3369"/>
      <c r="I120" s="3370"/>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48" t="s">
        <v>2062</v>
      </c>
      <c r="B121" s="3349"/>
      <c r="C121" s="3350"/>
      <c r="D121" s="3344" t="str">
        <f>IF(D120=0,"零元整",NUMBERSTRING(INT(D120*10000),2)&amp;"元整")</f>
        <v>零元整</v>
      </c>
      <c r="E121" s="3345"/>
      <c r="F121" s="3345"/>
      <c r="G121" s="3345"/>
      <c r="H121" s="3345"/>
      <c r="I121" s="3346"/>
      <c r="AA121" s="734"/>
    </row>
    <row r="122" spans="1:27" ht="18.75" customHeight="1">
      <c r="A122" s="3335" t="str">
        <f>IF(项目基本情况!B9="房地产市场价值","",MID(E107,3,LEN(E107)-2))</f>
        <v>房地产抵押价值</v>
      </c>
      <c r="B122" s="3335"/>
      <c r="C122" s="3335"/>
      <c r="D122" s="3368">
        <f ca="1">H107</f>
        <v>1376</v>
      </c>
      <c r="E122" s="3369"/>
      <c r="F122" s="3369"/>
      <c r="G122" s="3369"/>
      <c r="H122" s="3369"/>
      <c r="I122" s="3370"/>
      <c r="AA122" s="734"/>
    </row>
    <row r="123" spans="1:27" ht="18.75" customHeight="1">
      <c r="A123" s="3304" t="s">
        <v>2062</v>
      </c>
      <c r="B123" s="3304"/>
      <c r="C123" s="3304"/>
      <c r="D123" s="3344" t="str">
        <f ca="1">NUMBERSTRING(INT(D122*10000),2)&amp;"元整"</f>
        <v>壹仟叁佰柒拾陆万元整</v>
      </c>
      <c r="E123" s="3345"/>
      <c r="F123" s="3345"/>
      <c r="G123" s="3345"/>
      <c r="H123" s="3345"/>
      <c r="I123" s="3346"/>
      <c r="AA123" s="734"/>
    </row>
    <row r="124" spans="1:27" ht="18.75" customHeight="1">
      <c r="A124" s="3335" t="str">
        <f>IF(项目基本情况!B9="房地产市场价值","",MID(E109,3,LEN(E109)-2))</f>
        <v/>
      </c>
      <c r="B124" s="3335"/>
      <c r="C124" s="3335"/>
      <c r="D124" s="3368" t="str">
        <f>H109</f>
        <v>——</v>
      </c>
      <c r="E124" s="3369"/>
      <c r="F124" s="3369"/>
      <c r="G124" s="3369"/>
      <c r="H124" s="3369"/>
      <c r="I124" s="3370"/>
      <c r="AA124" s="734"/>
    </row>
    <row r="125" spans="1:27" ht="18.75" customHeight="1">
      <c r="A125" s="3304" t="s">
        <v>2062</v>
      </c>
      <c r="B125" s="3304"/>
      <c r="C125" s="3304"/>
      <c r="D125" s="3344" t="e">
        <f>NUMBERSTRING(INT(D124*10000),2)&amp;"元整"</f>
        <v>#VALUE!</v>
      </c>
      <c r="E125" s="3345"/>
      <c r="F125" s="3345"/>
      <c r="G125" s="3345"/>
      <c r="H125" s="3345"/>
      <c r="I125" s="3346"/>
      <c r="AA125" s="734"/>
    </row>
    <row r="126" spans="1:27" ht="18.75" customHeight="1">
      <c r="A126" s="3335" t="str">
        <f>IF(项目基本情况!B9="房地产市场价值","",MID(E111,3,LEN(E111)-2))</f>
        <v/>
      </c>
      <c r="B126" s="3335"/>
      <c r="C126" s="3335"/>
      <c r="D126" s="3368" t="str">
        <f>H111</f>
        <v>——</v>
      </c>
      <c r="E126" s="3369"/>
      <c r="F126" s="3369"/>
      <c r="G126" s="3369"/>
      <c r="H126" s="3369"/>
      <c r="I126" s="3370"/>
      <c r="AA126" s="734"/>
    </row>
    <row r="127" spans="1:27" ht="18.75" customHeight="1">
      <c r="A127" s="3304" t="s">
        <v>2062</v>
      </c>
      <c r="B127" s="3304"/>
      <c r="C127" s="3304"/>
      <c r="D127" s="3344" t="e">
        <f>NUMBERSTRING(INT(D126*10000),2)&amp;"元整"</f>
        <v>#VALUE!</v>
      </c>
      <c r="E127" s="3345"/>
      <c r="F127" s="3345"/>
      <c r="G127" s="3345"/>
      <c r="H127" s="3345"/>
      <c r="I127" s="3346"/>
      <c r="AA127" s="734"/>
    </row>
    <row r="128" spans="1:27" ht="21.75" customHeight="1">
      <c r="A128" s="3354" t="s">
        <v>2063</v>
      </c>
      <c r="B128" s="3354"/>
      <c r="C128" s="3354"/>
      <c r="D128" s="3354"/>
      <c r="E128" s="3354"/>
      <c r="F128" s="3354"/>
      <c r="G128" s="3354"/>
      <c r="H128" s="3354"/>
      <c r="I128" s="3354"/>
      <c r="AA128" s="734"/>
    </row>
    <row r="129" spans="1:35" ht="21.75" customHeight="1">
      <c r="A129" s="1987" t="s">
        <v>2064</v>
      </c>
      <c r="B129" s="1988"/>
      <c r="C129" s="1989" t="s">
        <v>2065</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2066</v>
      </c>
      <c r="G135" s="2004"/>
      <c r="H135" s="2004"/>
      <c r="I135" s="2005" t="s">
        <v>2067</v>
      </c>
    </row>
    <row r="136" spans="1:35" ht="21.75" customHeight="1">
      <c r="A136" s="734"/>
      <c r="B136" s="2006" t="s">
        <v>2068</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2069</v>
      </c>
    </row>
    <row r="139" spans="1:35" ht="21.75" customHeight="1">
      <c r="A139" s="734"/>
      <c r="B139" s="2006" t="s">
        <v>2070</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2069</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0" zoomScaleNormal="60" zoomScaleSheetLayoutView="80" workbookViewId="0">
      <selection activeCell="I44" sqref="I4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2273</v>
      </c>
      <c r="B1" s="2113" t="s">
        <v>2447</v>
      </c>
      <c r="C1" s="1364" t="s">
        <v>2275</v>
      </c>
      <c r="D1" s="1365" t="s">
        <v>3109</v>
      </c>
      <c r="E1" s="1374"/>
      <c r="F1" s="2035" t="s">
        <v>3137</v>
      </c>
      <c r="G1" s="1375" t="s">
        <v>2388</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2072</v>
      </c>
      <c r="B2" s="1298">
        <f>IF(C2="——",ROUND(C43*D3/10000,0),ROUND(C43*D3/10000,0)-D2)</f>
        <v>1468</v>
      </c>
      <c r="C2" s="2037" t="s">
        <v>70</v>
      </c>
      <c r="D2" s="1038" t="e">
        <f ca="1">SUMIF(INDIRECT("'"&amp;F2&amp;"'"&amp;"!A:A"),"承租人权益价值",INDIRECT("'"&amp;F2&amp;"'"&amp;"!c:c"))</f>
        <v>#REF!</v>
      </c>
      <c r="E2" s="2038" t="s">
        <v>2073</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2074</v>
      </c>
      <c r="B3" s="566">
        <f>IF(C2="——",C43,ROUND(B2*10000/D3,0))</f>
        <v>5746</v>
      </c>
      <c r="C3" s="360" t="s">
        <v>2389</v>
      </c>
      <c r="D3" s="359">
        <f>IF(D1="",'数据-汇总表'!E3,SUMIF('数据-汇总表'!$C19:$C33,D1,'数据-汇总表'!$E19:$E33))</f>
        <v>2555.66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2390</v>
      </c>
      <c r="B4" s="362"/>
      <c r="C4" s="3392" t="s">
        <v>2391</v>
      </c>
      <c r="D4" s="3393"/>
      <c r="E4" s="3394" t="s">
        <v>2392</v>
      </c>
      <c r="F4" s="3395"/>
      <c r="G4" s="3392" t="s">
        <v>2393</v>
      </c>
      <c r="H4" s="3393"/>
      <c r="I4" s="3392" t="s">
        <v>2394</v>
      </c>
      <c r="J4" s="3393"/>
      <c r="K4" s="567" t="s">
        <v>2395</v>
      </c>
      <c r="L4" s="1044"/>
      <c r="M4" s="1045"/>
      <c r="N4" s="1045"/>
      <c r="O4" s="1045"/>
      <c r="P4" s="3396" t="s">
        <v>2396</v>
      </c>
      <c r="Q4" s="3397"/>
      <c r="R4" s="3402" t="s">
        <v>2392</v>
      </c>
      <c r="S4" s="3403"/>
      <c r="T4" s="3402" t="s">
        <v>2393</v>
      </c>
      <c r="U4" s="3403"/>
      <c r="V4" s="3408" t="s">
        <v>2394</v>
      </c>
      <c r="W4" s="3408"/>
      <c r="X4" s="1509"/>
      <c r="Y4" s="3402" t="s">
        <v>2396</v>
      </c>
      <c r="Z4" s="3403"/>
      <c r="AA4" s="3389" t="s">
        <v>2392</v>
      </c>
      <c r="AB4" s="3390" t="s">
        <v>2393</v>
      </c>
      <c r="AC4" s="3389" t="s">
        <v>2394</v>
      </c>
    </row>
    <row r="5" spans="1:29" ht="15">
      <c r="A5" s="364"/>
      <c r="B5" s="365"/>
      <c r="C5" s="3416" t="s">
        <v>2287</v>
      </c>
      <c r="D5" s="3412"/>
      <c r="E5" s="3419" t="s">
        <v>3138</v>
      </c>
      <c r="F5" s="3420"/>
      <c r="G5" s="3411" t="s">
        <v>3139</v>
      </c>
      <c r="H5" s="3412"/>
      <c r="I5" s="3411" t="s">
        <v>3140</v>
      </c>
      <c r="J5" s="3412"/>
      <c r="K5" s="567"/>
      <c r="L5" s="1044"/>
      <c r="M5" s="1045"/>
      <c r="N5" s="1045"/>
      <c r="O5" s="1045"/>
      <c r="P5" s="3398"/>
      <c r="Q5" s="3399"/>
      <c r="R5" s="3404"/>
      <c r="S5" s="3405"/>
      <c r="T5" s="3404"/>
      <c r="U5" s="3405"/>
      <c r="V5" s="3408"/>
      <c r="W5" s="3408"/>
      <c r="X5" s="1509"/>
      <c r="Y5" s="3404"/>
      <c r="Z5" s="3405"/>
      <c r="AA5" s="3390"/>
      <c r="AB5" s="3390"/>
      <c r="AC5" s="3390"/>
    </row>
    <row r="6" spans="1:29" ht="15.75" thickBot="1">
      <c r="A6" s="366"/>
      <c r="B6" s="367"/>
      <c r="C6" s="3409" t="s">
        <v>2291</v>
      </c>
      <c r="D6" s="3410"/>
      <c r="E6" s="3417" t="s">
        <v>2291</v>
      </c>
      <c r="F6" s="3418"/>
      <c r="G6" s="3409" t="s">
        <v>2291</v>
      </c>
      <c r="H6" s="3410"/>
      <c r="I6" s="3409" t="s">
        <v>2291</v>
      </c>
      <c r="J6" s="3410"/>
      <c r="K6" s="567" t="s">
        <v>2292</v>
      </c>
      <c r="L6" s="1044"/>
      <c r="M6" s="1045"/>
      <c r="N6" s="1045"/>
      <c r="O6" s="1045"/>
      <c r="P6" s="3400"/>
      <c r="Q6" s="3401"/>
      <c r="R6" s="3404"/>
      <c r="S6" s="3405"/>
      <c r="T6" s="3406"/>
      <c r="U6" s="3407"/>
      <c r="V6" s="3408"/>
      <c r="W6" s="3408"/>
      <c r="X6" s="1509"/>
      <c r="Y6" s="3406"/>
      <c r="Z6" s="3407"/>
      <c r="AA6" s="3391"/>
      <c r="AB6" s="3391"/>
      <c r="AC6" s="3391"/>
    </row>
    <row r="7" spans="1:29" s="113" customFormat="1" ht="15.75" thickBot="1">
      <c r="A7" s="368" t="s">
        <v>2293</v>
      </c>
      <c r="B7" s="369"/>
      <c r="C7" s="370">
        <f>'数据-取费表'!B2</f>
        <v>44628</v>
      </c>
      <c r="D7" s="371">
        <v>100</v>
      </c>
      <c r="E7" s="372">
        <v>44396</v>
      </c>
      <c r="F7" s="373">
        <f>SUMIF(52:52,YEAR(E7)&amp;"-"&amp;MONTH(E7),53:53)</f>
        <v>100</v>
      </c>
      <c r="G7" s="372">
        <v>44382</v>
      </c>
      <c r="H7" s="371">
        <f>SUMIF(52:52,YEAR(G7)&amp;"-"&amp;MONTH(G7),53:53)</f>
        <v>100</v>
      </c>
      <c r="I7" s="372">
        <v>44382</v>
      </c>
      <c r="J7" s="371">
        <f>SUMIF(52:52,YEAR(I7)&amp;"-"&amp;MONTH(I7),53:53)</f>
        <v>100</v>
      </c>
      <c r="K7" s="568"/>
      <c r="L7" s="1046"/>
      <c r="M7" s="1047"/>
      <c r="N7" s="1047"/>
      <c r="O7" s="1047"/>
      <c r="P7" s="3413" t="s">
        <v>2294</v>
      </c>
      <c r="Q7" s="3415"/>
      <c r="R7" s="710" t="s">
        <v>17</v>
      </c>
      <c r="S7" s="711">
        <f t="shared" ref="S7:S15" si="0">F7</f>
        <v>100</v>
      </c>
      <c r="T7" s="710" t="s">
        <v>17</v>
      </c>
      <c r="U7" s="711">
        <f t="shared" ref="U7:U15" si="1">H7</f>
        <v>100</v>
      </c>
      <c r="V7" s="710" t="s">
        <v>17</v>
      </c>
      <c r="W7" s="711">
        <f t="shared" ref="W7:W15" si="2">J7</f>
        <v>100</v>
      </c>
      <c r="X7" s="712"/>
      <c r="Y7" s="3413" t="s">
        <v>2294</v>
      </c>
      <c r="Z7" s="3414"/>
      <c r="AA7" s="713">
        <f>D7/F7</f>
        <v>1</v>
      </c>
      <c r="AB7" s="713">
        <f>D7/H7</f>
        <v>1</v>
      </c>
      <c r="AC7" s="713">
        <f>D7/J7</f>
        <v>1</v>
      </c>
    </row>
    <row r="8" spans="1:29" s="113" customFormat="1" ht="15.75" thickBot="1">
      <c r="A8" s="368" t="s">
        <v>2295</v>
      </c>
      <c r="B8" s="369"/>
      <c r="C8" s="374" t="s">
        <v>2296</v>
      </c>
      <c r="D8" s="371">
        <v>100</v>
      </c>
      <c r="E8" s="374" t="s">
        <v>3142</v>
      </c>
      <c r="F8" s="373">
        <f>SUMIF(55:55,E8,56:56)-SUMIF(55:55,C8,56:56)+100</f>
        <v>100</v>
      </c>
      <c r="G8" s="374" t="s">
        <v>3142</v>
      </c>
      <c r="H8" s="371">
        <f>SUMIF(55:55,G8,56:56)-SUMIF(55:55,C8,56:56)+100</f>
        <v>100</v>
      </c>
      <c r="I8" s="374" t="s">
        <v>3142</v>
      </c>
      <c r="J8" s="371">
        <f>SUMIF(55:55,I8,56:56)-SUMIF(55:55,C8,56:56)+100</f>
        <v>100</v>
      </c>
      <c r="K8" s="568"/>
      <c r="L8" s="1046"/>
      <c r="M8" s="1047"/>
      <c r="N8" s="1047"/>
      <c r="O8" s="1047"/>
      <c r="P8" s="3413" t="s">
        <v>2297</v>
      </c>
      <c r="Q8" s="3414"/>
      <c r="R8" s="710" t="s">
        <v>17</v>
      </c>
      <c r="S8" s="711">
        <f t="shared" si="0"/>
        <v>100</v>
      </c>
      <c r="T8" s="710" t="s">
        <v>17</v>
      </c>
      <c r="U8" s="711">
        <f t="shared" si="1"/>
        <v>100</v>
      </c>
      <c r="V8" s="710" t="s">
        <v>17</v>
      </c>
      <c r="W8" s="711">
        <f t="shared" si="2"/>
        <v>100</v>
      </c>
      <c r="X8" s="712"/>
      <c r="Y8" s="3413" t="s">
        <v>2297</v>
      </c>
      <c r="Z8" s="3414"/>
      <c r="AA8" s="713">
        <f t="shared" ref="AA8:AA40" si="3">D8/F8</f>
        <v>1</v>
      </c>
      <c r="AB8" s="713">
        <f t="shared" ref="AB8:AB40" si="4">D8/H8</f>
        <v>1</v>
      </c>
      <c r="AC8" s="713">
        <f t="shared" ref="AC8:AC40" si="5">D8/J8</f>
        <v>1</v>
      </c>
    </row>
    <row r="9" spans="1:29" s="113" customFormat="1">
      <c r="A9" s="375" t="s">
        <v>2298</v>
      </c>
      <c r="B9" s="67" t="s">
        <v>2299</v>
      </c>
      <c r="C9" s="3194" t="s">
        <v>3143</v>
      </c>
      <c r="D9" s="131">
        <v>100</v>
      </c>
      <c r="E9" s="379" t="s">
        <v>6</v>
      </c>
      <c r="F9" s="131">
        <f>SUMIF(57:57,E9,58:58)-SUMIF(57:57,C9,58:58)+100</f>
        <v>100</v>
      </c>
      <c r="G9" s="377" t="s">
        <v>6</v>
      </c>
      <c r="H9" s="131">
        <f>SUMIF(57:57,G9,58:58)-SUMIF(57:57,C9,58:58)+100</f>
        <v>100</v>
      </c>
      <c r="I9" s="377" t="s">
        <v>6</v>
      </c>
      <c r="J9" s="131">
        <f>SUMIF(57:57,I9,58:58)-SUMIF(57:57,C9,58:58)+100</f>
        <v>100</v>
      </c>
      <c r="K9" s="568"/>
      <c r="L9" s="1046"/>
      <c r="M9" s="1047"/>
      <c r="N9" s="1047"/>
      <c r="O9" s="1048"/>
      <c r="P9" s="3379"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713">
        <f t="shared" si="5"/>
        <v>1</v>
      </c>
    </row>
    <row r="10" spans="1:29" s="386" customFormat="1" ht="27">
      <c r="A10" s="380"/>
      <c r="B10" s="381" t="s">
        <v>2302</v>
      </c>
      <c r="C10" s="382" t="s">
        <v>3141</v>
      </c>
      <c r="D10" s="132">
        <v>100</v>
      </c>
      <c r="E10" s="382" t="s">
        <v>3141</v>
      </c>
      <c r="F10" s="132">
        <f>SUMIF(59:59,E10,60:60)-SUMIF(59:59,C10,60:60)+100</f>
        <v>100</v>
      </c>
      <c r="G10" s="382" t="s">
        <v>3141</v>
      </c>
      <c r="H10" s="132">
        <f>SUMIF(59:59,G10,60:60)-SUMIF(59:59,C10,60:60)+100</f>
        <v>100</v>
      </c>
      <c r="I10" s="382" t="s">
        <v>3141</v>
      </c>
      <c r="J10" s="132">
        <f>SUMIF(59:59,I10,60:60)-SUMIF(59:59,C10,60:60)+100</f>
        <v>100</v>
      </c>
      <c r="K10" s="569">
        <v>2</v>
      </c>
      <c r="L10" s="1049"/>
      <c r="M10" s="1050"/>
      <c r="N10" s="1050"/>
      <c r="O10" s="1051"/>
      <c r="P10" s="3379"/>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713">
        <f t="shared" si="5"/>
        <v>1</v>
      </c>
    </row>
    <row r="11" spans="1:29" ht="15">
      <c r="A11" s="387"/>
      <c r="B11" s="381" t="s">
        <v>2303</v>
      </c>
      <c r="C11" s="388"/>
      <c r="D11" s="132">
        <v>100</v>
      </c>
      <c r="E11" s="388"/>
      <c r="F11" s="132">
        <f>LOOKUP(E11,62:62,63:63)-LOOKUP(C11,62:62,63:63)+100</f>
        <v>100</v>
      </c>
      <c r="G11" s="389"/>
      <c r="H11" s="132">
        <f>LOOKUP(G11,62:62,63:63)-LOOKUP(C11,62:62,63:63)+100</f>
        <v>100</v>
      </c>
      <c r="I11" s="388"/>
      <c r="J11" s="132">
        <f>LOOKUP(I11,62:62,63:63)-LOOKUP(C11,62:62,63:63)+100</f>
        <v>100</v>
      </c>
      <c r="K11" s="569"/>
      <c r="L11" s="1052"/>
      <c r="M11" s="1045"/>
      <c r="N11" s="1045"/>
      <c r="O11" s="1053"/>
      <c r="P11" s="3379"/>
      <c r="Q11" s="1497" t="str">
        <f t="shared" si="6"/>
        <v>容积率</v>
      </c>
      <c r="R11" s="710" t="s">
        <v>17</v>
      </c>
      <c r="S11" s="711">
        <f t="shared" si="0"/>
        <v>100</v>
      </c>
      <c r="T11" s="710" t="s">
        <v>17</v>
      </c>
      <c r="U11" s="711">
        <f t="shared" si="1"/>
        <v>100</v>
      </c>
      <c r="V11" s="710" t="s">
        <v>17</v>
      </c>
      <c r="W11" s="711">
        <f t="shared" si="2"/>
        <v>100</v>
      </c>
      <c r="X11" s="712"/>
      <c r="Y11" s="3291"/>
      <c r="Z11" s="55" t="str">
        <f t="shared" si="7"/>
        <v>容积率</v>
      </c>
      <c r="AA11" s="713">
        <f t="shared" si="3"/>
        <v>1</v>
      </c>
      <c r="AB11" s="713">
        <f t="shared" si="4"/>
        <v>1</v>
      </c>
      <c r="AC11" s="713">
        <f t="shared" si="5"/>
        <v>1</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379"/>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379"/>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379"/>
      <c r="Q14" s="1497">
        <f t="shared" si="6"/>
        <v>111</v>
      </c>
      <c r="R14" s="710" t="s">
        <v>17</v>
      </c>
      <c r="S14" s="711">
        <f t="shared" si="0"/>
        <v>100</v>
      </c>
      <c r="T14" s="710" t="s">
        <v>17</v>
      </c>
      <c r="U14" s="711">
        <f t="shared" si="1"/>
        <v>100</v>
      </c>
      <c r="V14" s="710" t="s">
        <v>17</v>
      </c>
      <c r="W14" s="711">
        <f t="shared" si="2"/>
        <v>100</v>
      </c>
      <c r="X14" s="712"/>
      <c r="Y14" s="3291"/>
      <c r="Z14" s="55">
        <f t="shared" si="7"/>
        <v>111</v>
      </c>
      <c r="AA14" s="713">
        <f t="shared" si="3"/>
        <v>1</v>
      </c>
      <c r="AB14" s="713">
        <f t="shared" si="4"/>
        <v>1</v>
      </c>
      <c r="AC14" s="713">
        <f t="shared" si="5"/>
        <v>1</v>
      </c>
    </row>
    <row r="15" spans="1:29" ht="15">
      <c r="A15" s="399" t="s">
        <v>2304</v>
      </c>
      <c r="B15" s="65" t="s">
        <v>2448</v>
      </c>
      <c r="C15" s="2127" t="str">
        <f>估价对象房地状况!G3</f>
        <v>一般</v>
      </c>
      <c r="D15" s="400">
        <v>100</v>
      </c>
      <c r="E15" s="401"/>
      <c r="F15" s="402">
        <f>SUMIF(70:70,E16,71:71)-SUMIF(70:70,C16,71:71)+100</f>
        <v>100</v>
      </c>
      <c r="G15" s="403"/>
      <c r="H15" s="400">
        <f>SUMIF(70:70,G16,71:71)-SUMIF(70:70,C16,71:71)+100</f>
        <v>100</v>
      </c>
      <c r="I15" s="401"/>
      <c r="J15" s="400">
        <f>SUMIF(70:70,I16,71:71)-SUMIF(70:70,C16,71:71)+100</f>
        <v>100</v>
      </c>
      <c r="K15" s="571">
        <v>2</v>
      </c>
      <c r="L15" s="1054"/>
      <c r="M15" s="1045"/>
      <c r="N15" s="1045"/>
      <c r="O15" s="1053"/>
      <c r="P15" s="3384" t="s">
        <v>2305</v>
      </c>
      <c r="Q15" s="1506" t="str">
        <f t="shared" si="6"/>
        <v>产业集聚程度</v>
      </c>
      <c r="R15" s="714" t="s">
        <v>17</v>
      </c>
      <c r="S15" s="715">
        <f t="shared" si="0"/>
        <v>100</v>
      </c>
      <c r="T15" s="714" t="s">
        <v>17</v>
      </c>
      <c r="U15" s="715">
        <f t="shared" si="1"/>
        <v>100</v>
      </c>
      <c r="V15" s="714" t="s">
        <v>17</v>
      </c>
      <c r="W15" s="715">
        <f t="shared" si="2"/>
        <v>100</v>
      </c>
      <c r="X15" s="1509"/>
      <c r="Y15" s="3384" t="s">
        <v>2305</v>
      </c>
      <c r="Z15" s="1510" t="str">
        <f t="shared" si="7"/>
        <v>产业集聚程度</v>
      </c>
      <c r="AA15" s="1507">
        <f t="shared" si="3"/>
        <v>1</v>
      </c>
      <c r="AB15" s="1507">
        <f t="shared" si="4"/>
        <v>1</v>
      </c>
      <c r="AC15" s="1507">
        <f t="shared" si="5"/>
        <v>1</v>
      </c>
    </row>
    <row r="16" spans="1:29" ht="15">
      <c r="A16" s="387"/>
      <c r="B16" s="405"/>
      <c r="C16" s="406" t="s">
        <v>3131</v>
      </c>
      <c r="D16" s="407"/>
      <c r="E16" s="406" t="s">
        <v>3131</v>
      </c>
      <c r="F16" s="408"/>
      <c r="G16" s="406" t="s">
        <v>3131</v>
      </c>
      <c r="H16" s="409"/>
      <c r="I16" s="406" t="s">
        <v>3131</v>
      </c>
      <c r="J16" s="407"/>
      <c r="K16" s="572"/>
      <c r="L16" s="1054"/>
      <c r="M16" s="1045"/>
      <c r="N16" s="1045"/>
      <c r="O16" s="1053"/>
      <c r="P16" s="3385"/>
      <c r="Q16" s="1506"/>
      <c r="R16" s="714"/>
      <c r="S16" s="715"/>
      <c r="T16" s="714"/>
      <c r="U16" s="715"/>
      <c r="V16" s="714"/>
      <c r="W16" s="715"/>
      <c r="X16" s="1509"/>
      <c r="Y16" s="3385"/>
      <c r="Z16" s="1510"/>
      <c r="AA16" s="1507">
        <v>1</v>
      </c>
      <c r="AB16" s="1507">
        <v>1</v>
      </c>
      <c r="AC16" s="1507">
        <v>1</v>
      </c>
    </row>
    <row r="17" spans="1:29" ht="15">
      <c r="A17" s="387"/>
      <c r="B17" s="410" t="s">
        <v>1885</v>
      </c>
      <c r="C17" s="2056" t="str">
        <f>估价对象房地状况!G4</f>
        <v>一般</v>
      </c>
      <c r="D17" s="409">
        <v>100</v>
      </c>
      <c r="E17" s="411"/>
      <c r="F17" s="412">
        <f>SUMIF(72:72,E18,73:73)-SUMIF(72:72,C18,73:73)+100</f>
        <v>100</v>
      </c>
      <c r="G17" s="413"/>
      <c r="H17" s="414">
        <f>SUMIF(72:72,G18,73:73)-SUMIF(72:72,C18,73:73)+100</f>
        <v>100</v>
      </c>
      <c r="I17" s="411"/>
      <c r="J17" s="414">
        <f>SUMIF(72:72,I18,73:73)-SUMIF(72:72,C18,73:73)+100</f>
        <v>100</v>
      </c>
      <c r="K17" s="571">
        <v>2</v>
      </c>
      <c r="L17" s="1054"/>
      <c r="M17" s="1045"/>
      <c r="N17" s="1045"/>
      <c r="O17" s="1053"/>
      <c r="P17" s="3385"/>
      <c r="Q17" s="1506" t="str">
        <f>B17</f>
        <v>交通便捷度</v>
      </c>
      <c r="R17" s="714" t="s">
        <v>17</v>
      </c>
      <c r="S17" s="715">
        <f>F17</f>
        <v>100</v>
      </c>
      <c r="T17" s="714" t="s">
        <v>17</v>
      </c>
      <c r="U17" s="715">
        <f>H17</f>
        <v>100</v>
      </c>
      <c r="V17" s="714" t="s">
        <v>17</v>
      </c>
      <c r="W17" s="715">
        <f>J17</f>
        <v>100</v>
      </c>
      <c r="X17" s="1509"/>
      <c r="Y17" s="3385"/>
      <c r="Z17" s="1510" t="str">
        <f>Q17</f>
        <v>交通便捷度</v>
      </c>
      <c r="AA17" s="1507">
        <f t="shared" si="3"/>
        <v>1</v>
      </c>
      <c r="AB17" s="1507">
        <f t="shared" si="4"/>
        <v>1</v>
      </c>
      <c r="AC17" s="1507">
        <f t="shared" si="5"/>
        <v>1</v>
      </c>
    </row>
    <row r="18" spans="1:29" ht="15">
      <c r="A18" s="387"/>
      <c r="B18" s="415"/>
      <c r="C18" s="2057" t="s">
        <v>3131</v>
      </c>
      <c r="D18" s="409"/>
      <c r="E18" s="2059" t="s">
        <v>3131</v>
      </c>
      <c r="F18" s="412"/>
      <c r="G18" s="2058" t="s">
        <v>3131</v>
      </c>
      <c r="H18" s="407"/>
      <c r="I18" s="2059" t="s">
        <v>3131</v>
      </c>
      <c r="J18" s="407"/>
      <c r="K18" s="572"/>
      <c r="L18" s="1054"/>
      <c r="M18" s="1045"/>
      <c r="N18" s="1045"/>
      <c r="O18" s="1053"/>
      <c r="P18" s="3385"/>
      <c r="Q18" s="1506"/>
      <c r="R18" s="714"/>
      <c r="S18" s="715"/>
      <c r="T18" s="714"/>
      <c r="U18" s="715"/>
      <c r="V18" s="714"/>
      <c r="W18" s="715"/>
      <c r="X18" s="1509"/>
      <c r="Y18" s="3385"/>
      <c r="Z18" s="1510"/>
      <c r="AA18" s="1507">
        <v>1</v>
      </c>
      <c r="AB18" s="1507">
        <v>1</v>
      </c>
      <c r="AC18" s="1507">
        <v>1</v>
      </c>
    </row>
    <row r="19" spans="1:29" ht="15">
      <c r="A19" s="387"/>
      <c r="B19" s="410" t="s">
        <v>2433</v>
      </c>
      <c r="C19" s="2056" t="str">
        <f>估价对象房地状况!G5</f>
        <v>较差</v>
      </c>
      <c r="D19" s="414">
        <v>100</v>
      </c>
      <c r="E19" s="416"/>
      <c r="F19" s="417">
        <f>SUMIF(74:74,E20,75:75)-SUMIF(74:74,C20,75:75)+100</f>
        <v>100</v>
      </c>
      <c r="G19" s="418"/>
      <c r="H19" s="409">
        <f>SUMIF(74:74,G20,75:75)-SUMIF(74:74,C20,75:75)+100</f>
        <v>100</v>
      </c>
      <c r="I19" s="416"/>
      <c r="J19" s="409">
        <f>SUMIF(74:74,I20,75:75)-SUMIF(74:74,C20,75:75)+100</f>
        <v>100</v>
      </c>
      <c r="K19" s="571">
        <v>2</v>
      </c>
      <c r="L19" s="1054"/>
      <c r="M19" s="1045"/>
      <c r="N19" s="1045"/>
      <c r="O19" s="1053"/>
      <c r="P19" s="3385"/>
      <c r="Q19" s="1506" t="str">
        <f>B19</f>
        <v>公共配套设施</v>
      </c>
      <c r="R19" s="714" t="s">
        <v>17</v>
      </c>
      <c r="S19" s="715">
        <f>F19</f>
        <v>100</v>
      </c>
      <c r="T19" s="714" t="s">
        <v>17</v>
      </c>
      <c r="U19" s="715">
        <f>H19</f>
        <v>100</v>
      </c>
      <c r="V19" s="714" t="s">
        <v>17</v>
      </c>
      <c r="W19" s="715">
        <f>J19</f>
        <v>100</v>
      </c>
      <c r="X19" s="1509"/>
      <c r="Y19" s="3385"/>
      <c r="Z19" s="1510" t="str">
        <f>Q19</f>
        <v>公共配套设施</v>
      </c>
      <c r="AA19" s="1507">
        <f t="shared" si="3"/>
        <v>1</v>
      </c>
      <c r="AB19" s="1507">
        <f t="shared" si="4"/>
        <v>1</v>
      </c>
      <c r="AC19" s="1507">
        <f t="shared" si="5"/>
        <v>1</v>
      </c>
    </row>
    <row r="20" spans="1:29" ht="15">
      <c r="A20" s="387"/>
      <c r="B20" s="415"/>
      <c r="C20" s="406" t="s">
        <v>3158</v>
      </c>
      <c r="D20" s="407"/>
      <c r="E20" s="406" t="s">
        <v>3158</v>
      </c>
      <c r="F20" s="408"/>
      <c r="G20" s="406" t="s">
        <v>3158</v>
      </c>
      <c r="H20" s="407"/>
      <c r="I20" s="406" t="s">
        <v>3158</v>
      </c>
      <c r="J20" s="407"/>
      <c r="K20" s="572"/>
      <c r="L20" s="1054"/>
      <c r="M20" s="1045"/>
      <c r="N20" s="1045"/>
      <c r="O20" s="1053"/>
      <c r="P20" s="3385"/>
      <c r="Q20" s="1506"/>
      <c r="R20" s="714"/>
      <c r="S20" s="715"/>
      <c r="T20" s="714"/>
      <c r="U20" s="715"/>
      <c r="V20" s="714"/>
      <c r="W20" s="715"/>
      <c r="X20" s="1509"/>
      <c r="Y20" s="3385"/>
      <c r="Z20" s="1510"/>
      <c r="AA20" s="1507">
        <v>1</v>
      </c>
      <c r="AB20" s="1507">
        <v>1</v>
      </c>
      <c r="AC20" s="1507">
        <v>1</v>
      </c>
    </row>
    <row r="21" spans="1:29" ht="15">
      <c r="A21" s="387"/>
      <c r="B21" s="1265" t="s">
        <v>2434</v>
      </c>
      <c r="C21" s="2056" t="str">
        <f>估价对象房地状况!G6</f>
        <v>五通</v>
      </c>
      <c r="D21" s="409">
        <v>100</v>
      </c>
      <c r="E21" s="416"/>
      <c r="F21" s="417">
        <f>SUMIF(76:76,E22,77:77)-SUMIF(76:76,C22,77:77)+100</f>
        <v>100</v>
      </c>
      <c r="G21" s="418"/>
      <c r="H21" s="409">
        <f>SUMIF(76:76,G22,77:77)-SUMIF(76:76,C22,77:77)+100</f>
        <v>100</v>
      </c>
      <c r="I21" s="416"/>
      <c r="J21" s="409">
        <f>SUMIF(76:76,I22,77:77)-SUMIF(76:76,C22,77:77)+100</f>
        <v>100</v>
      </c>
      <c r="K21" s="571">
        <v>2</v>
      </c>
      <c r="L21" s="1054"/>
      <c r="M21" s="1045"/>
      <c r="N21" s="1045"/>
      <c r="O21" s="1053"/>
      <c r="P21" s="3385"/>
      <c r="Q21" s="1506" t="str">
        <f>B21</f>
        <v>基础设施水平</v>
      </c>
      <c r="R21" s="714" t="s">
        <v>17</v>
      </c>
      <c r="S21" s="715">
        <f>F21</f>
        <v>100</v>
      </c>
      <c r="T21" s="714" t="s">
        <v>17</v>
      </c>
      <c r="U21" s="715">
        <f>H21</f>
        <v>100</v>
      </c>
      <c r="V21" s="714" t="s">
        <v>17</v>
      </c>
      <c r="W21" s="715">
        <f>J21</f>
        <v>100</v>
      </c>
      <c r="X21" s="1509"/>
      <c r="Y21" s="3385"/>
      <c r="Z21" s="1510" t="str">
        <f>Q21</f>
        <v>基础设施水平</v>
      </c>
      <c r="AA21" s="1507">
        <f t="shared" ref="AA21" si="8">D21/F21</f>
        <v>1</v>
      </c>
      <c r="AB21" s="1507">
        <f t="shared" ref="AB21" si="9">D21/H21</f>
        <v>1</v>
      </c>
      <c r="AC21" s="1507">
        <f t="shared" ref="AC21" si="10">D21/J21</f>
        <v>1</v>
      </c>
    </row>
    <row r="22" spans="1:29" ht="15">
      <c r="A22" s="387"/>
      <c r="B22" s="1265"/>
      <c r="C22" s="2057" t="s">
        <v>3134</v>
      </c>
      <c r="D22" s="407"/>
      <c r="E22" s="406" t="s">
        <v>3134</v>
      </c>
      <c r="F22" s="408"/>
      <c r="G22" s="406" t="s">
        <v>3134</v>
      </c>
      <c r="H22" s="407"/>
      <c r="I22" s="406" t="s">
        <v>3134</v>
      </c>
      <c r="J22" s="407"/>
      <c r="K22" s="1264"/>
      <c r="L22" s="1054"/>
      <c r="M22" s="1045"/>
      <c r="N22" s="1045"/>
      <c r="O22" s="1053"/>
      <c r="P22" s="3385"/>
      <c r="Q22" s="1506"/>
      <c r="R22" s="714"/>
      <c r="S22" s="715"/>
      <c r="T22" s="714"/>
      <c r="U22" s="715"/>
      <c r="V22" s="714"/>
      <c r="W22" s="715"/>
      <c r="X22" s="1509"/>
      <c r="Y22" s="3385"/>
      <c r="Z22" s="1510"/>
      <c r="AA22" s="1507">
        <v>1</v>
      </c>
      <c r="AB22" s="1507">
        <v>1</v>
      </c>
      <c r="AC22" s="1507">
        <v>1</v>
      </c>
    </row>
    <row r="23" spans="1:29" ht="15">
      <c r="A23" s="387"/>
      <c r="B23" s="410" t="s">
        <v>2435</v>
      </c>
      <c r="C23" s="2056" t="str">
        <f>估价对象房地状况!G7</f>
        <v>较好</v>
      </c>
      <c r="D23" s="409">
        <v>100</v>
      </c>
      <c r="E23" s="411"/>
      <c r="F23" s="412">
        <f>SUMIF(78:78,E24,79:79)-SUMIF(78:78,C24,79:79)+100</f>
        <v>100</v>
      </c>
      <c r="G23" s="413"/>
      <c r="H23" s="409">
        <f>SUMIF(78:78,G24,79:79)-SUMIF(78:78,C24,79:79)+100</f>
        <v>100</v>
      </c>
      <c r="I23" s="411"/>
      <c r="J23" s="409">
        <f>SUMIF(78:78,I24,79:79)-SUMIF(78:78,C24,79:79)+100</f>
        <v>100</v>
      </c>
      <c r="K23" s="571">
        <v>2</v>
      </c>
      <c r="L23" s="1054"/>
      <c r="M23" s="1045"/>
      <c r="N23" s="1045"/>
      <c r="O23" s="1053"/>
      <c r="P23" s="3385"/>
      <c r="Q23" s="1506" t="str">
        <f>B23</f>
        <v>环境质量</v>
      </c>
      <c r="R23" s="714" t="s">
        <v>17</v>
      </c>
      <c r="S23" s="715">
        <f>F23</f>
        <v>100</v>
      </c>
      <c r="T23" s="714" t="s">
        <v>17</v>
      </c>
      <c r="U23" s="715">
        <f>H23</f>
        <v>100</v>
      </c>
      <c r="V23" s="714" t="s">
        <v>17</v>
      </c>
      <c r="W23" s="715">
        <f>J23</f>
        <v>100</v>
      </c>
      <c r="X23" s="1509"/>
      <c r="Y23" s="3385"/>
      <c r="Z23" s="1510" t="str">
        <f>Q23</f>
        <v>环境质量</v>
      </c>
      <c r="AA23" s="1507">
        <f t="shared" si="3"/>
        <v>1</v>
      </c>
      <c r="AB23" s="1507">
        <f t="shared" si="4"/>
        <v>1</v>
      </c>
      <c r="AC23" s="1507">
        <f t="shared" si="5"/>
        <v>1</v>
      </c>
    </row>
    <row r="24" spans="1:29" ht="15.75" thickBot="1">
      <c r="A24" s="387"/>
      <c r="B24" s="1265"/>
      <c r="C24" s="406" t="s">
        <v>3130</v>
      </c>
      <c r="D24" s="407"/>
      <c r="E24" s="2054" t="s">
        <v>3130</v>
      </c>
      <c r="F24" s="408"/>
      <c r="G24" s="2053" t="s">
        <v>3130</v>
      </c>
      <c r="H24" s="407"/>
      <c r="I24" s="2054" t="s">
        <v>3130</v>
      </c>
      <c r="J24" s="407"/>
      <c r="K24" s="572"/>
      <c r="L24" s="1054"/>
      <c r="M24" s="1045"/>
      <c r="N24" s="1045"/>
      <c r="O24" s="1053"/>
      <c r="P24" s="3385"/>
      <c r="Q24" s="1506"/>
      <c r="R24" s="714"/>
      <c r="S24" s="715"/>
      <c r="T24" s="714"/>
      <c r="U24" s="715"/>
      <c r="V24" s="714"/>
      <c r="W24" s="715"/>
      <c r="X24" s="1509"/>
      <c r="Y24" s="3385"/>
      <c r="Z24" s="1510"/>
      <c r="AA24" s="1507">
        <v>1</v>
      </c>
      <c r="AB24" s="1507">
        <v>1</v>
      </c>
      <c r="AC24" s="1507">
        <v>1</v>
      </c>
    </row>
    <row r="25" spans="1:29" ht="15" hidden="1">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85"/>
      <c r="Q25" s="1506">
        <f>B25</f>
        <v>111</v>
      </c>
      <c r="R25" s="714" t="s">
        <v>17</v>
      </c>
      <c r="S25" s="715">
        <f>F25</f>
        <v>100</v>
      </c>
      <c r="T25" s="714" t="s">
        <v>17</v>
      </c>
      <c r="U25" s="715">
        <f>H25</f>
        <v>100</v>
      </c>
      <c r="V25" s="714" t="s">
        <v>17</v>
      </c>
      <c r="W25" s="715">
        <f>J25</f>
        <v>100</v>
      </c>
      <c r="X25" s="1509"/>
      <c r="Y25" s="3385"/>
      <c r="Z25" s="1510">
        <f>Q25</f>
        <v>111</v>
      </c>
      <c r="AA25" s="1507">
        <f t="shared" si="3"/>
        <v>1</v>
      </c>
      <c r="AB25" s="1507">
        <f t="shared" si="4"/>
        <v>1</v>
      </c>
      <c r="AC25" s="1507">
        <f t="shared" si="5"/>
        <v>1</v>
      </c>
    </row>
    <row r="26" spans="1:29" ht="15" hidden="1">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85"/>
      <c r="Q26" s="1506">
        <f t="shared" ref="Q26:Q40" si="11">B26</f>
        <v>111</v>
      </c>
      <c r="R26" s="714" t="s">
        <v>17</v>
      </c>
      <c r="S26" s="715">
        <f>F26</f>
        <v>100</v>
      </c>
      <c r="T26" s="714" t="s">
        <v>17</v>
      </c>
      <c r="U26" s="715">
        <f>H26</f>
        <v>100</v>
      </c>
      <c r="V26" s="714" t="s">
        <v>17</v>
      </c>
      <c r="W26" s="715">
        <f>J26</f>
        <v>100</v>
      </c>
      <c r="X26" s="1509"/>
      <c r="Y26" s="3385"/>
      <c r="Z26" s="1510">
        <f>Q26</f>
        <v>111</v>
      </c>
      <c r="AA26" s="1507">
        <f t="shared" si="3"/>
        <v>1</v>
      </c>
      <c r="AB26" s="1507">
        <f t="shared" si="4"/>
        <v>1</v>
      </c>
      <c r="AC26" s="1507">
        <f t="shared" si="5"/>
        <v>1</v>
      </c>
    </row>
    <row r="27" spans="1:29" s="113" customFormat="1" ht="15" hidden="1">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85"/>
      <c r="Q27" s="1497">
        <f t="shared" si="11"/>
        <v>111</v>
      </c>
      <c r="R27" s="710" t="s">
        <v>17</v>
      </c>
      <c r="S27" s="711">
        <f>F27</f>
        <v>100</v>
      </c>
      <c r="T27" s="710" t="s">
        <v>17</v>
      </c>
      <c r="U27" s="711">
        <f>H27</f>
        <v>100</v>
      </c>
      <c r="V27" s="710" t="s">
        <v>17</v>
      </c>
      <c r="W27" s="711">
        <f>J27</f>
        <v>100</v>
      </c>
      <c r="X27" s="712"/>
      <c r="Y27" s="3385"/>
      <c r="Z27" s="55">
        <f>Q27</f>
        <v>111</v>
      </c>
      <c r="AA27" s="1507">
        <f>D27/F27</f>
        <v>1</v>
      </c>
      <c r="AB27" s="1507">
        <f>D27/H27</f>
        <v>1</v>
      </c>
      <c r="AC27" s="1507">
        <f>D27/J27</f>
        <v>1</v>
      </c>
    </row>
    <row r="28" spans="1:29" ht="15.75" hidden="1"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85"/>
      <c r="Q28" s="1506">
        <f t="shared" si="11"/>
        <v>111</v>
      </c>
      <c r="R28" s="714" t="s">
        <v>17</v>
      </c>
      <c r="S28" s="715">
        <f t="shared" ref="S28:S40" si="12">F28</f>
        <v>100</v>
      </c>
      <c r="T28" s="714" t="s">
        <v>17</v>
      </c>
      <c r="U28" s="715">
        <f t="shared" ref="U28:U40" si="13">H28</f>
        <v>100</v>
      </c>
      <c r="V28" s="714" t="s">
        <v>17</v>
      </c>
      <c r="W28" s="715">
        <f t="shared" ref="W28:W40" si="14">J28</f>
        <v>100</v>
      </c>
      <c r="X28" s="1509"/>
      <c r="Y28" s="3385"/>
      <c r="Z28" s="1510">
        <f t="shared" ref="Z28:Z40" si="15">Q28</f>
        <v>111</v>
      </c>
      <c r="AA28" s="1507">
        <f t="shared" si="3"/>
        <v>1</v>
      </c>
      <c r="AB28" s="1507">
        <f t="shared" si="4"/>
        <v>1</v>
      </c>
      <c r="AC28" s="1507">
        <f t="shared" si="5"/>
        <v>1</v>
      </c>
    </row>
    <row r="29" spans="1:29" ht="28.5">
      <c r="A29" s="425" t="s">
        <v>2308</v>
      </c>
      <c r="B29" s="67" t="s">
        <v>2438</v>
      </c>
      <c r="C29" s="2123" t="s">
        <v>3109</v>
      </c>
      <c r="D29" s="426">
        <v>100</v>
      </c>
      <c r="E29" s="2123" t="s">
        <v>3109</v>
      </c>
      <c r="F29" s="420">
        <f>SUMIF(88:88,E29,89:89)-SUMIF(88:88,C29,89:89)+100</f>
        <v>100</v>
      </c>
      <c r="G29" s="2123" t="s">
        <v>3109</v>
      </c>
      <c r="H29" s="394">
        <f>SUMIF(88:88,G29,89:89)-SUMIF(88:88,C29,89:89)+100</f>
        <v>100</v>
      </c>
      <c r="I29" s="2123" t="s">
        <v>3109</v>
      </c>
      <c r="J29" s="426">
        <f>SUMIF(88:88,I29,89:89)-SUMIF(88:88,C29,89:89)+100</f>
        <v>100</v>
      </c>
      <c r="K29" s="569">
        <v>3</v>
      </c>
      <c r="L29" s="1054"/>
      <c r="M29" s="1045"/>
      <c r="N29" s="1045"/>
      <c r="O29" s="1053"/>
      <c r="P29" s="3386" t="s">
        <v>2310</v>
      </c>
      <c r="Q29" s="1506" t="str">
        <f t="shared" si="11"/>
        <v>建筑类型</v>
      </c>
      <c r="R29" s="714" t="s">
        <v>17</v>
      </c>
      <c r="S29" s="715">
        <f t="shared" si="12"/>
        <v>100</v>
      </c>
      <c r="T29" s="714" t="s">
        <v>17</v>
      </c>
      <c r="U29" s="715">
        <f t="shared" si="13"/>
        <v>100</v>
      </c>
      <c r="V29" s="714" t="s">
        <v>17</v>
      </c>
      <c r="W29" s="715">
        <f t="shared" si="14"/>
        <v>100</v>
      </c>
      <c r="X29" s="1509"/>
      <c r="Y29" s="3387" t="s">
        <v>2310</v>
      </c>
      <c r="Z29" s="1510" t="str">
        <f t="shared" si="15"/>
        <v>建筑类型</v>
      </c>
      <c r="AA29" s="1507">
        <f t="shared" si="3"/>
        <v>1</v>
      </c>
      <c r="AB29" s="1507">
        <f t="shared" si="4"/>
        <v>1</v>
      </c>
      <c r="AC29" s="1507">
        <f t="shared" si="5"/>
        <v>1</v>
      </c>
    </row>
    <row r="30" spans="1:29" s="430" customFormat="1" ht="15">
      <c r="A30" s="427"/>
      <c r="B30" s="381" t="s">
        <v>2311</v>
      </c>
      <c r="C30" s="428">
        <f>'数据-基础表'!I13</f>
        <v>2555.66</v>
      </c>
      <c r="D30" s="132">
        <v>100</v>
      </c>
      <c r="E30" s="389">
        <v>839</v>
      </c>
      <c r="F30" s="384">
        <f>LOOKUP(E30,91:91,92:92)-LOOKUP(C30,91:91,92:92)+100</f>
        <v>103</v>
      </c>
      <c r="G30" s="388">
        <v>576</v>
      </c>
      <c r="H30" s="132">
        <f>LOOKUP(G30,91:91,92:92)-LOOKUP(C30,91:91,92:92)+100</f>
        <v>103</v>
      </c>
      <c r="I30" s="388">
        <v>2175</v>
      </c>
      <c r="J30" s="132">
        <f>LOOKUP(I30,91:91,92:92)-LOOKUP(C30,91:91,92:92)+100</f>
        <v>100</v>
      </c>
      <c r="K30" s="570"/>
      <c r="L30" s="1052"/>
      <c r="M30" s="1055"/>
      <c r="N30" s="1055"/>
      <c r="O30" s="1056"/>
      <c r="P30" s="3387"/>
      <c r="Q30" s="716" t="str">
        <f t="shared" si="11"/>
        <v>项目建筑规模</v>
      </c>
      <c r="R30" s="717" t="s">
        <v>17</v>
      </c>
      <c r="S30" s="718">
        <f t="shared" si="12"/>
        <v>103</v>
      </c>
      <c r="T30" s="717" t="s">
        <v>17</v>
      </c>
      <c r="U30" s="718">
        <f t="shared" si="13"/>
        <v>103</v>
      </c>
      <c r="V30" s="717" t="s">
        <v>17</v>
      </c>
      <c r="W30" s="718">
        <f t="shared" si="14"/>
        <v>100</v>
      </c>
      <c r="X30" s="719"/>
      <c r="Y30" s="3387"/>
      <c r="Z30" s="720" t="str">
        <f t="shared" si="15"/>
        <v>项目建筑规模</v>
      </c>
      <c r="AA30" s="1507">
        <f t="shared" si="3"/>
        <v>0.970873786407767</v>
      </c>
      <c r="AB30" s="1507">
        <f t="shared" si="4"/>
        <v>0.970873786407767</v>
      </c>
      <c r="AC30" s="1507">
        <f t="shared" si="5"/>
        <v>1</v>
      </c>
    </row>
    <row r="31" spans="1:29" ht="15">
      <c r="A31" s="431"/>
      <c r="B31" s="381" t="s">
        <v>2312</v>
      </c>
      <c r="C31" s="419" t="s">
        <v>3121</v>
      </c>
      <c r="D31" s="394">
        <v>100</v>
      </c>
      <c r="E31" s="419" t="s">
        <v>3121</v>
      </c>
      <c r="F31" s="420">
        <f>SUMIF(93:93,E31,94:94)-SUMIF(93:93,C31,94:94)+100</f>
        <v>100</v>
      </c>
      <c r="G31" s="419" t="s">
        <v>3121</v>
      </c>
      <c r="H31" s="394">
        <f>SUMIF(93:93,G31,94:94)-SUMIF(93:93,C31,94:94)+100</f>
        <v>100</v>
      </c>
      <c r="I31" s="419" t="s">
        <v>3121</v>
      </c>
      <c r="J31" s="394">
        <f>SUMIF(93:93,I31,94:94)-SUMIF(93:93,C31,94:94)+100</f>
        <v>100</v>
      </c>
      <c r="K31" s="569">
        <v>2</v>
      </c>
      <c r="L31" s="1054"/>
      <c r="M31" s="1045"/>
      <c r="N31" s="1045"/>
      <c r="O31" s="1053"/>
      <c r="P31" s="3387"/>
      <c r="Q31" s="1506" t="str">
        <f t="shared" si="11"/>
        <v>建筑结构</v>
      </c>
      <c r="R31" s="714" t="s">
        <v>17</v>
      </c>
      <c r="S31" s="715">
        <f t="shared" si="12"/>
        <v>100</v>
      </c>
      <c r="T31" s="714" t="s">
        <v>17</v>
      </c>
      <c r="U31" s="715">
        <f t="shared" si="13"/>
        <v>100</v>
      </c>
      <c r="V31" s="714" t="s">
        <v>17</v>
      </c>
      <c r="W31" s="715">
        <f t="shared" si="14"/>
        <v>100</v>
      </c>
      <c r="X31" s="1509"/>
      <c r="Y31" s="3387"/>
      <c r="Z31" s="1510" t="str">
        <f t="shared" si="15"/>
        <v>建筑结构</v>
      </c>
      <c r="AA31" s="1507">
        <f t="shared" si="3"/>
        <v>1</v>
      </c>
      <c r="AB31" s="1507">
        <f t="shared" si="4"/>
        <v>1</v>
      </c>
      <c r="AC31" s="1507">
        <f t="shared" si="5"/>
        <v>1</v>
      </c>
    </row>
    <row r="32" spans="1:29" ht="15">
      <c r="A32" s="431"/>
      <c r="B32" s="381" t="s">
        <v>2406</v>
      </c>
      <c r="C32" s="419" t="s">
        <v>3147</v>
      </c>
      <c r="D32" s="394">
        <v>100</v>
      </c>
      <c r="E32" s="419" t="s">
        <v>3147</v>
      </c>
      <c r="F32" s="420">
        <f>SUMIF(95:95,E32,96:96)-SUMIF(95:95,C32,96:96)+100</f>
        <v>100</v>
      </c>
      <c r="G32" s="419" t="s">
        <v>3147</v>
      </c>
      <c r="H32" s="394">
        <f>SUMIF(95:95,G32,96:96)-SUMIF(95:95,C32,96:96)+100</f>
        <v>100</v>
      </c>
      <c r="I32" s="419" t="s">
        <v>3147</v>
      </c>
      <c r="J32" s="394">
        <f>SUMIF(95:95,I32,96:96)-SUMIF(95:95,C32,96:96)+100</f>
        <v>100</v>
      </c>
      <c r="K32" s="569">
        <v>2</v>
      </c>
      <c r="L32" s="1054"/>
      <c r="M32" s="1045"/>
      <c r="N32" s="1045"/>
      <c r="O32" s="1053"/>
      <c r="P32" s="3387"/>
      <c r="Q32" s="1506" t="str">
        <f t="shared" si="11"/>
        <v>公共部分装修</v>
      </c>
      <c r="R32" s="714" t="s">
        <v>17</v>
      </c>
      <c r="S32" s="715">
        <f t="shared" si="12"/>
        <v>100</v>
      </c>
      <c r="T32" s="714" t="s">
        <v>17</v>
      </c>
      <c r="U32" s="715">
        <f t="shared" si="13"/>
        <v>100</v>
      </c>
      <c r="V32" s="714" t="s">
        <v>17</v>
      </c>
      <c r="W32" s="715">
        <f t="shared" si="14"/>
        <v>100</v>
      </c>
      <c r="X32" s="1509"/>
      <c r="Y32" s="3387"/>
      <c r="Z32" s="1510" t="str">
        <f t="shared" si="15"/>
        <v>公共部分装修</v>
      </c>
      <c r="AA32" s="1507">
        <f t="shared" si="3"/>
        <v>1</v>
      </c>
      <c r="AB32" s="1507">
        <f t="shared" si="4"/>
        <v>1</v>
      </c>
      <c r="AC32" s="1507">
        <f t="shared" si="5"/>
        <v>1</v>
      </c>
    </row>
    <row r="33" spans="1:29" ht="15">
      <c r="A33" s="431"/>
      <c r="B33" s="381" t="s">
        <v>2407</v>
      </c>
      <c r="C33" s="3193">
        <f>'数据-取费表'!N6</f>
        <v>0.85</v>
      </c>
      <c r="D33" s="394">
        <v>100</v>
      </c>
      <c r="E33" s="433">
        <f>C33</f>
        <v>0.85</v>
      </c>
      <c r="F33" s="420">
        <f>LOOKUP(E33,98:98,99:99)-LOOKUP(C33,98:98,99:99)+100</f>
        <v>100</v>
      </c>
      <c r="G33" s="433">
        <f>C33</f>
        <v>0.85</v>
      </c>
      <c r="H33" s="420">
        <f>LOOKUP(G33,98:98,99:99)-LOOKUP(C33,98:98,99:99)+100</f>
        <v>100</v>
      </c>
      <c r="I33" s="433">
        <f>C33</f>
        <v>0.85</v>
      </c>
      <c r="J33" s="394">
        <f>LOOKUP(I33,98:98,99:99)-LOOKUP(C33,98:98,99:99)+100</f>
        <v>100</v>
      </c>
      <c r="K33" s="569">
        <v>2</v>
      </c>
      <c r="L33" s="1054"/>
      <c r="M33" s="1045"/>
      <c r="N33" s="1045"/>
      <c r="O33" s="1053"/>
      <c r="P33" s="3387"/>
      <c r="Q33" s="1506" t="str">
        <f t="shared" si="11"/>
        <v>成新度</v>
      </c>
      <c r="R33" s="714" t="s">
        <v>17</v>
      </c>
      <c r="S33" s="715">
        <f t="shared" si="12"/>
        <v>100</v>
      </c>
      <c r="T33" s="714" t="s">
        <v>17</v>
      </c>
      <c r="U33" s="715">
        <f t="shared" si="13"/>
        <v>100</v>
      </c>
      <c r="V33" s="714" t="s">
        <v>17</v>
      </c>
      <c r="W33" s="715">
        <f t="shared" si="14"/>
        <v>100</v>
      </c>
      <c r="X33" s="1509"/>
      <c r="Y33" s="3387"/>
      <c r="Z33" s="1510" t="str">
        <f t="shared" si="15"/>
        <v>成新度</v>
      </c>
      <c r="AA33" s="1507">
        <f t="shared" si="3"/>
        <v>1</v>
      </c>
      <c r="AB33" s="1507">
        <f t="shared" si="4"/>
        <v>1</v>
      </c>
      <c r="AC33" s="1507">
        <f t="shared" si="5"/>
        <v>1</v>
      </c>
    </row>
    <row r="34" spans="1:29" s="113" customFormat="1" ht="15">
      <c r="A34" s="432"/>
      <c r="B34" s="381" t="s">
        <v>2440</v>
      </c>
      <c r="C34" s="419" t="s">
        <v>3155</v>
      </c>
      <c r="D34" s="132">
        <v>100</v>
      </c>
      <c r="E34" s="419" t="s">
        <v>3155</v>
      </c>
      <c r="F34" s="420">
        <f>SUMIF(100:100,E34,101:101)-SUMIF(100:100,C34,101:101)+100</f>
        <v>100</v>
      </c>
      <c r="G34" s="419" t="s">
        <v>3155</v>
      </c>
      <c r="H34" s="394">
        <f>SUMIF(100:100,G34,101:101)-SUMIF(100:100,C34,101:101)+100</f>
        <v>100</v>
      </c>
      <c r="I34" s="419" t="s">
        <v>3155</v>
      </c>
      <c r="J34" s="394">
        <f>SUMIF(100:100,I34,101:101)-SUMIF(100:100,C34,101:101)+100</f>
        <v>100</v>
      </c>
      <c r="K34" s="569">
        <v>2</v>
      </c>
      <c r="L34" s="1046"/>
      <c r="M34" s="1047"/>
      <c r="N34" s="1047"/>
      <c r="O34" s="1048"/>
      <c r="P34" s="3387"/>
      <c r="Q34" s="1497" t="str">
        <f t="shared" si="11"/>
        <v>物业管理</v>
      </c>
      <c r="R34" s="710" t="s">
        <v>17</v>
      </c>
      <c r="S34" s="711">
        <f t="shared" si="12"/>
        <v>100</v>
      </c>
      <c r="T34" s="710" t="s">
        <v>17</v>
      </c>
      <c r="U34" s="711">
        <f t="shared" si="13"/>
        <v>100</v>
      </c>
      <c r="V34" s="710" t="s">
        <v>17</v>
      </c>
      <c r="W34" s="711">
        <f t="shared" si="14"/>
        <v>100</v>
      </c>
      <c r="X34" s="712"/>
      <c r="Y34" s="3387"/>
      <c r="Z34" s="55" t="str">
        <f t="shared" si="15"/>
        <v>物业管理</v>
      </c>
      <c r="AA34" s="713">
        <f t="shared" si="3"/>
        <v>1</v>
      </c>
      <c r="AB34" s="713">
        <f t="shared" si="4"/>
        <v>1</v>
      </c>
      <c r="AC34" s="713">
        <f t="shared" si="5"/>
        <v>1</v>
      </c>
    </row>
    <row r="35" spans="1:29" ht="15">
      <c r="A35" s="431"/>
      <c r="B35" s="381" t="s">
        <v>2408</v>
      </c>
      <c r="C35" s="419" t="s">
        <v>3134</v>
      </c>
      <c r="D35" s="394">
        <v>100</v>
      </c>
      <c r="E35" s="419" t="s">
        <v>3134</v>
      </c>
      <c r="F35" s="420">
        <f>SUMIF(102:102,E35,103:103)-SUMIF(102:102,C35,103:103)+100</f>
        <v>100</v>
      </c>
      <c r="G35" s="419" t="s">
        <v>3134</v>
      </c>
      <c r="H35" s="394">
        <f>SUMIF(102:102,G35,103:103)-SUMIF(102:102,C35,103:103)+100</f>
        <v>100</v>
      </c>
      <c r="I35" s="419" t="s">
        <v>3134</v>
      </c>
      <c r="J35" s="394">
        <f>SUMIF(102:102,I35,103:103)-SUMIF(102:102,C35,103:103)+100</f>
        <v>100</v>
      </c>
      <c r="K35" s="569">
        <v>2</v>
      </c>
      <c r="L35" s="1054"/>
      <c r="M35" s="1045"/>
      <c r="N35" s="1045"/>
      <c r="O35" s="1053"/>
      <c r="P35" s="3387" t="s">
        <v>2310</v>
      </c>
      <c r="Q35" s="1506" t="str">
        <f t="shared" si="11"/>
        <v>市政基础设施</v>
      </c>
      <c r="R35" s="714" t="s">
        <v>17</v>
      </c>
      <c r="S35" s="715">
        <f t="shared" si="12"/>
        <v>100</v>
      </c>
      <c r="T35" s="714" t="s">
        <v>17</v>
      </c>
      <c r="U35" s="715">
        <f t="shared" si="13"/>
        <v>100</v>
      </c>
      <c r="V35" s="714" t="s">
        <v>17</v>
      </c>
      <c r="W35" s="715">
        <f t="shared" si="14"/>
        <v>100</v>
      </c>
      <c r="X35" s="1509"/>
      <c r="Y35" s="3387" t="s">
        <v>2310</v>
      </c>
      <c r="Z35" s="1510" t="str">
        <f t="shared" si="15"/>
        <v>市政基础设施</v>
      </c>
      <c r="AA35" s="1507">
        <f t="shared" si="3"/>
        <v>1</v>
      </c>
      <c r="AB35" s="1507">
        <f t="shared" si="4"/>
        <v>1</v>
      </c>
      <c r="AC35" s="1507">
        <f t="shared" si="5"/>
        <v>1</v>
      </c>
    </row>
    <row r="36" spans="1:29" ht="15">
      <c r="A36" s="431"/>
      <c r="B36" s="381" t="s">
        <v>2413</v>
      </c>
      <c r="C36" s="419" t="s">
        <v>3147</v>
      </c>
      <c r="D36" s="394">
        <v>100</v>
      </c>
      <c r="E36" s="419" t="s">
        <v>3150</v>
      </c>
      <c r="F36" s="420">
        <f>SUMIF(104:104,E36,105:105)-SUMIF(104:104,C36,105:105)+100</f>
        <v>96</v>
      </c>
      <c r="G36" s="419" t="s">
        <v>3150</v>
      </c>
      <c r="H36" s="394">
        <f>SUMIF(104:104,G36,105:105)-SUMIF(104:104,C36,105:105)+100</f>
        <v>96</v>
      </c>
      <c r="I36" s="419" t="s">
        <v>3150</v>
      </c>
      <c r="J36" s="394">
        <f>SUMIF(104:104,I36,105:105)-SUMIF(104:104,C36,105:105)+100</f>
        <v>96</v>
      </c>
      <c r="K36" s="569">
        <v>2</v>
      </c>
      <c r="L36" s="1054"/>
      <c r="M36" s="1045"/>
      <c r="N36" s="1045"/>
      <c r="O36" s="1053"/>
      <c r="P36" s="3387"/>
      <c r="Q36" s="1506" t="str">
        <f t="shared" si="11"/>
        <v>内部装修</v>
      </c>
      <c r="R36" s="714" t="s">
        <v>17</v>
      </c>
      <c r="S36" s="715">
        <f t="shared" si="12"/>
        <v>96</v>
      </c>
      <c r="T36" s="714" t="s">
        <v>17</v>
      </c>
      <c r="U36" s="715">
        <f t="shared" si="13"/>
        <v>96</v>
      </c>
      <c r="V36" s="714" t="s">
        <v>17</v>
      </c>
      <c r="W36" s="715">
        <f t="shared" si="14"/>
        <v>96</v>
      </c>
      <c r="X36" s="1509"/>
      <c r="Y36" s="3387"/>
      <c r="Z36" s="1510" t="str">
        <f t="shared" si="15"/>
        <v>内部装修</v>
      </c>
      <c r="AA36" s="1507">
        <f t="shared" si="3"/>
        <v>1.0416666666666667</v>
      </c>
      <c r="AB36" s="1507">
        <f t="shared" si="4"/>
        <v>1.0416666666666667</v>
      </c>
      <c r="AC36" s="1507">
        <f t="shared" si="5"/>
        <v>1.0416666666666667</v>
      </c>
    </row>
    <row r="37" spans="1:29" ht="15">
      <c r="A37" s="431"/>
      <c r="B37" s="381" t="s">
        <v>2449</v>
      </c>
      <c r="C37" s="573" t="s">
        <v>3130</v>
      </c>
      <c r="D37" s="394">
        <v>100</v>
      </c>
      <c r="E37" s="573" t="s">
        <v>3130</v>
      </c>
      <c r="F37" s="420">
        <f>SUMIF(106:106,E37,107:107)-SUMIF(106:106,C37,107:107)+100</f>
        <v>100</v>
      </c>
      <c r="G37" s="573" t="s">
        <v>3130</v>
      </c>
      <c r="H37" s="394">
        <f>SUMIF(106:106,G37,107:107)-SUMIF(106:106,C37,107:107)+100</f>
        <v>100</v>
      </c>
      <c r="I37" s="573" t="s">
        <v>3130</v>
      </c>
      <c r="J37" s="394">
        <f>SUMIF(106:106,I37,107:107)-SUMIF(106:106,C37,107:107)+100</f>
        <v>100</v>
      </c>
      <c r="K37" s="569">
        <v>2</v>
      </c>
      <c r="L37" s="1054"/>
      <c r="M37" s="1045"/>
      <c r="N37" s="1045"/>
      <c r="O37" s="1053"/>
      <c r="P37" s="3387"/>
      <c r="Q37" s="1506" t="str">
        <f t="shared" si="11"/>
        <v>内部装修状况</v>
      </c>
      <c r="R37" s="714" t="s">
        <v>17</v>
      </c>
      <c r="S37" s="715">
        <f t="shared" si="12"/>
        <v>100</v>
      </c>
      <c r="T37" s="714" t="s">
        <v>17</v>
      </c>
      <c r="U37" s="715">
        <f t="shared" si="13"/>
        <v>100</v>
      </c>
      <c r="V37" s="714" t="s">
        <v>17</v>
      </c>
      <c r="W37" s="715">
        <f t="shared" si="14"/>
        <v>100</v>
      </c>
      <c r="X37" s="1509"/>
      <c r="Y37" s="3387"/>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87"/>
      <c r="Q38" s="716">
        <f t="shared" si="11"/>
        <v>111</v>
      </c>
      <c r="R38" s="717" t="s">
        <v>17</v>
      </c>
      <c r="S38" s="718">
        <f t="shared" si="12"/>
        <v>100</v>
      </c>
      <c r="T38" s="717" t="s">
        <v>17</v>
      </c>
      <c r="U38" s="718">
        <f t="shared" si="13"/>
        <v>100</v>
      </c>
      <c r="V38" s="717" t="s">
        <v>17</v>
      </c>
      <c r="W38" s="718">
        <f t="shared" si="14"/>
        <v>100</v>
      </c>
      <c r="X38" s="719"/>
      <c r="Y38" s="3387"/>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87"/>
      <c r="Q39" s="1506">
        <f t="shared" si="11"/>
        <v>111</v>
      </c>
      <c r="R39" s="714" t="s">
        <v>17</v>
      </c>
      <c r="S39" s="715">
        <f t="shared" si="12"/>
        <v>100</v>
      </c>
      <c r="T39" s="714" t="s">
        <v>17</v>
      </c>
      <c r="U39" s="715">
        <f t="shared" si="13"/>
        <v>100</v>
      </c>
      <c r="V39" s="714" t="s">
        <v>17</v>
      </c>
      <c r="W39" s="715">
        <f t="shared" si="14"/>
        <v>100</v>
      </c>
      <c r="X39" s="1509"/>
      <c r="Y39" s="3387"/>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88"/>
      <c r="Q40" s="1506">
        <f t="shared" si="11"/>
        <v>111</v>
      </c>
      <c r="R40" s="714" t="s">
        <v>17</v>
      </c>
      <c r="S40" s="715">
        <f t="shared" si="12"/>
        <v>100</v>
      </c>
      <c r="T40" s="714" t="s">
        <v>17</v>
      </c>
      <c r="U40" s="715">
        <f t="shared" si="13"/>
        <v>100</v>
      </c>
      <c r="V40" s="714" t="s">
        <v>17</v>
      </c>
      <c r="W40" s="715">
        <f t="shared" si="14"/>
        <v>100</v>
      </c>
      <c r="X40" s="1509"/>
      <c r="Y40" s="3388"/>
      <c r="Z40" s="1510">
        <f t="shared" si="15"/>
        <v>111</v>
      </c>
      <c r="AA40" s="1507">
        <f t="shared" si="3"/>
        <v>1</v>
      </c>
      <c r="AB40" s="1507">
        <f t="shared" si="4"/>
        <v>1</v>
      </c>
      <c r="AC40" s="1507">
        <f t="shared" si="5"/>
        <v>1</v>
      </c>
    </row>
    <row r="41" spans="1:29" ht="15">
      <c r="A41" s="438" t="s">
        <v>2322</v>
      </c>
      <c r="B41" s="439"/>
      <c r="C41" s="1288" t="s">
        <v>1</v>
      </c>
      <c r="D41" s="1289"/>
      <c r="E41" s="1290">
        <v>5810</v>
      </c>
      <c r="F41" s="1291"/>
      <c r="G41" s="1292">
        <v>5700</v>
      </c>
      <c r="H41" s="1293"/>
      <c r="I41" s="1290">
        <v>5373</v>
      </c>
      <c r="J41" s="1293"/>
      <c r="K41" s="723"/>
      <c r="L41" s="1057"/>
      <c r="M41" s="1058"/>
      <c r="N41" s="1045"/>
      <c r="O41" s="1058"/>
      <c r="P41" s="3379" t="str">
        <f>A41</f>
        <v>成交单价（元/平方米）</v>
      </c>
      <c r="Q41" s="3379"/>
      <c r="R41" s="3380">
        <f>E41</f>
        <v>5810</v>
      </c>
      <c r="S41" s="3380"/>
      <c r="T41" s="3380">
        <f>G41</f>
        <v>5700</v>
      </c>
      <c r="U41" s="3380"/>
      <c r="V41" s="3380">
        <f>I41</f>
        <v>5373</v>
      </c>
      <c r="W41" s="3380"/>
      <c r="X41" s="699"/>
      <c r="Y41" s="721"/>
      <c r="Z41" s="699"/>
      <c r="AA41" s="699"/>
      <c r="AB41" s="699"/>
      <c r="AC41" s="699"/>
    </row>
    <row r="42" spans="1:29" ht="15.75" thickBot="1">
      <c r="A42" s="445" t="s">
        <v>2414</v>
      </c>
      <c r="B42" s="446"/>
      <c r="C42" s="1294">
        <f>R43</f>
        <v>5746</v>
      </c>
      <c r="D42" s="2508" t="s">
        <v>2803</v>
      </c>
      <c r="E42" s="1295">
        <f>R42</f>
        <v>5876</v>
      </c>
      <c r="F42" s="2509"/>
      <c r="G42" s="1294">
        <f>T42</f>
        <v>5765</v>
      </c>
      <c r="H42" s="2509"/>
      <c r="I42" s="1295">
        <f>V42</f>
        <v>5597</v>
      </c>
      <c r="J42" s="2509"/>
      <c r="K42" s="2511">
        <f>F42+H42+J42</f>
        <v>0</v>
      </c>
      <c r="L42" s="1057"/>
      <c r="M42" s="1058"/>
      <c r="N42" s="1045"/>
      <c r="O42" s="1058"/>
      <c r="P42" s="3379" t="str">
        <f>A42</f>
        <v>比较价值（元/平方米）</v>
      </c>
      <c r="Q42" s="3379"/>
      <c r="R42" s="3380">
        <f>IF(F1="售价",ROUND(PRODUCT(R41,AA7:AA40),0),ROUND(PRODUCT(R41,AA7:AA40),1))</f>
        <v>5876</v>
      </c>
      <c r="S42" s="3380"/>
      <c r="T42" s="3380">
        <f>IF(F1="售价",ROUND(PRODUCT(T41,AB7:AB40),0),ROUND(PRODUCT(T41,AB7:AB40),1))</f>
        <v>5765</v>
      </c>
      <c r="U42" s="3380"/>
      <c r="V42" s="3380">
        <f>IF(F1="售价",ROUND(PRODUCT(V41,AC7:AC40),0),ROUND(PRODUCT(V41,AC7:AC40),1))</f>
        <v>5597</v>
      </c>
      <c r="W42" s="3380"/>
      <c r="X42" s="699"/>
      <c r="Y42" s="699"/>
      <c r="Z42" s="699"/>
      <c r="AA42" s="699"/>
      <c r="AB42" s="699"/>
      <c r="AC42" s="699"/>
    </row>
    <row r="43" spans="1:29" ht="15.75" thickBot="1">
      <c r="A43" s="449" t="s">
        <v>2415</v>
      </c>
      <c r="B43" s="450"/>
      <c r="C43" s="1297">
        <f>R43</f>
        <v>5746</v>
      </c>
      <c r="D43" s="1297"/>
      <c r="E43" s="1297"/>
      <c r="F43" s="1297"/>
      <c r="G43" s="1297"/>
      <c r="H43" s="1297"/>
      <c r="I43" s="1297"/>
      <c r="J43" s="1297"/>
      <c r="K43" s="724"/>
      <c r="L43" s="1057"/>
      <c r="M43" s="1058"/>
      <c r="N43" s="1058"/>
      <c r="O43" s="1058"/>
      <c r="P43" s="3381" t="str">
        <f>A43</f>
        <v>估价对象XX用房的比较价值（楼面单价，元/平方米）</v>
      </c>
      <c r="Q43" s="3382"/>
      <c r="R43" s="3383">
        <f>IF(F1="售价",ROUND(IF(D42="简单平均",AVERAGE(R42:V42),R42*F42+T42*H42+V42*J42),0),ROUND(IF(D42="简单平均",AVERAGE(R42:V42),R42*F42+T42*H42+V42*J42),1))</f>
        <v>5746</v>
      </c>
      <c r="S43" s="3383"/>
      <c r="T43" s="3383"/>
      <c r="U43" s="3383"/>
      <c r="V43" s="3383"/>
      <c r="W43" s="3383"/>
      <c r="X43" s="699"/>
      <c r="Y43" s="699"/>
      <c r="Z43" s="699"/>
      <c r="AA43" s="699"/>
      <c r="AB43" s="699"/>
      <c r="AC43" s="699"/>
    </row>
    <row r="44" spans="1:29">
      <c r="A44" s="2903"/>
      <c r="B44" s="2903"/>
      <c r="C44" s="2903"/>
      <c r="D44" s="2903"/>
      <c r="E44" s="2903"/>
      <c r="F44" s="2903"/>
      <c r="G44" s="2907"/>
      <c r="H44" s="2903"/>
      <c r="I44" s="2903"/>
      <c r="J44" s="2903"/>
      <c r="K44" s="2908"/>
      <c r="L44" s="1020"/>
      <c r="M44" s="1058"/>
      <c r="N44" s="1058"/>
      <c r="O44" s="1058"/>
    </row>
    <row r="45" spans="1:29">
      <c r="A45" s="2903"/>
      <c r="B45" s="2903"/>
      <c r="C45" s="2903"/>
      <c r="D45" s="2903"/>
      <c r="E45" s="2903"/>
      <c r="F45" s="2903"/>
      <c r="G45" s="2903"/>
      <c r="H45" s="2903"/>
      <c r="I45" s="2903"/>
      <c r="J45" s="2903"/>
      <c r="K45" s="2908"/>
      <c r="L45" s="1020"/>
      <c r="M45" s="1058"/>
      <c r="N45" s="1058"/>
      <c r="O45" s="1058"/>
    </row>
    <row r="46" spans="1:29" ht="13.5" customHeight="1">
      <c r="A46" s="2903"/>
      <c r="B46" s="2903"/>
      <c r="C46" s="454" t="s">
        <v>2416</v>
      </c>
      <c r="D46" s="455"/>
      <c r="E46" s="456">
        <f>IF(E41&lt;E42,E42/E41-1,E41/E42-1)</f>
        <v>1.1359724612736599E-2</v>
      </c>
      <c r="F46" s="457" t="str">
        <f>IF(OR(E46&gt;=0.3,E46&lt;=-0.3),"超过30%","")</f>
        <v/>
      </c>
      <c r="G46" s="456">
        <f>IF(G41&lt;G42,G42/G41-1,G41/G42-1)</f>
        <v>1.1403508771929749E-2</v>
      </c>
      <c r="H46" s="457" t="str">
        <f>IF(OR(G46&gt;=0.3,G46&lt;=-0.3),"超过30%","")</f>
        <v/>
      </c>
      <c r="I46" s="456">
        <f>IF(I41&lt;I42,I42/I41-1,I41/I42-1)</f>
        <v>4.1689931137167235E-2</v>
      </c>
      <c r="J46" s="457" t="str">
        <f>IF(OR(I46&gt;=0.3,I46&lt;=-0.3),"超过30%","")</f>
        <v/>
      </c>
      <c r="K46" s="2908"/>
      <c r="L46" s="1020"/>
      <c r="M46" s="1058"/>
      <c r="N46" s="1058"/>
      <c r="O46" s="1058"/>
    </row>
    <row r="47" spans="1:29" ht="13.5" customHeight="1">
      <c r="A47" s="2903"/>
      <c r="B47" s="2903"/>
      <c r="C47" s="454" t="s">
        <v>2417</v>
      </c>
      <c r="D47" s="458"/>
      <c r="E47" s="456">
        <f>IF(E42&lt;G42,G42/E42-1,E42/G42-1)</f>
        <v>1.9254119687771132E-2</v>
      </c>
      <c r="F47" s="457" t="str">
        <f>IF(OR(E47&gt;=0.2,E47&lt;=-0.2),"超过20%","")</f>
        <v/>
      </c>
      <c r="G47" s="456">
        <f>IF(G42&lt;I42,I42/G42-1,G42/I42-1)</f>
        <v>3.0016080042880144E-2</v>
      </c>
      <c r="H47" s="457" t="str">
        <f>IF(OR(G47&gt;=0.2,G47&lt;=-0.2),"超过20%","")</f>
        <v/>
      </c>
      <c r="I47" s="456">
        <f>IF(I42&lt;E42,E42/I42-1,I42/E42-1)</f>
        <v>4.9848132928354438E-2</v>
      </c>
      <c r="J47" s="457" t="str">
        <f>IF(OR(I47&gt;=0.2,I47&lt;=-0.2),"超过20%","")</f>
        <v/>
      </c>
      <c r="K47" s="2908"/>
      <c r="L47" s="1020"/>
      <c r="M47" s="1058"/>
      <c r="N47" s="1058"/>
      <c r="O47" s="1058"/>
    </row>
    <row r="48" spans="1:29" s="459" customFormat="1" ht="13.5" customHeight="1">
      <c r="A48" s="2906"/>
      <c r="B48" s="2906"/>
      <c r="C48" s="454" t="s">
        <v>2418</v>
      </c>
      <c r="D48" s="458"/>
      <c r="E48" s="456">
        <f>IF(E41&lt;G41,G41/E41-1,E41/G41-1)</f>
        <v>1.9298245614035148E-2</v>
      </c>
      <c r="F48" s="457" t="str">
        <f>IF(OR(E48&gt;=0.3,E48&lt;=-0.3),"超过30%","")</f>
        <v/>
      </c>
      <c r="G48" s="456">
        <f>IF(G41&lt;I41,I41/G41-1,G41/I41-1)</f>
        <v>6.085985482970413E-2</v>
      </c>
      <c r="H48" s="457" t="str">
        <f>IF(OR(G48&gt;=0.3,G48&lt;=-0.3),"超过30%","")</f>
        <v/>
      </c>
      <c r="I48" s="456">
        <f>IF(I41&lt;E41,E41/I41-1,I41/E41-1)</f>
        <v>8.1332588870277389E-2</v>
      </c>
      <c r="J48" s="457" t="str">
        <f>IF(OR(I48&gt;=0.3,I48&lt;=-0.3),"超过30%","")</f>
        <v/>
      </c>
      <c r="K48" s="2911"/>
      <c r="L48" s="1061"/>
      <c r="M48" s="1059"/>
      <c r="N48" s="1059"/>
      <c r="O48" s="1059"/>
    </row>
    <row r="49" spans="1:17" s="459" customFormat="1">
      <c r="A49" s="2906"/>
      <c r="B49" s="2909"/>
      <c r="C49" s="2910"/>
      <c r="D49" s="2906"/>
      <c r="E49" s="2906"/>
      <c r="F49" s="2906"/>
      <c r="G49" s="2906"/>
      <c r="H49" s="2906"/>
      <c r="I49" s="2906"/>
      <c r="J49" s="2906"/>
      <c r="K49" s="2911"/>
      <c r="L49" s="1061"/>
      <c r="M49" s="1059"/>
      <c r="N49" s="1059"/>
      <c r="O49" s="1059"/>
    </row>
    <row r="50" spans="1:17">
      <c r="A50" s="2903"/>
      <c r="B50" s="2909"/>
      <c r="C50" s="2910"/>
      <c r="D50" s="2903"/>
      <c r="E50" s="2903"/>
      <c r="F50" s="2903"/>
      <c r="G50" s="2903"/>
      <c r="H50" s="2903"/>
      <c r="I50" s="2903"/>
      <c r="J50" s="2903"/>
      <c r="K50" s="2908"/>
      <c r="L50" s="1020"/>
      <c r="M50" s="1058"/>
      <c r="N50" s="1058"/>
      <c r="O50" s="1058"/>
    </row>
    <row r="51" spans="1:17" ht="21.75" thickBot="1">
      <c r="A51" s="703" t="s">
        <v>2419</v>
      </c>
      <c r="B51" s="699"/>
      <c r="C51" s="704"/>
      <c r="D51" s="704"/>
      <c r="E51" s="704"/>
      <c r="F51" s="705"/>
      <c r="G51" s="705"/>
      <c r="H51" s="704"/>
      <c r="I51" s="704"/>
      <c r="J51" s="704"/>
      <c r="K51" s="1072"/>
      <c r="L51" s="1073"/>
      <c r="M51" s="1071"/>
      <c r="N51" s="1071"/>
      <c r="O51" s="1071"/>
      <c r="P51" s="460"/>
      <c r="Q51" s="461"/>
    </row>
    <row r="52" spans="1:17" s="465" customFormat="1" ht="15">
      <c r="A52" s="462" t="s">
        <v>2293</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f>C53</f>
        <v>100</v>
      </c>
      <c r="E53" s="469">
        <f t="shared" ref="E53:M53" si="17">D53</f>
        <v>100</v>
      </c>
      <c r="F53" s="469">
        <f t="shared" si="17"/>
        <v>100</v>
      </c>
      <c r="G53" s="469">
        <f t="shared" si="17"/>
        <v>100</v>
      </c>
      <c r="H53" s="469">
        <f t="shared" si="17"/>
        <v>100</v>
      </c>
      <c r="I53" s="469">
        <f t="shared" si="17"/>
        <v>100</v>
      </c>
      <c r="J53" s="469">
        <f t="shared" si="17"/>
        <v>100</v>
      </c>
      <c r="K53" s="469">
        <f t="shared" si="17"/>
        <v>100</v>
      </c>
      <c r="L53" s="469">
        <f t="shared" si="17"/>
        <v>100</v>
      </c>
      <c r="M53" s="469">
        <f t="shared" si="17"/>
        <v>100</v>
      </c>
      <c r="N53" s="469"/>
      <c r="O53" s="471"/>
      <c r="P53" s="461"/>
    </row>
    <row r="54" spans="1:17" s="113" customFormat="1" ht="15.75" thickBot="1">
      <c r="A54" s="472" t="s">
        <v>2330</v>
      </c>
      <c r="B54" s="473"/>
      <c r="C54" s="474"/>
      <c r="D54" s="475"/>
      <c r="E54" s="475"/>
      <c r="F54" s="475"/>
      <c r="G54" s="475"/>
      <c r="H54" s="475"/>
      <c r="I54" s="475"/>
      <c r="J54" s="475"/>
      <c r="K54" s="475"/>
      <c r="L54" s="475"/>
      <c r="M54" s="476"/>
      <c r="N54" s="2948"/>
      <c r="O54" s="2949"/>
      <c r="P54" s="461"/>
      <c r="Q54" s="461"/>
    </row>
    <row r="55" spans="1:17" s="113" customFormat="1" ht="15">
      <c r="A55" s="478" t="s">
        <v>2295</v>
      </c>
      <c r="B55" s="467"/>
      <c r="C55" s="479" t="s">
        <v>2397</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2333</v>
      </c>
      <c r="B57" s="485" t="s">
        <v>2299</v>
      </c>
      <c r="C57" s="486" t="str">
        <f>C9</f>
        <v>工业</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2302</v>
      </c>
      <c r="C59" s="496" t="s">
        <v>2334</v>
      </c>
      <c r="D59" s="496" t="s">
        <v>2335</v>
      </c>
      <c r="E59" s="496" t="s">
        <v>2336</v>
      </c>
      <c r="F59" s="496" t="s">
        <v>2337</v>
      </c>
      <c r="G59" s="496" t="s">
        <v>2338</v>
      </c>
      <c r="H59" s="496" t="s">
        <v>2339</v>
      </c>
      <c r="I59" s="496" t="s">
        <v>2340</v>
      </c>
      <c r="J59" s="496"/>
      <c r="K59" s="497"/>
      <c r="L59" s="498"/>
      <c r="M59" s="499"/>
      <c r="N59" s="1064"/>
      <c r="O59" s="1064"/>
      <c r="P59" s="45"/>
      <c r="Q59" s="461"/>
    </row>
    <row r="60" spans="1:17" ht="15.75" thickBot="1">
      <c r="A60" s="491"/>
      <c r="B60" s="500"/>
      <c r="C60" s="501" t="s">
        <v>24</v>
      </c>
      <c r="D60" s="501" t="s">
        <v>25</v>
      </c>
      <c r="E60" s="501">
        <v>100</v>
      </c>
      <c r="F60" s="501">
        <f>E60-$K10</f>
        <v>98</v>
      </c>
      <c r="G60" s="501">
        <f>F60-$K10</f>
        <v>96</v>
      </c>
      <c r="H60" s="501">
        <f>G60-$K10</f>
        <v>94</v>
      </c>
      <c r="I60" s="501">
        <f>H60-$K10</f>
        <v>92</v>
      </c>
      <c r="J60" s="501"/>
      <c r="K60" s="501"/>
      <c r="L60" s="501"/>
      <c r="M60" s="502"/>
      <c r="N60" s="1065"/>
      <c r="O60" s="1065"/>
      <c r="P60" s="45"/>
      <c r="Q60" s="461"/>
    </row>
    <row r="61" spans="1:17" ht="15.75" thickTop="1">
      <c r="A61" s="491"/>
      <c r="B61" s="503" t="s">
        <v>2303</v>
      </c>
      <c r="C61" s="504" t="str">
        <f>C62&amp;"（含）"&amp;"-"&amp;D62</f>
        <v>0（含）-1</v>
      </c>
      <c r="D61" s="504" t="str">
        <f t="shared" ref="D61:L61" si="18">D62&amp;"（含）"&amp;"-"&amp;E62</f>
        <v>1（含）-</v>
      </c>
      <c r="E61" s="504" t="str">
        <f t="shared" si="18"/>
        <v>（含）-</v>
      </c>
      <c r="F61" s="504" t="str">
        <f t="shared" si="18"/>
        <v>（含）-</v>
      </c>
      <c r="G61" s="504" t="str">
        <f t="shared" si="18"/>
        <v>（含）-</v>
      </c>
      <c r="H61" s="504" t="str">
        <f t="shared" si="18"/>
        <v>（含）-</v>
      </c>
      <c r="I61" s="504" t="str">
        <f t="shared" si="18"/>
        <v>（含）-</v>
      </c>
      <c r="J61" s="504" t="str">
        <f t="shared" si="18"/>
        <v>（含）-</v>
      </c>
      <c r="K61" s="504" t="str">
        <f t="shared" si="18"/>
        <v>（含）-</v>
      </c>
      <c r="L61" s="504" t="str">
        <f t="shared" si="18"/>
        <v>（含）-</v>
      </c>
      <c r="M61" s="407" t="str">
        <f>M62&amp;"（含）"&amp;"-"&amp;P62</f>
        <v>（含）-</v>
      </c>
      <c r="N61" s="1065"/>
      <c r="O61" s="1065"/>
      <c r="P61" s="45"/>
      <c r="Q61" s="461"/>
    </row>
    <row r="62" spans="1:17" ht="15">
      <c r="A62" s="491"/>
      <c r="B62" s="505"/>
      <c r="C62" s="506">
        <v>0</v>
      </c>
      <c r="D62" s="506">
        <v>1</v>
      </c>
      <c r="E62" s="506"/>
      <c r="F62" s="506"/>
      <c r="G62" s="506"/>
      <c r="H62" s="506"/>
      <c r="I62" s="506"/>
      <c r="J62" s="506"/>
      <c r="K62" s="507"/>
      <c r="L62" s="508"/>
      <c r="M62" s="509"/>
      <c r="N62" s="1064"/>
      <c r="O62" s="1064"/>
      <c r="P62" s="45"/>
      <c r="Q62" s="461"/>
    </row>
    <row r="63" spans="1:17" ht="15.75" thickBot="1">
      <c r="A63" s="491"/>
      <c r="B63" s="492"/>
      <c r="C63" s="501">
        <v>100</v>
      </c>
      <c r="D63" s="501">
        <f t="shared" ref="D63:M63" si="19">C63-$K11</f>
        <v>100</v>
      </c>
      <c r="E63" s="501">
        <f t="shared" si="19"/>
        <v>100</v>
      </c>
      <c r="F63" s="501">
        <f t="shared" si="19"/>
        <v>100</v>
      </c>
      <c r="G63" s="501">
        <f t="shared" si="19"/>
        <v>100</v>
      </c>
      <c r="H63" s="501">
        <f t="shared" si="19"/>
        <v>100</v>
      </c>
      <c r="I63" s="501">
        <f t="shared" si="19"/>
        <v>100</v>
      </c>
      <c r="J63" s="501">
        <f t="shared" si="19"/>
        <v>100</v>
      </c>
      <c r="K63" s="501">
        <f t="shared" si="19"/>
        <v>100</v>
      </c>
      <c r="L63" s="501">
        <f t="shared" si="19"/>
        <v>100</v>
      </c>
      <c r="M63" s="502">
        <f t="shared" si="19"/>
        <v>100</v>
      </c>
      <c r="N63" s="1065"/>
      <c r="O63" s="1065"/>
      <c r="P63" s="45"/>
      <c r="Q63" s="461"/>
    </row>
    <row r="64" spans="1:17" s="430" customFormat="1" ht="15.75" hidden="1" thickTop="1">
      <c r="A64" s="510"/>
      <c r="B64" s="495">
        <f>B12</f>
        <v>111</v>
      </c>
      <c r="C64" s="511"/>
      <c r="D64" s="511"/>
      <c r="E64" s="511"/>
      <c r="F64" s="511"/>
      <c r="G64" s="511"/>
      <c r="H64" s="512"/>
      <c r="I64" s="512"/>
      <c r="J64" s="512"/>
      <c r="K64" s="512"/>
      <c r="L64" s="513"/>
      <c r="M64" s="514"/>
      <c r="N64" s="1066"/>
      <c r="O64" s="1066"/>
      <c r="P64" s="515"/>
      <c r="Q64" s="516"/>
    </row>
    <row r="65" spans="1:17" s="430" customFormat="1" ht="15.75" hidden="1" thickBot="1">
      <c r="A65" s="510"/>
      <c r="B65" s="500"/>
      <c r="C65" s="517"/>
      <c r="D65" s="493"/>
      <c r="E65" s="493"/>
      <c r="F65" s="493"/>
      <c r="G65" s="493"/>
      <c r="H65" s="493"/>
      <c r="I65" s="493"/>
      <c r="J65" s="493"/>
      <c r="K65" s="493"/>
      <c r="L65" s="493"/>
      <c r="M65" s="494"/>
      <c r="N65" s="1065"/>
      <c r="O65" s="1065"/>
      <c r="P65" s="515"/>
      <c r="Q65" s="516"/>
    </row>
    <row r="66" spans="1:17" s="430" customFormat="1" ht="15.75" hidden="1" thickTop="1">
      <c r="A66" s="510"/>
      <c r="B66" s="495">
        <f>B13</f>
        <v>111</v>
      </c>
      <c r="C66" s="511"/>
      <c r="D66" s="511"/>
      <c r="E66" s="511"/>
      <c r="F66" s="511"/>
      <c r="G66" s="511"/>
      <c r="H66" s="512"/>
      <c r="I66" s="512"/>
      <c r="J66" s="512"/>
      <c r="K66" s="512"/>
      <c r="L66" s="513"/>
      <c r="M66" s="514"/>
      <c r="N66" s="1066"/>
      <c r="O66" s="1066"/>
      <c r="P66" s="429"/>
      <c r="Q66" s="518"/>
    </row>
    <row r="67" spans="1:17" s="430" customFormat="1" ht="15.75" hidden="1" thickBot="1">
      <c r="A67" s="510"/>
      <c r="B67" s="500"/>
      <c r="C67" s="517"/>
      <c r="D67" s="493"/>
      <c r="E67" s="493"/>
      <c r="F67" s="493"/>
      <c r="G67" s="517"/>
      <c r="H67" s="519"/>
      <c r="I67" s="519"/>
      <c r="J67" s="519"/>
      <c r="K67" s="519"/>
      <c r="L67" s="519"/>
      <c r="M67" s="520"/>
      <c r="N67" s="1066"/>
      <c r="O67" s="1066"/>
      <c r="P67" s="515"/>
      <c r="Q67" s="516"/>
    </row>
    <row r="68" spans="1:17" s="430" customFormat="1" ht="15.75" hidden="1" thickTop="1">
      <c r="A68" s="510"/>
      <c r="B68" s="503">
        <f>B14</f>
        <v>111</v>
      </c>
      <c r="C68" s="480"/>
      <c r="D68" s="480"/>
      <c r="E68" s="480"/>
      <c r="F68" s="480"/>
      <c r="G68" s="480"/>
      <c r="H68" s="521"/>
      <c r="I68" s="521"/>
      <c r="J68" s="521"/>
      <c r="K68" s="521"/>
      <c r="L68" s="522"/>
      <c r="M68" s="523"/>
      <c r="N68" s="1066"/>
      <c r="O68" s="1066"/>
      <c r="P68" s="524"/>
      <c r="Q68" s="516"/>
    </row>
    <row r="69" spans="1:17" s="430" customFormat="1" ht="15.75" hidden="1" thickBot="1">
      <c r="A69" s="525"/>
      <c r="B69" s="526"/>
      <c r="C69" s="527"/>
      <c r="D69" s="527"/>
      <c r="E69" s="527"/>
      <c r="F69" s="527"/>
      <c r="G69" s="527"/>
      <c r="H69" s="528"/>
      <c r="I69" s="528"/>
      <c r="J69" s="528"/>
      <c r="K69" s="528"/>
      <c r="L69" s="528"/>
      <c r="M69" s="529"/>
      <c r="N69" s="1066"/>
      <c r="O69" s="1066"/>
      <c r="P69" s="515"/>
      <c r="Q69" s="516"/>
    </row>
    <row r="70" spans="1:17" ht="15" thickTop="1">
      <c r="A70" s="484" t="s">
        <v>2304</v>
      </c>
      <c r="B70" s="485" t="s">
        <v>2450</v>
      </c>
      <c r="C70" s="530" t="s">
        <v>2342</v>
      </c>
      <c r="D70" s="530" t="s">
        <v>2343</v>
      </c>
      <c r="E70" s="530" t="s">
        <v>2344</v>
      </c>
      <c r="F70" s="530" t="s">
        <v>2345</v>
      </c>
      <c r="G70" s="530" t="s">
        <v>2346</v>
      </c>
      <c r="H70" s="486"/>
      <c r="I70" s="486"/>
      <c r="J70" s="486"/>
      <c r="K70" s="531"/>
      <c r="L70" s="532"/>
      <c r="M70" s="533"/>
      <c r="N70" s="1064"/>
      <c r="O70" s="1064"/>
      <c r="P70" s="534"/>
      <c r="Q70" s="461"/>
    </row>
    <row r="71" spans="1:17" ht="15.75" thickBot="1">
      <c r="A71" s="491"/>
      <c r="B71" s="500"/>
      <c r="C71" s="501">
        <v>100</v>
      </c>
      <c r="D71" s="501">
        <f>C71-$K15</f>
        <v>98</v>
      </c>
      <c r="E71" s="501">
        <f>D71-$K15</f>
        <v>96</v>
      </c>
      <c r="F71" s="501">
        <f>E71-$K15</f>
        <v>94</v>
      </c>
      <c r="G71" s="501">
        <f>F71-$K15</f>
        <v>92</v>
      </c>
      <c r="H71" s="501"/>
      <c r="I71" s="501"/>
      <c r="J71" s="501"/>
      <c r="K71" s="501"/>
      <c r="L71" s="501"/>
      <c r="M71" s="502"/>
      <c r="N71" s="1065"/>
      <c r="O71" s="1065"/>
      <c r="P71" s="45"/>
      <c r="Q71" s="461"/>
    </row>
    <row r="72" spans="1:17" ht="15.75" thickTop="1">
      <c r="A72" s="491"/>
      <c r="B72" s="495" t="s">
        <v>2347</v>
      </c>
      <c r="C72" s="535" t="s">
        <v>2342</v>
      </c>
      <c r="D72" s="535" t="s">
        <v>2343</v>
      </c>
      <c r="E72" s="535" t="s">
        <v>2344</v>
      </c>
      <c r="F72" s="535" t="s">
        <v>2345</v>
      </c>
      <c r="G72" s="535" t="s">
        <v>2346</v>
      </c>
      <c r="H72" s="496"/>
      <c r="I72" s="496"/>
      <c r="J72" s="496"/>
      <c r="K72" s="497"/>
      <c r="L72" s="498"/>
      <c r="M72" s="499"/>
      <c r="N72" s="1064"/>
      <c r="O72" s="1064"/>
      <c r="P72" s="45"/>
      <c r="Q72" s="461"/>
    </row>
    <row r="73" spans="1:17" ht="15.75" thickBot="1">
      <c r="A73" s="491"/>
      <c r="B73" s="500"/>
      <c r="C73" s="501">
        <v>100</v>
      </c>
      <c r="D73" s="501">
        <f>C73-$K17</f>
        <v>98</v>
      </c>
      <c r="E73" s="501">
        <f>D73-$K17</f>
        <v>96</v>
      </c>
      <c r="F73" s="501">
        <f>E73-$K17</f>
        <v>94</v>
      </c>
      <c r="G73" s="501">
        <f>F73-$K17</f>
        <v>92</v>
      </c>
      <c r="H73" s="501"/>
      <c r="I73" s="501"/>
      <c r="J73" s="501"/>
      <c r="K73" s="501"/>
      <c r="L73" s="501"/>
      <c r="M73" s="502"/>
      <c r="N73" s="1065"/>
      <c r="O73" s="1065"/>
      <c r="P73" s="45"/>
      <c r="Q73" s="461"/>
    </row>
    <row r="74" spans="1:17" ht="15.75" thickTop="1">
      <c r="A74" s="491"/>
      <c r="B74" s="495" t="s">
        <v>2348</v>
      </c>
      <c r="C74" s="535" t="s">
        <v>2342</v>
      </c>
      <c r="D74" s="535" t="s">
        <v>2343</v>
      </c>
      <c r="E74" s="535" t="s">
        <v>2344</v>
      </c>
      <c r="F74" s="535" t="s">
        <v>2345</v>
      </c>
      <c r="G74" s="535" t="s">
        <v>2346</v>
      </c>
      <c r="H74" s="496"/>
      <c r="I74" s="496"/>
      <c r="J74" s="496"/>
      <c r="K74" s="497"/>
      <c r="L74" s="498"/>
      <c r="M74" s="499"/>
      <c r="N74" s="1064"/>
      <c r="O74" s="1064"/>
      <c r="P74" s="45"/>
      <c r="Q74" s="461"/>
    </row>
    <row r="75" spans="1:17" ht="15.75" thickBot="1">
      <c r="A75" s="491"/>
      <c r="B75" s="500"/>
      <c r="C75" s="501">
        <v>100</v>
      </c>
      <c r="D75" s="501">
        <f>C75-$K19</f>
        <v>98</v>
      </c>
      <c r="E75" s="501">
        <f>D75-$K19</f>
        <v>96</v>
      </c>
      <c r="F75" s="501">
        <f>E75-$K19</f>
        <v>94</v>
      </c>
      <c r="G75" s="501">
        <f>F75-$K19</f>
        <v>92</v>
      </c>
      <c r="H75" s="501"/>
      <c r="I75" s="501"/>
      <c r="J75" s="501"/>
      <c r="K75" s="501"/>
      <c r="L75" s="501"/>
      <c r="M75" s="502"/>
      <c r="N75" s="1065"/>
      <c r="O75" s="1065"/>
      <c r="P75" s="45"/>
      <c r="Q75" s="461"/>
    </row>
    <row r="76" spans="1:17" ht="15.75" thickTop="1">
      <c r="A76" s="491"/>
      <c r="B76" s="503" t="s">
        <v>2434</v>
      </c>
      <c r="C76" s="616" t="s">
        <v>2420</v>
      </c>
      <c r="D76" s="616" t="s">
        <v>2421</v>
      </c>
      <c r="E76" s="616" t="s">
        <v>2422</v>
      </c>
      <c r="F76" s="616" t="s">
        <v>2423</v>
      </c>
      <c r="G76" s="616" t="s">
        <v>2424</v>
      </c>
      <c r="H76" s="496"/>
      <c r="I76" s="496"/>
      <c r="J76" s="496"/>
      <c r="K76" s="496"/>
      <c r="L76" s="496"/>
      <c r="M76" s="1263"/>
      <c r="N76" s="1065"/>
      <c r="O76" s="1065"/>
      <c r="P76" s="45"/>
      <c r="Q76" s="461"/>
    </row>
    <row r="77" spans="1:17" ht="15.75" thickBot="1">
      <c r="A77" s="491"/>
      <c r="B77" s="503"/>
      <c r="C77" s="501">
        <v>100</v>
      </c>
      <c r="D77" s="501">
        <f>C77-$K21</f>
        <v>98</v>
      </c>
      <c r="E77" s="501">
        <f>D77-$K21</f>
        <v>96</v>
      </c>
      <c r="F77" s="501">
        <f>E77-$K21</f>
        <v>94</v>
      </c>
      <c r="G77" s="501">
        <f>F77-$K21</f>
        <v>92</v>
      </c>
      <c r="H77" s="616"/>
      <c r="I77" s="616"/>
      <c r="J77" s="616"/>
      <c r="K77" s="616"/>
      <c r="L77" s="616"/>
      <c r="M77" s="409"/>
      <c r="N77" s="1065"/>
      <c r="O77" s="1065"/>
      <c r="P77" s="45"/>
      <c r="Q77" s="461"/>
    </row>
    <row r="78" spans="1:17" ht="15.75" thickTop="1">
      <c r="A78" s="491"/>
      <c r="B78" s="495" t="s">
        <v>2443</v>
      </c>
      <c r="C78" s="535" t="s">
        <v>2342</v>
      </c>
      <c r="D78" s="535" t="s">
        <v>2343</v>
      </c>
      <c r="E78" s="535" t="s">
        <v>2344</v>
      </c>
      <c r="F78" s="535" t="s">
        <v>2345</v>
      </c>
      <c r="G78" s="535" t="s">
        <v>2346</v>
      </c>
      <c r="H78" s="496"/>
      <c r="I78" s="496"/>
      <c r="J78" s="496"/>
      <c r="K78" s="497"/>
      <c r="L78" s="498"/>
      <c r="M78" s="499"/>
      <c r="N78" s="1064"/>
      <c r="O78" s="1064"/>
      <c r="P78" s="45"/>
      <c r="Q78" s="461"/>
    </row>
    <row r="79" spans="1:17" ht="15.75" thickBot="1">
      <c r="A79" s="491"/>
      <c r="B79" s="500"/>
      <c r="C79" s="501">
        <v>100</v>
      </c>
      <c r="D79" s="501">
        <f>C79-$K23</f>
        <v>98</v>
      </c>
      <c r="E79" s="501">
        <f>D79-$K23</f>
        <v>96</v>
      </c>
      <c r="F79" s="501">
        <f>E79-$K23</f>
        <v>94</v>
      </c>
      <c r="G79" s="501">
        <f>F79-$K23</f>
        <v>92</v>
      </c>
      <c r="H79" s="501"/>
      <c r="I79" s="501"/>
      <c r="J79" s="501"/>
      <c r="K79" s="501"/>
      <c r="L79" s="501"/>
      <c r="M79" s="502"/>
      <c r="N79" s="1065"/>
      <c r="O79" s="1065"/>
      <c r="P79" s="45"/>
      <c r="Q79" s="461"/>
    </row>
    <row r="80" spans="1:17" s="113" customFormat="1" ht="15.75" hidden="1" thickTop="1">
      <c r="A80" s="536"/>
      <c r="B80" s="495">
        <f>B25</f>
        <v>111</v>
      </c>
      <c r="C80" s="511"/>
      <c r="D80" s="511"/>
      <c r="E80" s="511"/>
      <c r="F80" s="511"/>
      <c r="G80" s="511"/>
      <c r="H80" s="511"/>
      <c r="I80" s="511"/>
      <c r="J80" s="511"/>
      <c r="K80" s="511"/>
      <c r="L80" s="537"/>
      <c r="M80" s="538"/>
      <c r="N80" s="1063"/>
      <c r="O80" s="1063"/>
      <c r="P80" s="45"/>
      <c r="Q80" s="461"/>
    </row>
    <row r="81" spans="1:17" s="113" customFormat="1" ht="15.75" hidden="1" thickBot="1">
      <c r="A81" s="536"/>
      <c r="B81" s="500"/>
      <c r="C81" s="517"/>
      <c r="D81" s="493"/>
      <c r="E81" s="493"/>
      <c r="F81" s="493"/>
      <c r="G81" s="493"/>
      <c r="H81" s="493"/>
      <c r="I81" s="493"/>
      <c r="J81" s="493"/>
      <c r="K81" s="493"/>
      <c r="L81" s="493"/>
      <c r="M81" s="494"/>
      <c r="N81" s="1065"/>
      <c r="O81" s="1065"/>
      <c r="P81" s="45"/>
      <c r="Q81" s="461"/>
    </row>
    <row r="82" spans="1:17" s="113" customFormat="1" ht="15.75" hidden="1" thickTop="1">
      <c r="A82" s="536"/>
      <c r="B82" s="495">
        <f>B26</f>
        <v>111</v>
      </c>
      <c r="C82" s="511"/>
      <c r="D82" s="511"/>
      <c r="E82" s="511"/>
      <c r="F82" s="511"/>
      <c r="G82" s="511"/>
      <c r="H82" s="511"/>
      <c r="I82" s="511"/>
      <c r="J82" s="511"/>
      <c r="K82" s="511"/>
      <c r="L82" s="537"/>
      <c r="M82" s="538"/>
      <c r="N82" s="1063"/>
      <c r="O82" s="1063"/>
      <c r="P82" s="45"/>
      <c r="Q82" s="461"/>
    </row>
    <row r="83" spans="1:17" s="113" customFormat="1" ht="15.75" hidden="1" thickBot="1">
      <c r="A83" s="536"/>
      <c r="B83" s="500"/>
      <c r="C83" s="517"/>
      <c r="D83" s="493"/>
      <c r="E83" s="493"/>
      <c r="F83" s="493"/>
      <c r="G83" s="493"/>
      <c r="H83" s="493"/>
      <c r="I83" s="493"/>
      <c r="J83" s="493"/>
      <c r="K83" s="493"/>
      <c r="L83" s="493"/>
      <c r="M83" s="494"/>
      <c r="N83" s="1065"/>
      <c r="O83" s="1065"/>
      <c r="P83" s="45"/>
      <c r="Q83" s="461"/>
    </row>
    <row r="84" spans="1:17" s="430" customFormat="1" ht="15.75" hidden="1" thickTop="1">
      <c r="A84" s="510"/>
      <c r="B84" s="495">
        <f>B27</f>
        <v>111</v>
      </c>
      <c r="C84" s="511"/>
      <c r="D84" s="511"/>
      <c r="E84" s="511"/>
      <c r="F84" s="511"/>
      <c r="G84" s="511"/>
      <c r="H84" s="511"/>
      <c r="I84" s="511"/>
      <c r="J84" s="511"/>
      <c r="K84" s="511"/>
      <c r="L84" s="537"/>
      <c r="M84" s="538"/>
      <c r="N84" s="1066"/>
      <c r="O84" s="1066"/>
      <c r="P84" s="515"/>
      <c r="Q84" s="516"/>
    </row>
    <row r="85" spans="1:17" s="430" customFormat="1" ht="15.75" hidden="1" thickBot="1">
      <c r="A85" s="510"/>
      <c r="B85" s="500"/>
      <c r="C85" s="517"/>
      <c r="D85" s="493"/>
      <c r="E85" s="493"/>
      <c r="F85" s="493"/>
      <c r="G85" s="493"/>
      <c r="H85" s="493"/>
      <c r="I85" s="493"/>
      <c r="J85" s="493"/>
      <c r="K85" s="493"/>
      <c r="L85" s="493"/>
      <c r="M85" s="494"/>
      <c r="N85" s="1066"/>
      <c r="O85" s="1066"/>
      <c r="P85" s="515"/>
      <c r="Q85" s="516"/>
    </row>
    <row r="86" spans="1:17" ht="15.75" hidden="1" thickTop="1">
      <c r="A86" s="491"/>
      <c r="B86" s="503">
        <f>B28</f>
        <v>111</v>
      </c>
      <c r="C86" s="480"/>
      <c r="D86" s="480"/>
      <c r="E86" s="480"/>
      <c r="F86" s="480"/>
      <c r="G86" s="544"/>
      <c r="H86" s="544"/>
      <c r="I86" s="544"/>
      <c r="J86" s="544"/>
      <c r="K86" s="545"/>
      <c r="L86" s="546"/>
      <c r="M86" s="547"/>
      <c r="N86" s="1064"/>
      <c r="O86" s="1064"/>
      <c r="P86" s="45"/>
      <c r="Q86" s="461"/>
    </row>
    <row r="87" spans="1:17" ht="15.75" hidden="1" thickBot="1">
      <c r="A87" s="2084"/>
      <c r="B87" s="526"/>
      <c r="C87" s="527"/>
      <c r="D87" s="527"/>
      <c r="E87" s="527"/>
      <c r="F87" s="527"/>
      <c r="G87" s="548"/>
      <c r="H87" s="548"/>
      <c r="I87" s="548"/>
      <c r="J87" s="548"/>
      <c r="K87" s="548"/>
      <c r="L87" s="548"/>
      <c r="M87" s="549"/>
      <c r="N87" s="1065"/>
      <c r="O87" s="1065"/>
      <c r="P87" s="45"/>
      <c r="Q87" s="461"/>
    </row>
    <row r="88" spans="1:17" ht="15" thickTop="1">
      <c r="A88" s="484" t="s">
        <v>2308</v>
      </c>
      <c r="B88" s="485" t="s">
        <v>2357</v>
      </c>
      <c r="C88" s="3195" t="s">
        <v>3144</v>
      </c>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20">C89-$K29</f>
        <v>97</v>
      </c>
      <c r="E89" s="501">
        <f t="shared" si="20"/>
        <v>94</v>
      </c>
      <c r="F89" s="501">
        <f t="shared" si="20"/>
        <v>91</v>
      </c>
      <c r="G89" s="501">
        <f t="shared" si="20"/>
        <v>88</v>
      </c>
      <c r="H89" s="501">
        <f t="shared" si="20"/>
        <v>85</v>
      </c>
      <c r="I89" s="501">
        <f t="shared" si="20"/>
        <v>82</v>
      </c>
      <c r="J89" s="501">
        <f t="shared" si="20"/>
        <v>79</v>
      </c>
      <c r="K89" s="501">
        <f t="shared" si="20"/>
        <v>76</v>
      </c>
      <c r="L89" s="501">
        <f t="shared" si="20"/>
        <v>73</v>
      </c>
      <c r="M89" s="502">
        <f t="shared" si="20"/>
        <v>70</v>
      </c>
      <c r="N89" s="1065"/>
      <c r="O89" s="1065"/>
      <c r="P89" s="45"/>
      <c r="Q89" s="461"/>
    </row>
    <row r="90" spans="1:17" ht="29.25" thickTop="1">
      <c r="A90" s="491"/>
      <c r="B90" s="495" t="s">
        <v>2358</v>
      </c>
      <c r="C90" s="535" t="str">
        <f>C91&amp;"(含)"&amp;"-"&amp;D91</f>
        <v>0(含)-500</v>
      </c>
      <c r="D90" s="535" t="str">
        <f t="shared" ref="D90:L90" si="21">D91&amp;"(含)"&amp;"-"&amp;E91</f>
        <v>500(含)-1000</v>
      </c>
      <c r="E90" s="535" t="str">
        <f t="shared" si="21"/>
        <v>1000(含)-1500</v>
      </c>
      <c r="F90" s="535" t="str">
        <f t="shared" si="21"/>
        <v>1500(含)-2000</v>
      </c>
      <c r="G90" s="535" t="str">
        <f t="shared" si="21"/>
        <v>2000(含)-</v>
      </c>
      <c r="H90" s="535" t="str">
        <f t="shared" si="21"/>
        <v>(含)-</v>
      </c>
      <c r="I90" s="535" t="str">
        <f t="shared" si="21"/>
        <v>(含)-</v>
      </c>
      <c r="J90" s="535" t="str">
        <f t="shared" si="21"/>
        <v>(含)-</v>
      </c>
      <c r="K90" s="535" t="str">
        <f t="shared" si="21"/>
        <v>(含)-</v>
      </c>
      <c r="L90" s="535" t="str">
        <f t="shared" si="21"/>
        <v>(含)-</v>
      </c>
      <c r="M90" s="578" t="str">
        <f>M91&amp;"(含)"&amp;"-"&amp;P91</f>
        <v>(含)-</v>
      </c>
      <c r="N90" s="1063"/>
      <c r="O90" s="1063"/>
      <c r="P90" s="45"/>
      <c r="Q90" s="461"/>
    </row>
    <row r="91" spans="1:17" s="430" customFormat="1">
      <c r="A91" s="550"/>
      <c r="B91" s="551"/>
      <c r="C91" s="9">
        <v>0</v>
      </c>
      <c r="D91" s="9">
        <v>500</v>
      </c>
      <c r="E91" s="9">
        <v>1000</v>
      </c>
      <c r="F91" s="9">
        <v>1500</v>
      </c>
      <c r="G91" s="552">
        <v>2000</v>
      </c>
      <c r="H91" s="552"/>
      <c r="I91" s="552"/>
      <c r="J91" s="553"/>
      <c r="K91" s="553"/>
      <c r="L91" s="554"/>
      <c r="M91" s="555"/>
      <c r="N91" s="1066"/>
      <c r="O91" s="1066"/>
      <c r="P91" s="515"/>
      <c r="Q91" s="516"/>
    </row>
    <row r="92" spans="1:17" s="430" customFormat="1" ht="15.75" thickBot="1">
      <c r="A92" s="510"/>
      <c r="B92" s="500"/>
      <c r="C92" s="3191">
        <v>100</v>
      </c>
      <c r="D92" s="3192">
        <v>99</v>
      </c>
      <c r="E92" s="3192">
        <v>98</v>
      </c>
      <c r="F92" s="3192">
        <v>97</v>
      </c>
      <c r="G92" s="493">
        <v>96</v>
      </c>
      <c r="H92" s="493"/>
      <c r="I92" s="493"/>
      <c r="J92" s="493"/>
      <c r="K92" s="493"/>
      <c r="L92" s="493"/>
      <c r="M92" s="494"/>
      <c r="N92" s="1065"/>
      <c r="O92" s="1065"/>
      <c r="P92" s="515"/>
      <c r="Q92" s="516"/>
    </row>
    <row r="93" spans="1:17" ht="15" thickTop="1">
      <c r="A93" s="556"/>
      <c r="B93" s="495" t="s">
        <v>2359</v>
      </c>
      <c r="C93" s="3196" t="s">
        <v>3145</v>
      </c>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2">C94-$K31</f>
        <v>98</v>
      </c>
      <c r="E94" s="501">
        <f t="shared" si="22"/>
        <v>96</v>
      </c>
      <c r="F94" s="501">
        <f t="shared" si="22"/>
        <v>94</v>
      </c>
      <c r="G94" s="501">
        <f t="shared" si="22"/>
        <v>92</v>
      </c>
      <c r="H94" s="501">
        <f t="shared" si="22"/>
        <v>90</v>
      </c>
      <c r="I94" s="501">
        <f t="shared" si="22"/>
        <v>88</v>
      </c>
      <c r="J94" s="501">
        <f t="shared" si="22"/>
        <v>86</v>
      </c>
      <c r="K94" s="501">
        <f t="shared" si="22"/>
        <v>84</v>
      </c>
      <c r="L94" s="501">
        <f t="shared" si="22"/>
        <v>82</v>
      </c>
      <c r="M94" s="502">
        <f t="shared" si="22"/>
        <v>80</v>
      </c>
      <c r="N94" s="1065"/>
      <c r="O94" s="1065"/>
      <c r="P94" s="45"/>
      <c r="Q94" s="461"/>
    </row>
    <row r="95" spans="1:17" ht="15" thickTop="1">
      <c r="A95" s="556"/>
      <c r="B95" s="495" t="s">
        <v>2361</v>
      </c>
      <c r="C95" s="3196" t="s">
        <v>3146</v>
      </c>
      <c r="D95" s="3196" t="s">
        <v>3148</v>
      </c>
      <c r="E95" s="3196" t="s">
        <v>3149</v>
      </c>
      <c r="F95" s="3197" t="s">
        <v>3151</v>
      </c>
      <c r="G95" s="540"/>
      <c r="H95" s="540"/>
      <c r="I95" s="540"/>
      <c r="J95" s="540"/>
      <c r="K95" s="541"/>
      <c r="L95" s="542"/>
      <c r="M95" s="543"/>
      <c r="N95" s="1064"/>
      <c r="O95" s="1064"/>
      <c r="P95" s="45"/>
      <c r="Q95" s="461"/>
    </row>
    <row r="96" spans="1:17" ht="15.75" thickBot="1">
      <c r="A96" s="491"/>
      <c r="B96" s="500"/>
      <c r="C96" s="501">
        <v>100</v>
      </c>
      <c r="D96" s="501">
        <f t="shared" ref="D96:M96" si="23">C96-$K32</f>
        <v>98</v>
      </c>
      <c r="E96" s="501">
        <f t="shared" si="23"/>
        <v>96</v>
      </c>
      <c r="F96" s="501">
        <f t="shared" si="23"/>
        <v>94</v>
      </c>
      <c r="G96" s="501">
        <f t="shared" si="23"/>
        <v>92</v>
      </c>
      <c r="H96" s="501">
        <f t="shared" si="23"/>
        <v>90</v>
      </c>
      <c r="I96" s="501">
        <f t="shared" si="23"/>
        <v>88</v>
      </c>
      <c r="J96" s="501">
        <f t="shared" si="23"/>
        <v>86</v>
      </c>
      <c r="K96" s="501">
        <f t="shared" si="23"/>
        <v>84</v>
      </c>
      <c r="L96" s="501">
        <f t="shared" si="23"/>
        <v>82</v>
      </c>
      <c r="M96" s="502">
        <f t="shared" si="23"/>
        <v>80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102</v>
      </c>
      <c r="E99" s="501">
        <f t="shared" ref="E99:M99" si="24">D99+$K33</f>
        <v>104</v>
      </c>
      <c r="F99" s="501">
        <f t="shared" si="24"/>
        <v>106</v>
      </c>
      <c r="G99" s="501">
        <f t="shared" si="24"/>
        <v>108</v>
      </c>
      <c r="H99" s="501">
        <f t="shared" si="24"/>
        <v>110</v>
      </c>
      <c r="I99" s="501">
        <f t="shared" si="24"/>
        <v>112</v>
      </c>
      <c r="J99" s="501">
        <f t="shared" si="24"/>
        <v>114</v>
      </c>
      <c r="K99" s="501">
        <f t="shared" si="24"/>
        <v>116</v>
      </c>
      <c r="L99" s="501">
        <f t="shared" si="24"/>
        <v>118</v>
      </c>
      <c r="M99" s="501">
        <f t="shared" si="24"/>
        <v>120</v>
      </c>
      <c r="N99" s="1065"/>
      <c r="O99" s="1065"/>
      <c r="P99" s="45"/>
      <c r="Q99" s="461"/>
    </row>
    <row r="100" spans="1:17" s="430" customFormat="1" ht="15" thickTop="1">
      <c r="A100" s="550"/>
      <c r="B100" s="495" t="s">
        <v>2362</v>
      </c>
      <c r="C100" s="3196" t="s">
        <v>3156</v>
      </c>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98</v>
      </c>
      <c r="E101" s="501">
        <f t="shared" ref="E101:M101" si="25">D101-$K34</f>
        <v>96</v>
      </c>
      <c r="F101" s="501">
        <f t="shared" si="25"/>
        <v>94</v>
      </c>
      <c r="G101" s="501">
        <f t="shared" si="25"/>
        <v>92</v>
      </c>
      <c r="H101" s="501">
        <f t="shared" si="25"/>
        <v>90</v>
      </c>
      <c r="I101" s="501">
        <f t="shared" si="25"/>
        <v>88</v>
      </c>
      <c r="J101" s="501">
        <f t="shared" si="25"/>
        <v>86</v>
      </c>
      <c r="K101" s="501">
        <f t="shared" si="25"/>
        <v>84</v>
      </c>
      <c r="L101" s="501">
        <f t="shared" si="25"/>
        <v>82</v>
      </c>
      <c r="M101" s="501">
        <f t="shared" si="25"/>
        <v>80</v>
      </c>
      <c r="N101" s="1066"/>
      <c r="O101" s="1066"/>
      <c r="P101" s="515"/>
      <c r="Q101" s="516"/>
    </row>
    <row r="102" spans="1:17" ht="15" thickTop="1">
      <c r="A102" s="556"/>
      <c r="B102" s="495" t="s">
        <v>2363</v>
      </c>
      <c r="C102" s="3196" t="s">
        <v>3152</v>
      </c>
      <c r="D102" s="3196" t="s">
        <v>3153</v>
      </c>
      <c r="E102" s="3196" t="s">
        <v>3154</v>
      </c>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6">C103-$K35</f>
        <v>98</v>
      </c>
      <c r="E103" s="501">
        <f t="shared" si="26"/>
        <v>96</v>
      </c>
      <c r="F103" s="501">
        <f t="shared" si="26"/>
        <v>94</v>
      </c>
      <c r="G103" s="501">
        <f t="shared" si="26"/>
        <v>92</v>
      </c>
      <c r="H103" s="501">
        <f t="shared" si="26"/>
        <v>90</v>
      </c>
      <c r="I103" s="501">
        <f t="shared" si="26"/>
        <v>88</v>
      </c>
      <c r="J103" s="501">
        <f t="shared" si="26"/>
        <v>86</v>
      </c>
      <c r="K103" s="501">
        <f t="shared" si="26"/>
        <v>84</v>
      </c>
      <c r="L103" s="501">
        <f t="shared" si="26"/>
        <v>82</v>
      </c>
      <c r="M103" s="502">
        <f t="shared" si="26"/>
        <v>80</v>
      </c>
      <c r="N103" s="1065"/>
      <c r="O103" s="1065"/>
      <c r="P103" s="45"/>
      <c r="Q103" s="461"/>
    </row>
    <row r="104" spans="1:17" ht="15" thickTop="1">
      <c r="A104" s="556"/>
      <c r="B104" s="495" t="s">
        <v>2365</v>
      </c>
      <c r="C104" s="3196" t="s">
        <v>3146</v>
      </c>
      <c r="D104" s="3196" t="s">
        <v>3148</v>
      </c>
      <c r="E104" s="3196" t="s">
        <v>3149</v>
      </c>
      <c r="F104" s="3197" t="s">
        <v>3151</v>
      </c>
      <c r="G104" s="511"/>
      <c r="H104" s="540"/>
      <c r="I104" s="540"/>
      <c r="J104" s="540"/>
      <c r="K104" s="541"/>
      <c r="L104" s="542"/>
      <c r="M104" s="543"/>
      <c r="N104" s="1064"/>
      <c r="O104" s="1064"/>
      <c r="P104" s="45"/>
      <c r="Q104" s="461"/>
    </row>
    <row r="105" spans="1:17" ht="15.75" thickBot="1">
      <c r="A105" s="491"/>
      <c r="B105" s="500"/>
      <c r="C105" s="501">
        <v>100</v>
      </c>
      <c r="D105" s="501">
        <f>C105-$K36</f>
        <v>98</v>
      </c>
      <c r="E105" s="501">
        <f>D105-$K36</f>
        <v>96</v>
      </c>
      <c r="F105" s="501">
        <f>E105-$K36</f>
        <v>94</v>
      </c>
      <c r="G105" s="501">
        <f>F105-$K36</f>
        <v>92</v>
      </c>
      <c r="H105" s="501"/>
      <c r="I105" s="501"/>
      <c r="J105" s="501"/>
      <c r="K105" s="501"/>
      <c r="L105" s="501"/>
      <c r="M105" s="502"/>
      <c r="N105" s="1065"/>
      <c r="O105" s="1065"/>
      <c r="P105" s="45"/>
      <c r="Q105" s="461"/>
    </row>
    <row r="106" spans="1:17" ht="15" thickTop="1">
      <c r="A106" s="556"/>
      <c r="B106" s="592" t="s">
        <v>2451</v>
      </c>
      <c r="C106" s="535" t="s">
        <v>2342</v>
      </c>
      <c r="D106" s="535" t="s">
        <v>2343</v>
      </c>
      <c r="E106" s="535" t="s">
        <v>2344</v>
      </c>
      <c r="F106" s="535" t="s">
        <v>2345</v>
      </c>
      <c r="G106" s="535" t="s">
        <v>2346</v>
      </c>
      <c r="H106" s="496"/>
      <c r="I106" s="496"/>
      <c r="J106" s="496"/>
      <c r="K106" s="497"/>
      <c r="L106" s="498"/>
      <c r="M106" s="499"/>
      <c r="N106" s="1065"/>
      <c r="O106" s="1065"/>
      <c r="P106" s="593"/>
      <c r="Q106" s="594"/>
    </row>
    <row r="107" spans="1:17" ht="15.75" thickBot="1">
      <c r="A107" s="491"/>
      <c r="B107" s="500"/>
      <c r="C107" s="539">
        <v>100</v>
      </c>
      <c r="D107" s="501">
        <f t="shared" ref="D107:M107" si="27">C107-$K37</f>
        <v>98</v>
      </c>
      <c r="E107" s="501">
        <f t="shared" si="27"/>
        <v>96</v>
      </c>
      <c r="F107" s="501">
        <f t="shared" si="27"/>
        <v>94</v>
      </c>
      <c r="G107" s="501">
        <f t="shared" si="27"/>
        <v>92</v>
      </c>
      <c r="H107" s="501">
        <f t="shared" si="27"/>
        <v>90</v>
      </c>
      <c r="I107" s="501">
        <f t="shared" si="27"/>
        <v>88</v>
      </c>
      <c r="J107" s="501">
        <f t="shared" si="27"/>
        <v>86</v>
      </c>
      <c r="K107" s="501">
        <f t="shared" si="27"/>
        <v>84</v>
      </c>
      <c r="L107" s="501">
        <f t="shared" si="27"/>
        <v>82</v>
      </c>
      <c r="M107" s="501">
        <f t="shared" si="27"/>
        <v>80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65" priority="20" stopIfTrue="1" operator="containsText" text="超过">
      <formula>NOT(ISERROR(SEARCH("超过",F46)))</formula>
    </cfRule>
  </conditionalFormatting>
  <conditionalFormatting sqref="H48">
    <cfRule type="containsText" dxfId="164" priority="19" stopIfTrue="1" operator="containsText" text="超过">
      <formula>NOT(ISERROR(SEARCH("超过",H48)))</formula>
    </cfRule>
  </conditionalFormatting>
  <conditionalFormatting sqref="F48">
    <cfRule type="containsText" dxfId="163" priority="18" stopIfTrue="1" operator="containsText" text="超过">
      <formula>NOT(ISERROR(SEARCH("超过",F48)))</formula>
    </cfRule>
  </conditionalFormatting>
  <conditionalFormatting sqref="F47 H47">
    <cfRule type="containsText" dxfId="162" priority="17" stopIfTrue="1" operator="containsText" text="超过">
      <formula>NOT(ISERROR(SEARCH("超过",F47)))</formula>
    </cfRule>
  </conditionalFormatting>
  <conditionalFormatting sqref="E46">
    <cfRule type="expression" dxfId="161" priority="16" stopIfTrue="1">
      <formula>$F$46="超过30%"</formula>
    </cfRule>
  </conditionalFormatting>
  <conditionalFormatting sqref="E47">
    <cfRule type="expression" dxfId="160" priority="15" stopIfTrue="1">
      <formula>$F$47="超过20%"</formula>
    </cfRule>
  </conditionalFormatting>
  <conditionalFormatting sqref="E48">
    <cfRule type="expression" dxfId="159" priority="14" stopIfTrue="1">
      <formula>$F$48="超过30%"</formula>
    </cfRule>
  </conditionalFormatting>
  <conditionalFormatting sqref="G48">
    <cfRule type="expression" dxfId="158" priority="13" stopIfTrue="1">
      <formula>$H$48="超过30%"</formula>
    </cfRule>
  </conditionalFormatting>
  <conditionalFormatting sqref="G46">
    <cfRule type="expression" dxfId="157" priority="12" stopIfTrue="1">
      <formula>$H$46="超过30%"</formula>
    </cfRule>
  </conditionalFormatting>
  <conditionalFormatting sqref="G47">
    <cfRule type="expression" dxfId="156" priority="11" stopIfTrue="1">
      <formula>$H$47="超过20%"</formula>
    </cfRule>
  </conditionalFormatting>
  <conditionalFormatting sqref="J46">
    <cfRule type="containsText" dxfId="155" priority="10" stopIfTrue="1" operator="containsText" text="超过">
      <formula>NOT(ISERROR(SEARCH("超过",J46)))</formula>
    </cfRule>
  </conditionalFormatting>
  <conditionalFormatting sqref="J48">
    <cfRule type="containsText" dxfId="154" priority="9" stopIfTrue="1" operator="containsText" text="超过">
      <formula>NOT(ISERROR(SEARCH("超过",J48)))</formula>
    </cfRule>
  </conditionalFormatting>
  <conditionalFormatting sqref="J47">
    <cfRule type="containsText" dxfId="153" priority="8" stopIfTrue="1" operator="containsText" text="超过">
      <formula>NOT(ISERROR(SEARCH("超过",J47)))</formula>
    </cfRule>
  </conditionalFormatting>
  <conditionalFormatting sqref="I46">
    <cfRule type="expression" dxfId="152" priority="7" stopIfTrue="1">
      <formula>$J$46="超过30%"</formula>
    </cfRule>
  </conditionalFormatting>
  <conditionalFormatting sqref="I47">
    <cfRule type="expression" dxfId="151" priority="6" stopIfTrue="1">
      <formula>$J$47="超过20%"</formula>
    </cfRule>
  </conditionalFormatting>
  <conditionalFormatting sqref="I48">
    <cfRule type="expression" dxfId="150" priority="5" stopIfTrue="1">
      <formula>$J$48="超过30%"</formula>
    </cfRule>
  </conditionalFormatting>
  <conditionalFormatting sqref="F42">
    <cfRule type="expression" dxfId="149" priority="4">
      <formula>$D$42="简单平均"</formula>
    </cfRule>
  </conditionalFormatting>
  <conditionalFormatting sqref="H42">
    <cfRule type="expression" dxfId="148" priority="3">
      <formula>$D$42="简单平均"</formula>
    </cfRule>
  </conditionalFormatting>
  <conditionalFormatting sqref="J42">
    <cfRule type="expression" dxfId="147" priority="2">
      <formula>$D$42="简单平均"</formula>
    </cfRule>
  </conditionalFormatting>
  <conditionalFormatting sqref="F7:F40 H7:H40 J7:J40">
    <cfRule type="cellIs" dxfId="14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0" sqref="G20"/>
    </sheetView>
  </sheetViews>
  <sheetFormatPr defaultRowHeight="13.5"/>
  <sheetData/>
  <phoneticPr fontId="13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90" zoomScaleNormal="70" zoomScaleSheetLayoutView="90" workbookViewId="0">
      <selection activeCell="H38" sqref="H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3109</v>
      </c>
      <c r="D1" s="1516" t="s">
        <v>70</v>
      </c>
      <c r="E1" s="1517" t="s">
        <v>1292</v>
      </c>
      <c r="F1" s="1193">
        <f ca="1">J53</f>
        <v>39.869999999999997</v>
      </c>
      <c r="G1" s="1532">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1283</v>
      </c>
      <c r="C2" s="1541" t="s">
        <v>1421</v>
      </c>
      <c r="D2" s="1541"/>
      <c r="E2" s="1542"/>
      <c r="F2" s="1543"/>
      <c r="G2" s="2884"/>
      <c r="H2" s="2873"/>
      <c r="I2" s="2873"/>
      <c r="J2" s="2873"/>
      <c r="K2" s="2874"/>
      <c r="L2" s="2873"/>
      <c r="M2" s="2873"/>
    </row>
    <row r="3" spans="1:37" ht="18" customHeight="1" thickBot="1">
      <c r="A3" s="1544" t="s">
        <v>1422</v>
      </c>
      <c r="B3" s="1545">
        <f ca="1">IF(ISERROR(B2*10000/F43),0,ROUND(B2*10000/F43,0))</f>
        <v>5020</v>
      </c>
      <c r="C3" s="1541" t="s">
        <v>1423</v>
      </c>
      <c r="D3" s="1541"/>
      <c r="E3" s="1542"/>
      <c r="F3" s="1543"/>
      <c r="G3" s="288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92</v>
      </c>
      <c r="D5" s="1518" t="s">
        <v>1307</v>
      </c>
      <c r="E5" s="1203"/>
      <c r="F5" s="1204"/>
      <c r="G5" s="1538"/>
      <c r="H5" s="305">
        <v>1</v>
      </c>
      <c r="I5" s="306" t="s">
        <v>1306</v>
      </c>
      <c r="J5" s="1202">
        <f ca="1">J6+J10+J12</f>
        <v>0</v>
      </c>
      <c r="K5" s="1518" t="s">
        <v>1307</v>
      </c>
      <c r="L5" s="1203"/>
      <c r="M5" s="1204"/>
    </row>
    <row r="6" spans="1:37" ht="18" customHeight="1">
      <c r="A6" s="1201" t="s">
        <v>1003</v>
      </c>
      <c r="B6" s="3423" t="s">
        <v>1308</v>
      </c>
      <c r="C6" s="1206">
        <f ca="1">ROUND(F6*F8*F7*(1-F9)/10000,0)</f>
        <v>92</v>
      </c>
      <c r="D6" s="160" t="s">
        <v>2773</v>
      </c>
      <c r="E6" s="308" t="s">
        <v>1310</v>
      </c>
      <c r="F6" s="309">
        <f ca="1">INDIRECT("'数据-取费表'!u"&amp;$G$1)</f>
        <v>1.1000000000000001</v>
      </c>
      <c r="G6" s="1538"/>
      <c r="H6" s="1201" t="s">
        <v>1003</v>
      </c>
      <c r="I6" s="3423" t="s">
        <v>1308</v>
      </c>
      <c r="J6" s="307">
        <f ca="1">ROUND(M6*M8*M7*(1-M9)/10000,0)</f>
        <v>0</v>
      </c>
      <c r="K6" s="160" t="s">
        <v>2772</v>
      </c>
      <c r="L6" s="308" t="s">
        <v>1310</v>
      </c>
      <c r="M6" s="309">
        <f ca="1">INDIRECT("'数据-取费表'!z"&amp;$G$1)</f>
        <v>0</v>
      </c>
    </row>
    <row r="7" spans="1:37" ht="18" customHeight="1">
      <c r="A7" s="1205"/>
      <c r="B7" s="3424"/>
      <c r="C7" s="1207"/>
      <c r="D7" s="313"/>
      <c r="E7" s="1208" t="s">
        <v>1311</v>
      </c>
      <c r="F7" s="309">
        <f ca="1">IF(INDIRECT("'数据-取费表'!ah"&amp;$G$1)="",INDIRECT("'数据-取费表'!k"&amp;$G$1),INDIRECT("'数据-取费表'!ah"&amp;$G$1))</f>
        <v>2555.66</v>
      </c>
      <c r="G7" s="1538"/>
      <c r="H7" s="310"/>
      <c r="I7" s="3424"/>
      <c r="J7" s="312"/>
      <c r="K7" s="313"/>
      <c r="L7" s="308" t="s">
        <v>1311</v>
      </c>
      <c r="M7" s="309">
        <f ca="1">F7</f>
        <v>2555.66</v>
      </c>
    </row>
    <row r="8" spans="1:37" ht="18" customHeight="1">
      <c r="A8" s="310"/>
      <c r="B8" s="3424"/>
      <c r="C8" s="312"/>
      <c r="D8" s="313"/>
      <c r="E8" s="308" t="s">
        <v>1312</v>
      </c>
      <c r="F8" s="309">
        <f ca="1">INDIRECT("'数据-取费表'!ai"&amp;$G$1)</f>
        <v>365</v>
      </c>
      <c r="G8" s="1538"/>
      <c r="H8" s="310"/>
      <c r="I8" s="3424"/>
      <c r="J8" s="312"/>
      <c r="K8" s="313"/>
      <c r="L8" s="308" t="s">
        <v>1312</v>
      </c>
      <c r="M8" s="309">
        <f ca="1">INDIRECT("'数据-取费表'!ai"&amp;$G$1)</f>
        <v>365</v>
      </c>
    </row>
    <row r="9" spans="1:37" ht="18" customHeight="1">
      <c r="A9" s="310"/>
      <c r="B9" s="3425"/>
      <c r="C9" s="312"/>
      <c r="D9" s="313"/>
      <c r="E9" s="308" t="s">
        <v>1313</v>
      </c>
      <c r="F9" s="318">
        <f ca="1">INDIRECT("'数据-取费表'!w"&amp;$G$1)</f>
        <v>0.1</v>
      </c>
      <c r="G9" s="1538"/>
      <c r="H9" s="310"/>
      <c r="I9" s="342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2781</v>
      </c>
      <c r="E10" s="319" t="s">
        <v>1315</v>
      </c>
      <c r="F10" s="1248" t="s">
        <v>3119</v>
      </c>
      <c r="G10" s="1538"/>
      <c r="H10" s="1201" t="s">
        <v>1007</v>
      </c>
      <c r="I10" s="1519" t="s">
        <v>1314</v>
      </c>
      <c r="J10" s="307">
        <f ca="1">ROUND(IF(M10="押一",J6/12*M11,IF(M10="押二",J6/12*2*M11,IF(M10="押三",J6/12*3*M11,J11*M11))),0)</f>
        <v>0</v>
      </c>
      <c r="K10" s="1520" t="s">
        <v>2780</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f>92*1.5%/12</f>
        <v>0.11499999999999999</v>
      </c>
      <c r="H12" s="1215" t="s">
        <v>1043</v>
      </c>
      <c r="I12" s="1523" t="s">
        <v>1318</v>
      </c>
      <c r="J12" s="1216"/>
      <c r="K12" s="1230"/>
      <c r="L12" s="1222"/>
      <c r="M12" s="1231"/>
    </row>
    <row r="13" spans="1:37" ht="18" customHeight="1" thickTop="1">
      <c r="A13" s="1211">
        <v>2</v>
      </c>
      <c r="B13" s="1212" t="s">
        <v>1319</v>
      </c>
      <c r="C13" s="316">
        <f ca="1">ROUND(C29*F13,0)</f>
        <v>1035</v>
      </c>
      <c r="D13" s="1213" t="s">
        <v>1320</v>
      </c>
      <c r="E13" s="1213" t="s">
        <v>1321</v>
      </c>
      <c r="F13" s="1214">
        <f ca="1">INDIRECT("'数据-取费表'!y"&amp;$G$1)</f>
        <v>0.85</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894</v>
      </c>
      <c r="D14" s="1499" t="s">
        <v>1323</v>
      </c>
      <c r="E14" s="1496"/>
      <c r="F14" s="325"/>
      <c r="G14" s="1538"/>
      <c r="H14" s="1113" t="s">
        <v>1003</v>
      </c>
      <c r="I14" s="308" t="s">
        <v>1324</v>
      </c>
      <c r="J14" s="24">
        <f ca="1">C29</f>
        <v>1218</v>
      </c>
      <c r="K14" s="15"/>
      <c r="L14" s="916"/>
      <c r="M14" s="917"/>
    </row>
    <row r="15" spans="1:37" s="1551" customFormat="1" ht="18" customHeight="1" thickBot="1">
      <c r="A15" s="1113" t="s">
        <v>1004</v>
      </c>
      <c r="B15" s="308" t="s">
        <v>1325</v>
      </c>
      <c r="C15" s="24">
        <f ca="1">ROUND(C14*F15,0)</f>
        <v>27</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28</v>
      </c>
      <c r="K16" s="1219" t="s">
        <v>1330</v>
      </c>
      <c r="L16" s="1220"/>
      <c r="M16" s="1204"/>
    </row>
    <row r="17" spans="1:37" s="1551" customFormat="1" ht="18" customHeight="1">
      <c r="A17" s="1113" t="s">
        <v>1295</v>
      </c>
      <c r="B17" s="308" t="s">
        <v>1331</v>
      </c>
      <c r="C17" s="24">
        <f ca="1">ROUND(F17*(F43+INDIRECT("'数据-取费表'!S"&amp;$G$1))/10000,0)</f>
        <v>51</v>
      </c>
      <c r="D17" s="308" t="s">
        <v>1332</v>
      </c>
      <c r="E17" s="308" t="s">
        <v>1333</v>
      </c>
      <c r="F17" s="26">
        <f>'数据-取费表'!B35</f>
        <v>200</v>
      </c>
      <c r="G17" s="1550"/>
      <c r="H17" s="1113" t="s">
        <v>1003</v>
      </c>
      <c r="I17" s="308" t="s">
        <v>1334</v>
      </c>
      <c r="J17" s="2504">
        <f ca="1">ROUND(IF(AND(项目基本情况!B11="自然人",项目基本情况!B10="北京市"),J6*M17/(1+'数据-取费表'!C42),J18+J19+J20),0)</f>
        <v>10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13</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985</v>
      </c>
      <c r="D19" s="136" t="s">
        <v>1341</v>
      </c>
      <c r="E19" s="1514"/>
      <c r="F19" s="26"/>
      <c r="G19" s="1538"/>
      <c r="H19" s="1113" t="s">
        <v>1004</v>
      </c>
      <c r="I19" s="308" t="s">
        <v>1342</v>
      </c>
      <c r="J19" s="24">
        <f ca="1">IF(K19="按租金收入计税",ROUND(J6*M19/(1+'数据-取费表'!C42),2),ROUND(C29*M19*0.7,2))</f>
        <v>10.23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20</v>
      </c>
      <c r="D20" s="329" t="s">
        <v>1345</v>
      </c>
      <c r="E20" s="308" t="s">
        <v>1327</v>
      </c>
      <c r="F20" s="328">
        <f>'数据-取费表'!B37</f>
        <v>0.02</v>
      </c>
      <c r="G20" s="1550"/>
      <c r="H20" s="1113" t="s">
        <v>1294</v>
      </c>
      <c r="I20" s="160" t="s">
        <v>1346</v>
      </c>
      <c r="J20" s="25">
        <f ca="1">ROUND(M20*M21/10000,2)</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18.3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21</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0.02</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-28</v>
      </c>
      <c r="K25" s="1227" t="s">
        <v>1369</v>
      </c>
      <c r="L25" s="1228"/>
      <c r="M25" s="1229"/>
    </row>
    <row r="26" spans="1:37">
      <c r="A26" s="1113" t="s">
        <v>1002</v>
      </c>
      <c r="B26" s="308" t="s">
        <v>1370</v>
      </c>
      <c r="C26" s="24">
        <f ca="1">ROUND((C19+C20)*F26,0)</f>
        <v>101</v>
      </c>
      <c r="D26" s="329" t="s">
        <v>1371</v>
      </c>
      <c r="E26" s="319" t="s">
        <v>1372</v>
      </c>
      <c r="F26" s="318">
        <f ca="1">INDIRECT("'数据-取费表'!q"&amp;$G$1)</f>
        <v>0.1</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2E-3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1218</v>
      </c>
      <c r="D29" s="1224"/>
      <c r="E29" s="1222"/>
      <c r="F29" s="1225"/>
      <c r="G29" s="1550"/>
      <c r="H29" s="340" t="s">
        <v>1001</v>
      </c>
      <c r="I29" s="341" t="s">
        <v>1384</v>
      </c>
      <c r="J29" s="342">
        <f ca="1">ROUND(J26/(1+F40)^F41,0)</f>
        <v>0</v>
      </c>
      <c r="K29" s="343" t="s">
        <v>1385</v>
      </c>
      <c r="L29" s="344"/>
      <c r="M29" s="345">
        <f ca="1">INDIRECT("'数据-取费表'!k"&amp;$G$1)</f>
        <v>2555.66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37</v>
      </c>
      <c r="D30" s="1219" t="s">
        <v>1330</v>
      </c>
      <c r="E30" s="1220"/>
      <c r="F30" s="1204"/>
      <c r="G30" s="1538"/>
      <c r="H30" s="2875"/>
      <c r="I30" s="1552"/>
      <c r="J30" s="1553"/>
      <c r="K30" s="2669"/>
      <c r="L30" s="2876"/>
      <c r="M30" s="2877"/>
    </row>
    <row r="31" spans="1:37" ht="18" customHeight="1">
      <c r="A31" s="1113" t="s">
        <v>1003</v>
      </c>
      <c r="B31" s="308" t="s">
        <v>1334</v>
      </c>
      <c r="C31" s="2504">
        <f ca="1">ROUND(IF(AND(项目基本情况!B11="自然人",项目基本情况!B10="北京市"),C6*F31/(1+'数据-取费表'!C42),C32+C33+C34),0)</f>
        <v>15</v>
      </c>
      <c r="D31" s="1499" t="s">
        <v>1335</v>
      </c>
      <c r="E31" s="1498" t="s">
        <v>1386</v>
      </c>
      <c r="F31" s="2503" t="str">
        <f>IF(项目基本情况!B11="企业","——",IF('数据-取费表'!B10="住宅",IF(F6*F7*F8/12/(1+'数据-取费表'!F30)&gt;100000,4%,2.5%),IF(F6*F7*F8/12/(1+'数据-取费表'!F30)&gt;100000,12%,7%)))</f>
        <v>——</v>
      </c>
      <c r="G31" s="1538"/>
      <c r="H31" s="2988" t="s">
        <v>2968</v>
      </c>
      <c r="I31" s="1552"/>
      <c r="J31" s="1553"/>
      <c r="K31" s="2669"/>
      <c r="L31" s="2876"/>
      <c r="M31" s="2877"/>
    </row>
    <row r="32" spans="1:37" ht="18" customHeight="1">
      <c r="A32" s="1113" t="s">
        <v>1002</v>
      </c>
      <c r="B32" s="308" t="s">
        <v>1338</v>
      </c>
      <c r="C32" s="24">
        <f ca="1">IF(项目基本情况!B11="自然人","——",ROUND(C6*F32/(1+'数据-取费表'!C42),2))</f>
        <v>4.82</v>
      </c>
      <c r="D32" s="1498" t="s">
        <v>1339</v>
      </c>
      <c r="E32" s="308" t="s">
        <v>1327</v>
      </c>
      <c r="F32" s="337">
        <f>'数据-取费表'!B41</f>
        <v>5.5000000000000007E-2</v>
      </c>
      <c r="G32" s="1538"/>
      <c r="H32" s="2875"/>
      <c r="I32" s="1552"/>
      <c r="J32" s="1553"/>
      <c r="K32" s="2669"/>
      <c r="L32" s="2876"/>
      <c r="M32" s="2877"/>
    </row>
    <row r="33" spans="1:18" ht="18" customHeight="1">
      <c r="A33" s="1113" t="s">
        <v>1004</v>
      </c>
      <c r="B33" s="308" t="s">
        <v>1342</v>
      </c>
      <c r="C33" s="24">
        <f ca="1">IF(项目基本情况!B11="自然人","——",IF(D33="按租金收入计税",ROUND(C6*F33/(1+'数据-取费表'!C42),2),IF(D33="按房产原值计税",ROUND(C29*F33*0.7,2),INDIRECT("'数据-取费表'!Aj"&amp;$G$1))))</f>
        <v>10.51</v>
      </c>
      <c r="D33" s="1524" t="s">
        <v>3120</v>
      </c>
      <c r="E33" s="308" t="s">
        <v>1327</v>
      </c>
      <c r="F33" s="328">
        <f>IF(D33="按票据","——",IF(D33="按租金收入计税",'数据-取费表'!B51,'数据-取费表'!B50))</f>
        <v>0.12</v>
      </c>
      <c r="G33" s="1538"/>
      <c r="H33" s="2878"/>
      <c r="I33" s="1552"/>
      <c r="J33" s="1553"/>
      <c r="K33" s="2879"/>
      <c r="L33" s="2878"/>
      <c r="M33" s="2878"/>
    </row>
    <row r="34" spans="1:18" ht="18" customHeight="1">
      <c r="A34" s="1201" t="s">
        <v>1294</v>
      </c>
      <c r="B34" s="160" t="s">
        <v>1346</v>
      </c>
      <c r="C34" s="25">
        <f ca="1">IF(项目基本情况!B11="自然人","——",ROUND(F34*F35/10000,2))</f>
        <v>0</v>
      </c>
      <c r="D34" s="330" t="s">
        <v>1347</v>
      </c>
      <c r="E34" s="308" t="s">
        <v>1348</v>
      </c>
      <c r="F34" s="331">
        <f>'数据-取费表'!B52</f>
        <v>0</v>
      </c>
      <c r="G34" s="1538"/>
      <c r="H34" s="2875"/>
      <c r="I34" s="1552"/>
      <c r="J34" s="1553"/>
      <c r="K34" s="2880"/>
      <c r="L34" s="2881"/>
      <c r="M34" s="2881"/>
    </row>
    <row r="35" spans="1:18" ht="18" customHeight="1">
      <c r="A35" s="1235"/>
      <c r="B35" s="1233"/>
      <c r="C35" s="29"/>
      <c r="D35" s="333"/>
      <c r="E35" s="308" t="s">
        <v>1352</v>
      </c>
      <c r="F35" s="309">
        <f ca="1">INDIRECT("'数据-取费表'!r"&amp;$G$1)</f>
        <v>0</v>
      </c>
      <c r="G35" s="1538"/>
      <c r="H35" s="2875"/>
      <c r="I35" s="1552"/>
      <c r="J35" s="1553"/>
      <c r="K35" s="2879"/>
      <c r="L35" s="2878"/>
      <c r="M35" s="2878"/>
    </row>
    <row r="36" spans="1:18" ht="18" customHeight="1">
      <c r="A36" s="1234" t="s">
        <v>1007</v>
      </c>
      <c r="B36" s="308" t="s">
        <v>1354</v>
      </c>
      <c r="C36" s="24">
        <f ca="1">ROUND(C29*F36,1)</f>
        <v>18.3</v>
      </c>
      <c r="D36" s="1498" t="s">
        <v>1387</v>
      </c>
      <c r="E36" s="308" t="s">
        <v>1327</v>
      </c>
      <c r="F36" s="334">
        <f ca="1">INDIRECT("'数据-取费表'!Ak"&amp;$G$1)</f>
        <v>1.4999999999999999E-2</v>
      </c>
      <c r="G36" s="1538"/>
      <c r="H36" s="2878"/>
      <c r="I36" s="1552"/>
      <c r="J36" s="1553"/>
      <c r="K36" s="2719"/>
      <c r="L36" s="2878"/>
      <c r="M36" s="2878"/>
    </row>
    <row r="37" spans="1:18" ht="18" customHeight="1">
      <c r="A37" s="1113" t="s">
        <v>1043</v>
      </c>
      <c r="B37" s="308" t="s">
        <v>1358</v>
      </c>
      <c r="C37" s="24">
        <f ca="1">ROUND(C13*F37,1)</f>
        <v>1.6</v>
      </c>
      <c r="D37" s="1498" t="s">
        <v>1359</v>
      </c>
      <c r="E37" s="308" t="s">
        <v>1360</v>
      </c>
      <c r="F37" s="336">
        <f ca="1">INDIRECT("'数据-取费表'!Al"&amp;$G$1)</f>
        <v>1.5E-3</v>
      </c>
      <c r="G37" s="1538"/>
      <c r="H37" s="2878"/>
      <c r="I37" s="1552"/>
      <c r="J37" s="1553"/>
      <c r="K37" s="2719"/>
      <c r="L37" s="2878"/>
      <c r="M37" s="2878"/>
    </row>
    <row r="38" spans="1:18" ht="18" customHeight="1" thickBot="1">
      <c r="A38" s="1221" t="s">
        <v>1298</v>
      </c>
      <c r="B38" s="1222" t="s">
        <v>1344</v>
      </c>
      <c r="C38" s="1223">
        <f ca="1">ROUND(C5*F38,1)</f>
        <v>1.8</v>
      </c>
      <c r="D38" s="1224" t="s">
        <v>1364</v>
      </c>
      <c r="E38" s="1222" t="s">
        <v>1360</v>
      </c>
      <c r="F38" s="1218">
        <f ca="1">INDIRECT("'数据-取费表'!Am"&amp;$G$1)</f>
        <v>0.02</v>
      </c>
      <c r="G38" s="1538"/>
      <c r="H38" s="2878"/>
      <c r="I38" s="1552"/>
      <c r="J38" s="1553"/>
      <c r="K38" s="2882"/>
      <c r="L38" s="2878"/>
      <c r="M38" s="2878"/>
    </row>
    <row r="39" spans="1:18" ht="24.6" customHeight="1" thickTop="1">
      <c r="A39" s="1211" t="s">
        <v>999</v>
      </c>
      <c r="B39" s="1226" t="s">
        <v>1388</v>
      </c>
      <c r="C39" s="316">
        <f ca="1">C5-C30</f>
        <v>55</v>
      </c>
      <c r="D39" s="1227" t="s">
        <v>1389</v>
      </c>
      <c r="E39" s="1228"/>
      <c r="F39" s="1229"/>
      <c r="G39" s="1538"/>
      <c r="H39" s="2878"/>
      <c r="I39" s="1552"/>
      <c r="J39" s="1553"/>
      <c r="K39" s="2882"/>
      <c r="L39" s="2878"/>
      <c r="M39" s="2878"/>
    </row>
    <row r="40" spans="1:18" ht="18" customHeight="1">
      <c r="A40" s="305" t="s">
        <v>1000</v>
      </c>
      <c r="B40" s="306" t="s">
        <v>1390</v>
      </c>
      <c r="C40" s="307">
        <f ca="1">ROUND(C39*(1-((1+F42)/(1+F40))^F41)/(F40-F42),0)</f>
        <v>1256</v>
      </c>
      <c r="D40" s="330" t="s">
        <v>1374</v>
      </c>
      <c r="E40" s="308" t="s">
        <v>1375</v>
      </c>
      <c r="F40" s="318">
        <f ca="1">INDIRECT("'数据-取费表'!I"&amp;$G$1)</f>
        <v>0.05</v>
      </c>
      <c r="G40" s="1538"/>
      <c r="H40" s="1615"/>
      <c r="I40" s="1552"/>
      <c r="J40" s="1553"/>
      <c r="K40" s="2882"/>
      <c r="L40" s="1615"/>
      <c r="M40" s="1615"/>
    </row>
    <row r="41" spans="1:18" ht="18" customHeight="1">
      <c r="A41" s="310"/>
      <c r="B41" s="311"/>
      <c r="C41" s="312"/>
      <c r="D41" s="338" t="s">
        <v>1391</v>
      </c>
      <c r="E41" s="308" t="s">
        <v>1379</v>
      </c>
      <c r="F41" s="339">
        <f ca="1">IF(INDIRECT("'数据-取费表'!af"&amp;$G$1)=0,INDIRECT("'数据-取费表'!ae"&amp;$G$1),INDIRECT("'数据-取费表'!af"&amp;$G$1))</f>
        <v>39.869999999999997</v>
      </c>
      <c r="G41" s="1538"/>
      <c r="H41" s="1325"/>
      <c r="I41" s="1552"/>
      <c r="J41" s="1553"/>
      <c r="K41" s="2719"/>
      <c r="L41" s="1325"/>
      <c r="M41" s="1325"/>
    </row>
    <row r="42" spans="1:18" ht="18" customHeight="1">
      <c r="A42" s="314"/>
      <c r="B42" s="315"/>
      <c r="C42" s="316"/>
      <c r="D42" s="333"/>
      <c r="E42" s="308" t="s">
        <v>1382</v>
      </c>
      <c r="F42" s="318">
        <f ca="1">INDIRECT("'数据-取费表'!v"&amp;$G$1)</f>
        <v>0.02</v>
      </c>
      <c r="G42" s="1538"/>
      <c r="H42" s="1325"/>
      <c r="I42" s="1552"/>
      <c r="J42" s="1553"/>
      <c r="K42" s="2719"/>
      <c r="L42" s="1325"/>
      <c r="M42" s="1325"/>
    </row>
    <row r="43" spans="1:18" ht="18" customHeight="1" thickBot="1">
      <c r="A43" s="340" t="s">
        <v>1001</v>
      </c>
      <c r="B43" s="341" t="s">
        <v>1392</v>
      </c>
      <c r="C43" s="342">
        <f ca="1">ROUND(C40*10000/F43,0)</f>
        <v>4915</v>
      </c>
      <c r="D43" s="343" t="s">
        <v>1393</v>
      </c>
      <c r="E43" s="344" t="s">
        <v>1394</v>
      </c>
      <c r="F43" s="345">
        <f ca="1">INDIRECT("'数据-取费表'!k"&amp;$G$1)</f>
        <v>2555.66</v>
      </c>
      <c r="G43" s="1538"/>
      <c r="H43" s="1325">
        <f>1218*40%/(1+7.5%)^ 39.87</f>
        <v>27.255352919096651</v>
      </c>
      <c r="I43" s="1325"/>
      <c r="J43" s="1325"/>
      <c r="K43" s="2719"/>
      <c r="L43" s="1325"/>
      <c r="M43" s="1325"/>
    </row>
    <row r="44" spans="1:18" s="1538" customFormat="1" ht="18" customHeight="1">
      <c r="A44" s="1554"/>
      <c r="B44" s="1554"/>
      <c r="C44" s="1555"/>
      <c r="D44" s="1554"/>
      <c r="E44" s="1554">
        <f>1283/2555.66*10000</f>
        <v>5020.2296080073247</v>
      </c>
      <c r="F44" s="1554"/>
      <c r="K44" s="1556"/>
    </row>
    <row r="45" spans="1:18" s="1538" customFormat="1" ht="18" customHeight="1" thickBot="1">
      <c r="A45" s="1554"/>
      <c r="B45" s="1554"/>
      <c r="C45" s="1555"/>
      <c r="D45" s="1554"/>
      <c r="E45" s="1554"/>
      <c r="F45" s="1554"/>
      <c r="J45" s="735"/>
      <c r="O45" s="2883" t="s">
        <v>1424</v>
      </c>
      <c r="P45" s="1615"/>
      <c r="Q45" s="1615"/>
      <c r="R45" s="1615"/>
    </row>
    <row r="46" spans="1:18" s="1538" customFormat="1" ht="13.5" thickBot="1">
      <c r="A46" s="1558" t="s">
        <v>1425</v>
      </c>
      <c r="C46" s="1559">
        <f ca="1">C68-C40</f>
        <v>-3347</v>
      </c>
      <c r="D46" s="1560" t="str">
        <f>C2</f>
        <v>万元</v>
      </c>
      <c r="E46" s="1554"/>
      <c r="F46" s="1554"/>
      <c r="I46" s="1561" t="s">
        <v>1426</v>
      </c>
      <c r="J46" s="1562"/>
      <c r="K46" s="1563"/>
      <c r="L46" s="1564">
        <f ca="1">IF(M47="住宅",0,IF(L48&gt;J51,L60,J60))</f>
        <v>27</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3121</v>
      </c>
      <c r="K47" s="1570" t="s">
        <v>1432</v>
      </c>
      <c r="L47" s="1571">
        <f ca="1">INDIRECT("'数据-取费表'!d"&amp;$G$1)</f>
        <v>50</v>
      </c>
      <c r="M47" s="1534" t="str">
        <f>IF(ISNUMBER(FIND("住宅",C1)),"住宅","非住宅")</f>
        <v>非住宅</v>
      </c>
      <c r="O47" s="1572" t="s">
        <v>1008</v>
      </c>
      <c r="P47" s="1573" t="s">
        <v>1433</v>
      </c>
      <c r="Q47" s="1574">
        <f ca="1">C40+J29</f>
        <v>1256</v>
      </c>
      <c r="R47" s="1574" t="s">
        <v>1434</v>
      </c>
    </row>
    <row r="48" spans="1:18" s="1538" customFormat="1" ht="28.5" thickBot="1">
      <c r="A48" s="1242" t="s">
        <v>1044</v>
      </c>
      <c r="B48" s="306" t="s">
        <v>1306</v>
      </c>
      <c r="C48" s="1513">
        <f ca="1">C49+C53+C55</f>
        <v>0</v>
      </c>
      <c r="D48" s="1244"/>
      <c r="E48" s="1245"/>
      <c r="F48" s="1093"/>
      <c r="G48" s="731"/>
      <c r="H48" s="732"/>
      <c r="I48" s="1575" t="s">
        <v>1435</v>
      </c>
      <c r="J48" s="1576" t="s">
        <v>3122</v>
      </c>
      <c r="K48" s="1577" t="s">
        <v>1436</v>
      </c>
      <c r="L48" s="1578">
        <f ca="1">INDIRECT("'数据-取费表'!f"&amp;$G$1)</f>
        <v>39.869999999999997</v>
      </c>
      <c r="O48" s="1572" t="s">
        <v>1009</v>
      </c>
      <c r="P48" s="1573" t="s">
        <v>1437</v>
      </c>
      <c r="Q48" s="1574">
        <f ca="1">J60</f>
        <v>27</v>
      </c>
      <c r="R48" s="1574" t="s">
        <v>1438</v>
      </c>
    </row>
    <row r="49" spans="1:18" s="1538" customFormat="1" ht="13.5" thickBot="1">
      <c r="A49" s="1106" t="s">
        <v>1045</v>
      </c>
      <c r="B49" s="1525" t="s">
        <v>1395</v>
      </c>
      <c r="C49" s="1246">
        <f ca="1">ROUND(F49*F51*F50*(1-F52)/10000,0)</f>
        <v>0</v>
      </c>
      <c r="D49" s="1186" t="s">
        <v>2774</v>
      </c>
      <c r="E49" s="1526" t="s">
        <v>1396</v>
      </c>
      <c r="F49" s="1191"/>
      <c r="G49" s="1579"/>
      <c r="H49" s="732"/>
      <c r="I49" s="1575" t="s">
        <v>1439</v>
      </c>
      <c r="J49" s="1580">
        <v>2013</v>
      </c>
      <c r="K49" s="1577" t="s">
        <v>1440</v>
      </c>
      <c r="L49" s="1581"/>
      <c r="O49" s="1582" t="s">
        <v>1010</v>
      </c>
      <c r="P49" s="1573" t="s">
        <v>1441</v>
      </c>
      <c r="Q49" s="1574">
        <f ca="1">C29</f>
        <v>1218</v>
      </c>
      <c r="R49" s="1574" t="s">
        <v>1434</v>
      </c>
    </row>
    <row r="50" spans="1:18" s="1538" customFormat="1" ht="13.5" thickBot="1">
      <c r="A50" s="1107"/>
      <c r="B50" s="1110"/>
      <c r="C50" s="1250"/>
      <c r="D50" s="1084"/>
      <c r="E50" s="1187" t="s">
        <v>1311</v>
      </c>
      <c r="F50" s="1188">
        <f ca="1">F7</f>
        <v>2555.66</v>
      </c>
      <c r="H50" s="732"/>
      <c r="I50" s="1575" t="s">
        <v>1442</v>
      </c>
      <c r="J50" s="1583">
        <f>SUMPRODUCT((I63:I65=J47)*(J62:L62=J48)*(J63:L65))</f>
        <v>60</v>
      </c>
      <c r="K50" s="1577" t="s">
        <v>1443</v>
      </c>
      <c r="L50" s="1581"/>
      <c r="M50" s="1584"/>
      <c r="O50" s="1582" t="s">
        <v>1011</v>
      </c>
      <c r="P50" s="1573" t="s">
        <v>1444</v>
      </c>
      <c r="Q50" s="1585">
        <f ca="1">J58</f>
        <v>0.4</v>
      </c>
      <c r="R50" s="1574"/>
    </row>
    <row r="51" spans="1:18" s="1538" customFormat="1" ht="13.5" thickBot="1">
      <c r="A51" s="1108"/>
      <c r="B51" s="1110"/>
      <c r="C51" s="1111"/>
      <c r="D51" s="1084"/>
      <c r="E51" s="1112" t="s">
        <v>1312</v>
      </c>
      <c r="F51" s="309">
        <f ca="1">F8</f>
        <v>365</v>
      </c>
      <c r="I51" s="1586" t="s">
        <v>1445</v>
      </c>
      <c r="J51" s="1587">
        <f>IF(J49="",J50,J49+J50-YEAR('数据-取费表'!B2))</f>
        <v>51</v>
      </c>
      <c r="K51" s="1588" t="s">
        <v>1446</v>
      </c>
      <c r="L51" s="1589">
        <f ca="1">ROUND(-PV(INDIRECT("'数据-取费表'!h"&amp;$G$1),J51,(C39-C13*C76),0),0)</f>
        <v>-450</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39.869999999999997</v>
      </c>
      <c r="R52" s="1574" t="s">
        <v>1451</v>
      </c>
    </row>
    <row r="53" spans="1:18" s="1538" customFormat="1" ht="24.75" thickBot="1">
      <c r="A53" s="1286" t="s">
        <v>1046</v>
      </c>
      <c r="B53" s="1527" t="s">
        <v>1314</v>
      </c>
      <c r="C53" s="322">
        <f ca="1">ROUND(IF(F53="押一",C49/12*F11,IF(F53="押二",C49/12*2*F11,IF(F53="押三",C49/12*3*F11,C54*F11))),0)</f>
        <v>0</v>
      </c>
      <c r="D53" s="1520" t="s">
        <v>2780</v>
      </c>
      <c r="E53" s="319" t="s">
        <v>1315</v>
      </c>
      <c r="F53" s="1248"/>
      <c r="I53" s="1593" t="s">
        <v>1452</v>
      </c>
      <c r="J53" s="2356">
        <f ca="1">IF(M47="住宅",IF(D1="——",MAX(J51,L48),MAX(J51,L48-'数据-取费表'!B24)),IF(D1="——",MIN(J51,L48),MIN(J51,L48-'数据-取费表'!B24)))</f>
        <v>39.869999999999997</v>
      </c>
      <c r="K53" s="3421" t="s">
        <v>1453</v>
      </c>
      <c r="L53" s="3422"/>
      <c r="O53" s="1572" t="s">
        <v>1014</v>
      </c>
      <c r="P53" s="1573" t="s">
        <v>1454</v>
      </c>
      <c r="Q53" s="1574">
        <f ca="1">Q47+Q48</f>
        <v>1283</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0.186</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1035</v>
      </c>
      <c r="D56" s="1601"/>
      <c r="E56" s="1602"/>
      <c r="F56" s="1594"/>
      <c r="I56" s="1603" t="s">
        <v>1459</v>
      </c>
      <c r="J56" s="1604" t="s">
        <v>3123</v>
      </c>
      <c r="K56" s="1575" t="s">
        <v>1460</v>
      </c>
      <c r="L56" s="1578" t="str">
        <f ca="1">IF(L48&lt;J51,"——",L48-J53)</f>
        <v>——</v>
      </c>
      <c r="O56" s="1572" t="s">
        <v>1008</v>
      </c>
      <c r="P56" s="1573" t="s">
        <v>1433</v>
      </c>
      <c r="Q56" s="1574">
        <f ca="1">C40+J29</f>
        <v>1256</v>
      </c>
      <c r="R56" s="1574" t="s">
        <v>1434</v>
      </c>
    </row>
    <row r="57" spans="1:18" s="1538" customFormat="1" ht="24.75" thickBot="1">
      <c r="A57" s="1605"/>
      <c r="B57" s="1081" t="s">
        <v>1383</v>
      </c>
      <c r="C57" s="244">
        <f ca="1">C29</f>
        <v>1218</v>
      </c>
      <c r="D57" s="1606"/>
      <c r="E57" s="1607"/>
      <c r="F57" s="1608"/>
      <c r="I57" s="1609" t="s">
        <v>1461</v>
      </c>
      <c r="J57" s="1610">
        <f ca="1">IF(OR(M47="住宅",J51&lt;L48,J56="是"),"——",J51-L48)</f>
        <v>11.130000000000003</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122</v>
      </c>
      <c r="D58" s="1091" t="s">
        <v>1330</v>
      </c>
      <c r="E58" s="1092"/>
      <c r="F58" s="1093"/>
      <c r="I58" s="1609" t="s">
        <v>1465</v>
      </c>
      <c r="J58" s="1611">
        <f ca="1">IF(J55&lt;0.4,0.4,J55)</f>
        <v>0.4</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102</v>
      </c>
      <c r="D59" s="1094" t="s">
        <v>1335</v>
      </c>
      <c r="E59" s="1095" t="s">
        <v>1336</v>
      </c>
      <c r="F59" s="2503" t="str">
        <f>IF(项目基本情况!B11="企业","——",IF('数据-取费表'!B10="住宅",IF(F49*F50*F51/12/(1+'数据-取费表'!F30)&gt;100000,4%,2.5%),IF(F49*F50*F51/12/(1+'数据-取费表'!F30)&gt;100000,12%,7%)))</f>
        <v>——</v>
      </c>
      <c r="I59" s="1609" t="s">
        <v>1468</v>
      </c>
      <c r="J59" s="1610">
        <f ca="1">IF(OR(M47="住宅",J51&lt;L48,J56="是"),"——",ROUND(C29*J58,0))</f>
        <v>487</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f ca="1">IF(OR(M47="住宅",J51&lt;L48,J56="是"),"0",ROUND(J59/(1+J52)^J53,0))</f>
        <v>27</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102.31</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v>
      </c>
      <c r="D62" s="1096" t="s">
        <v>1402</v>
      </c>
      <c r="E62" s="1081" t="s">
        <v>1403</v>
      </c>
      <c r="F62" s="331">
        <f t="shared" si="0"/>
        <v>0</v>
      </c>
      <c r="I62" s="1616" t="s">
        <v>1475</v>
      </c>
      <c r="J62" s="1617" t="s">
        <v>1476</v>
      </c>
      <c r="K62" s="1617" t="s">
        <v>1477</v>
      </c>
      <c r="L62" s="1617" t="s">
        <v>1478</v>
      </c>
      <c r="M62" s="1618" t="s">
        <v>1479</v>
      </c>
      <c r="O62" s="1572" t="s">
        <v>1014</v>
      </c>
      <c r="P62" s="1573" t="s">
        <v>1480</v>
      </c>
      <c r="Q62" s="1574">
        <f ca="1">Q56+Q57</f>
        <v>1256</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18.3</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1.6</v>
      </c>
      <c r="D65" s="1095" t="s">
        <v>1359</v>
      </c>
      <c r="E65" s="1081" t="s">
        <v>1360</v>
      </c>
      <c r="F65" s="336">
        <f t="shared" ca="1" si="0"/>
        <v>1.5E-3</v>
      </c>
      <c r="I65" s="1616" t="s">
        <v>1484</v>
      </c>
      <c r="J65" s="1617">
        <v>40</v>
      </c>
      <c r="K65" s="1617">
        <v>30</v>
      </c>
      <c r="L65" s="1617">
        <v>50</v>
      </c>
      <c r="M65" s="1619">
        <v>0.02</v>
      </c>
      <c r="O65" s="1572" t="s">
        <v>1008</v>
      </c>
      <c r="P65" s="1573" t="s">
        <v>1485</v>
      </c>
      <c r="Q65" s="1574">
        <f ca="1">C40+J29</f>
        <v>1256</v>
      </c>
      <c r="R65" s="1574" t="s">
        <v>1434</v>
      </c>
    </row>
    <row r="66" spans="1:18" s="1538" customFormat="1" ht="16.5" thickBot="1">
      <c r="A66" s="1113" t="s">
        <v>1409</v>
      </c>
      <c r="B66" s="1081" t="s">
        <v>1344</v>
      </c>
      <c r="C66" s="24">
        <f ca="1">ROUND(C48*F66,1)</f>
        <v>0</v>
      </c>
      <c r="D66" s="1095" t="s">
        <v>1410</v>
      </c>
      <c r="E66" s="1081" t="s">
        <v>1327</v>
      </c>
      <c r="F66" s="318">
        <f t="shared" ca="1" si="0"/>
        <v>0.02</v>
      </c>
      <c r="O66" s="1572" t="s">
        <v>1009</v>
      </c>
      <c r="P66" s="1573" t="s">
        <v>1463</v>
      </c>
      <c r="Q66" s="1574">
        <f ca="1">L60</f>
        <v>0</v>
      </c>
      <c r="R66" s="1574" t="s">
        <v>1486</v>
      </c>
    </row>
    <row r="67" spans="1:18" s="1538" customFormat="1" ht="16.5" thickBot="1">
      <c r="A67" s="1088" t="s">
        <v>999</v>
      </c>
      <c r="B67" s="1098" t="s">
        <v>1368</v>
      </c>
      <c r="C67" s="322">
        <f ca="1">C48-C58</f>
        <v>-122</v>
      </c>
      <c r="D67" s="1094" t="s">
        <v>1369</v>
      </c>
      <c r="E67" s="1099"/>
      <c r="F67" s="1100"/>
      <c r="O67" s="1582" t="s">
        <v>1010</v>
      </c>
      <c r="P67" s="1573" t="s">
        <v>1467</v>
      </c>
      <c r="Q67" s="1620">
        <f ca="1">L51</f>
        <v>-450</v>
      </c>
      <c r="R67" s="1574" t="s">
        <v>1487</v>
      </c>
    </row>
    <row r="68" spans="1:18" s="1538" customFormat="1" ht="16.5" thickBot="1">
      <c r="A68" s="1078" t="s">
        <v>1000</v>
      </c>
      <c r="B68" s="1079" t="s">
        <v>1390</v>
      </c>
      <c r="C68" s="307">
        <f ca="1">ROUND(C67*(1-((1+F70)/(1+F68))^F69)/(F68-F70),0)</f>
        <v>-2091</v>
      </c>
      <c r="D68" s="1096" t="s">
        <v>1374</v>
      </c>
      <c r="E68" s="1081" t="s">
        <v>1375</v>
      </c>
      <c r="F68" s="318">
        <f ca="1">F40</f>
        <v>0.05</v>
      </c>
      <c r="O68" s="1582" t="s">
        <v>1011</v>
      </c>
      <c r="P68" s="1621" t="s">
        <v>1488</v>
      </c>
      <c r="Q68" s="1574">
        <f ca="1">ROUND(Q69-Q70*Q71,0)</f>
        <v>-23</v>
      </c>
      <c r="R68" s="1574" t="s">
        <v>1019</v>
      </c>
    </row>
    <row r="69" spans="1:18" s="1538" customFormat="1" ht="13.5" thickBot="1">
      <c r="A69" s="1082"/>
      <c r="B69" s="1083"/>
      <c r="C69" s="312"/>
      <c r="D69" s="1101" t="s">
        <v>1378</v>
      </c>
      <c r="E69" s="1081" t="s">
        <v>1379</v>
      </c>
      <c r="F69" s="339">
        <f ca="1">F41</f>
        <v>39.869999999999997</v>
      </c>
      <c r="O69" s="1582" t="s">
        <v>1016</v>
      </c>
      <c r="P69" s="1621" t="s">
        <v>1489</v>
      </c>
      <c r="Q69" s="1574">
        <f ca="1">C39</f>
        <v>55</v>
      </c>
      <c r="R69" s="1574" t="s">
        <v>1434</v>
      </c>
    </row>
    <row r="70" spans="1:18" s="1538" customFormat="1" ht="13.5" thickBot="1">
      <c r="A70" s="1085"/>
      <c r="B70" s="1086"/>
      <c r="C70" s="316"/>
      <c r="D70" s="1097"/>
      <c r="E70" s="1081" t="s">
        <v>1382</v>
      </c>
      <c r="F70" s="1185"/>
      <c r="O70" s="1582" t="s">
        <v>1017</v>
      </c>
      <c r="P70" s="1621" t="s">
        <v>1490</v>
      </c>
      <c r="Q70" s="1574">
        <f ca="1">C13</f>
        <v>1035</v>
      </c>
      <c r="R70" s="1574" t="s">
        <v>1434</v>
      </c>
    </row>
    <row r="71" spans="1:18" s="1538" customFormat="1" ht="13.5" thickBot="1">
      <c r="A71" s="1102" t="s">
        <v>1001</v>
      </c>
      <c r="B71" s="1103" t="s">
        <v>1392</v>
      </c>
      <c r="C71" s="342">
        <f ca="1">ROUND(C68*10000/F71,0)</f>
        <v>-8182</v>
      </c>
      <c r="D71" s="1104" t="s">
        <v>1393</v>
      </c>
      <c r="E71" s="1105" t="s">
        <v>1394</v>
      </c>
      <c r="F71" s="345">
        <f ca="1">F43</f>
        <v>2555.66</v>
      </c>
      <c r="O71" s="1582" t="s">
        <v>1018</v>
      </c>
      <c r="P71" s="1621" t="s">
        <v>1491</v>
      </c>
      <c r="Q71" s="1585">
        <f ca="1">C76</f>
        <v>7.4999999999999997E-2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78</v>
      </c>
      <c r="D75" s="1538"/>
      <c r="E75" s="1538"/>
      <c r="F75" s="1538"/>
      <c r="K75" s="1556"/>
      <c r="L75" s="1538"/>
      <c r="O75" s="1572" t="s">
        <v>1014</v>
      </c>
      <c r="P75" s="1573" t="s">
        <v>1454</v>
      </c>
      <c r="Q75" s="1574">
        <f ca="1">Q65+Q66</f>
        <v>1256</v>
      </c>
      <c r="R75" s="1574" t="s">
        <v>1015</v>
      </c>
    </row>
    <row r="76" spans="1:18">
      <c r="B76" s="348" t="s">
        <v>1412</v>
      </c>
      <c r="C76" s="349">
        <f ca="1">INDIRECT("'数据-取费表'!j"&amp;$G$1)</f>
        <v>7.4999999999999997E-2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-0.41799999999999993</v>
      </c>
    </row>
    <row r="80" spans="1:18">
      <c r="B80" s="346" t="s">
        <v>1416</v>
      </c>
      <c r="C80" s="280">
        <f ca="1">ROUND(C75/C39,3)</f>
        <v>1.4179999999999999</v>
      </c>
    </row>
    <row r="81" spans="2:3">
      <c r="B81" s="276" t="s">
        <v>1417</v>
      </c>
      <c r="C81" s="244"/>
    </row>
    <row r="82" spans="2:3">
      <c r="B82" s="279" t="s">
        <v>1418</v>
      </c>
      <c r="C82" s="281">
        <f ca="1">1-C83</f>
        <v>0.17600000000000005</v>
      </c>
    </row>
    <row r="83" spans="2:3">
      <c r="B83" s="279" t="s">
        <v>1419</v>
      </c>
      <c r="C83" s="280">
        <f ca="1">ROUND(C13/C40,3)</f>
        <v>0.82399999999999995</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32" sqref="E3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2071</v>
      </c>
      <c r="B1" s="1624"/>
      <c r="C1" s="204"/>
      <c r="D1" s="204"/>
      <c r="E1" s="204"/>
      <c r="F1" s="204"/>
      <c r="G1" s="1260">
        <f>MATCH(B1,'数据-取费表'!A6:A16,0)+5</f>
        <v>7</v>
      </c>
    </row>
    <row r="2" spans="1:9" s="206" customFormat="1" ht="18" customHeight="1">
      <c r="A2" s="207" t="s">
        <v>2072</v>
      </c>
      <c r="B2" s="208">
        <f ca="1">IF(D2="——",C52,C52-E2)</f>
        <v>1365</v>
      </c>
      <c r="C2" s="205" t="s">
        <v>2073</v>
      </c>
      <c r="D2" s="2009" t="s">
        <v>70</v>
      </c>
      <c r="E2" s="1303" t="e">
        <f ca="1">SUMIF(INDIRECT("'"&amp;G2&amp;"'"&amp;"!A:A"),"承租人权益价值",INDIRECT("'"&amp;G2&amp;"'"&amp;"!c:c"))</f>
        <v>#REF!</v>
      </c>
      <c r="F2" s="2010" t="s">
        <v>2073</v>
      </c>
      <c r="G2" s="2011"/>
    </row>
    <row r="3" spans="1:9" s="206" customFormat="1" ht="18" customHeight="1" thickBot="1">
      <c r="A3" s="209" t="s">
        <v>2074</v>
      </c>
      <c r="B3" s="210">
        <f ca="1">ROUND(B2*10000/(IF(B1="",'数据-汇总表'!E3,INDIRECT("'数据-取费表'!k"&amp;$G$1))),0)</f>
        <v>5341</v>
      </c>
      <c r="C3" s="205" t="s">
        <v>2075</v>
      </c>
      <c r="D3" s="205"/>
      <c r="E3" s="205"/>
      <c r="F3" s="205"/>
      <c r="G3" s="205"/>
    </row>
    <row r="4" spans="1:9" s="214" customFormat="1" ht="15.75">
      <c r="A4" s="211" t="s">
        <v>2076</v>
      </c>
      <c r="B4" s="212"/>
      <c r="C4" s="212"/>
      <c r="D4" s="212"/>
      <c r="E4" s="212"/>
      <c r="F4" s="212"/>
      <c r="G4" s="213"/>
    </row>
    <row r="5" spans="1:9" s="220" customFormat="1" ht="13.5" customHeight="1">
      <c r="A5" s="261" t="s">
        <v>2077</v>
      </c>
      <c r="B5" s="216" t="s">
        <v>2078</v>
      </c>
      <c r="C5" s="217">
        <f ca="1">C6+C7+C8</f>
        <v>262</v>
      </c>
      <c r="D5" s="217" t="s">
        <v>2079</v>
      </c>
      <c r="E5" s="218" t="s">
        <v>2080</v>
      </c>
      <c r="F5" s="218" t="s">
        <v>2081</v>
      </c>
      <c r="G5" s="219"/>
    </row>
    <row r="6" spans="1:9" s="220" customFormat="1" ht="13.5" customHeight="1">
      <c r="A6" s="886" t="s">
        <v>2082</v>
      </c>
      <c r="B6" s="221" t="s">
        <v>2083</v>
      </c>
      <c r="C6" s="222">
        <f>基准地价修正!B2</f>
        <v>207</v>
      </c>
      <c r="D6" s="223"/>
      <c r="E6" s="224"/>
      <c r="F6" s="224"/>
      <c r="G6" s="225"/>
    </row>
    <row r="7" spans="1:9" s="220" customFormat="1" ht="13.5" customHeight="1">
      <c r="A7" s="886" t="s">
        <v>2084</v>
      </c>
      <c r="B7" s="221" t="s">
        <v>2085</v>
      </c>
      <c r="C7" s="226">
        <f>ROUND(C6*F7,0)</f>
        <v>6</v>
      </c>
      <c r="D7" s="226"/>
      <c r="E7" s="224"/>
      <c r="F7" s="227">
        <f>IF(项目基本情况!B8="出让",0,'数据-取费表'!B48+'数据-取费表'!B49)</f>
        <v>3.0499999999999999E-2</v>
      </c>
      <c r="G7" s="225"/>
    </row>
    <row r="8" spans="1:9" s="229" customFormat="1">
      <c r="A8" s="886" t="s">
        <v>2086</v>
      </c>
      <c r="B8" s="221" t="s">
        <v>2087</v>
      </c>
      <c r="C8" s="226">
        <f ca="1">IF(G8="已包含在土地购买价格中","0",IF(B1="",'数据-取费表'!B29,IF(G9="全部缴纳",C9+C10,H9)))</f>
        <v>49</v>
      </c>
      <c r="D8" s="228"/>
      <c r="E8" s="226"/>
      <c r="F8" s="227"/>
      <c r="G8" s="2012"/>
    </row>
    <row r="9" spans="1:9" s="220" customFormat="1" ht="13.5" customHeight="1">
      <c r="A9" s="887" t="s">
        <v>800</v>
      </c>
      <c r="B9" s="230" t="s">
        <v>2088</v>
      </c>
      <c r="C9" s="231">
        <f ca="1">ROUND(D9*E9/10000,0)</f>
        <v>0</v>
      </c>
      <c r="D9" s="954">
        <f ca="1">IF(B1="",'数据-汇总表'!E5,IF(INDIRECT("'数据-取费表'!c"&amp;$G$1)="住宅",INDIRECT("'数据-取费表'!k"&amp;$G$1),0))</f>
        <v>0</v>
      </c>
      <c r="E9" s="231">
        <f>'数据-取费表'!B27</f>
        <v>150</v>
      </c>
      <c r="F9" s="227"/>
      <c r="G9" s="2013"/>
      <c r="H9" s="1271"/>
      <c r="I9" s="2014" t="s">
        <v>2089</v>
      </c>
    </row>
    <row r="10" spans="1:9" s="220" customFormat="1" ht="13.5" customHeight="1">
      <c r="A10" s="887" t="s">
        <v>801</v>
      </c>
      <c r="B10" s="230" t="s">
        <v>2090</v>
      </c>
      <c r="C10" s="231">
        <f ca="1">ROUND(D10*E10/10000,0)</f>
        <v>49</v>
      </c>
      <c r="D10" s="954">
        <f ca="1">IF(B1="",'数据-汇总表'!E6,IF(INDIRECT("'数据-取费表'!c"&amp;$G$1)="住宅",INDIRECT("'数据-取费表'!s"&amp;$G$1),INDIRECT("'数据-取费表'!k"&amp;$G$1)+INDIRECT("'数据-取费表'!s"&amp;$G$1)))</f>
        <v>2555.66</v>
      </c>
      <c r="E10" s="231">
        <f>'数据-取费表'!B28</f>
        <v>190</v>
      </c>
      <c r="F10" s="227"/>
      <c r="G10" s="232"/>
    </row>
    <row r="11" spans="1:9" s="220" customFormat="1" ht="13.5" hidden="1" customHeight="1">
      <c r="A11" s="233" t="s">
        <v>7</v>
      </c>
      <c r="B11" s="221" t="s">
        <v>2091</v>
      </c>
      <c r="C11" s="217"/>
      <c r="D11" s="956"/>
      <c r="E11" s="224"/>
      <c r="F11" s="224"/>
      <c r="G11" s="225"/>
    </row>
    <row r="12" spans="1:9" s="220" customFormat="1" ht="13.5" hidden="1" customHeight="1">
      <c r="A12" s="233" t="s">
        <v>8</v>
      </c>
      <c r="B12" s="221" t="s">
        <v>2092</v>
      </c>
      <c r="C12" s="217">
        <v>0</v>
      </c>
      <c r="D12" s="956"/>
      <c r="E12" s="234"/>
      <c r="F12" s="227">
        <v>3.0499999999999999E-2</v>
      </c>
      <c r="G12" s="225"/>
    </row>
    <row r="13" spans="1:9" s="220" customFormat="1" ht="13.5" hidden="1" customHeight="1">
      <c r="A13" s="233" t="s">
        <v>9</v>
      </c>
      <c r="B13" s="221" t="s">
        <v>2093</v>
      </c>
      <c r="C13" s="217"/>
      <c r="D13" s="956"/>
      <c r="E13" s="224"/>
      <c r="F13" s="224"/>
      <c r="G13" s="225"/>
    </row>
    <row r="14" spans="1:9" s="220" customFormat="1" ht="13.5" hidden="1" customHeight="1">
      <c r="A14" s="233" t="s">
        <v>10</v>
      </c>
      <c r="B14" s="221" t="s">
        <v>2094</v>
      </c>
      <c r="C14" s="217"/>
      <c r="D14" s="956"/>
      <c r="E14" s="224"/>
      <c r="F14" s="224"/>
      <c r="G14" s="225" t="s">
        <v>2095</v>
      </c>
    </row>
    <row r="15" spans="1:9" s="220" customFormat="1" ht="13.5" hidden="1" customHeight="1">
      <c r="A15" s="233" t="s">
        <v>11</v>
      </c>
      <c r="B15" s="221" t="s">
        <v>2096</v>
      </c>
      <c r="C15" s="226"/>
      <c r="D15" s="956"/>
      <c r="E15" s="224"/>
      <c r="F15" s="224"/>
      <c r="G15" s="225" t="s">
        <v>2097</v>
      </c>
    </row>
    <row r="16" spans="1:9" s="220" customFormat="1" ht="13.5" hidden="1" customHeight="1">
      <c r="A16" s="233" t="s">
        <v>12</v>
      </c>
      <c r="B16" s="221" t="s">
        <v>2094</v>
      </c>
      <c r="C16" s="226"/>
      <c r="D16" s="956"/>
      <c r="E16" s="224"/>
      <c r="F16" s="224"/>
      <c r="G16" s="225"/>
    </row>
    <row r="17" spans="1:7" s="220" customFormat="1" ht="13.5" hidden="1" customHeight="1">
      <c r="A17" s="233" t="s">
        <v>13</v>
      </c>
      <c r="B17" s="221" t="s">
        <v>2098</v>
      </c>
      <c r="C17" s="235"/>
      <c r="D17" s="957"/>
      <c r="E17" s="235"/>
      <c r="F17" s="235"/>
      <c r="G17" s="225" t="s">
        <v>2097</v>
      </c>
    </row>
    <row r="18" spans="1:7" s="220" customFormat="1" ht="13.5" hidden="1" customHeight="1">
      <c r="A18" s="233" t="s">
        <v>14</v>
      </c>
      <c r="B18" s="221" t="s">
        <v>2099</v>
      </c>
      <c r="C18" s="226">
        <v>0</v>
      </c>
      <c r="D18" s="956"/>
      <c r="E18" s="224"/>
      <c r="F18" s="227">
        <v>3.0499999999999999E-2</v>
      </c>
      <c r="G18" s="225" t="s">
        <v>2100</v>
      </c>
    </row>
    <row r="19" spans="1:7" s="229" customFormat="1" ht="13.5" customHeight="1">
      <c r="A19" s="261" t="s">
        <v>2101</v>
      </c>
      <c r="B19" s="216" t="s">
        <v>2102</v>
      </c>
      <c r="C19" s="217" t="str">
        <f>IF(G19="已包含在土地取得成本中","0",ROUND(D19*E19/10000,0))</f>
        <v>0</v>
      </c>
      <c r="D19" s="958">
        <f ca="1">D9+D10</f>
        <v>2555.66</v>
      </c>
      <c r="E19" s="217">
        <f>'数据-取费表'!B31</f>
        <v>200</v>
      </c>
      <c r="F19" s="237"/>
      <c r="G19" s="2012" t="s">
        <v>3157</v>
      </c>
    </row>
    <row r="20" spans="1:7" s="220" customFormat="1" ht="13.5" customHeight="1">
      <c r="A20" s="261" t="s">
        <v>2103</v>
      </c>
      <c r="B20" s="216" t="s">
        <v>2104</v>
      </c>
      <c r="C20" s="238">
        <f ca="1">ROUND((C5+C19)*F20,0)</f>
        <v>5</v>
      </c>
      <c r="D20" s="238"/>
      <c r="E20" s="238"/>
      <c r="F20" s="239">
        <f>'数据-取费表'!B37</f>
        <v>0.02</v>
      </c>
      <c r="G20" s="240" t="s">
        <v>2105</v>
      </c>
    </row>
    <row r="21" spans="1:7" s="220" customFormat="1" ht="13.5" customHeight="1">
      <c r="A21" s="261" t="s">
        <v>2106</v>
      </c>
      <c r="B21" s="216" t="s">
        <v>2107</v>
      </c>
      <c r="C21" s="241">
        <f>F21</f>
        <v>0.02</v>
      </c>
      <c r="D21" s="242" t="s">
        <v>2108</v>
      </c>
      <c r="E21" s="238"/>
      <c r="F21" s="239">
        <f>'数据-取费表'!B38</f>
        <v>0.02</v>
      </c>
      <c r="G21" s="240" t="s">
        <v>2109</v>
      </c>
    </row>
    <row r="22" spans="1:7" s="220" customFormat="1" ht="13.5" customHeight="1">
      <c r="A22" s="261" t="s">
        <v>2110</v>
      </c>
      <c r="B22" s="216" t="s">
        <v>2111</v>
      </c>
      <c r="C22" s="1236">
        <f ca="1">ROUND(SUM(C23:C25),0)</f>
        <v>11</v>
      </c>
      <c r="D22" s="241">
        <f ca="1">C26</f>
        <v>4.0000000000000002E-4</v>
      </c>
      <c r="E22" s="242" t="s">
        <v>2108</v>
      </c>
      <c r="F22" s="243">
        <f ca="1">'数据-取费表'!B40</f>
        <v>4.2000000000000003E-2</v>
      </c>
      <c r="G22" s="240" t="str">
        <f>IF('数据-取费表'!B22&lt;=1,"单利计息","复利计息")</f>
        <v>单利计息</v>
      </c>
    </row>
    <row r="23" spans="1:7" s="220" customFormat="1" ht="13.5" customHeight="1">
      <c r="A23" s="888" t="s">
        <v>2112</v>
      </c>
      <c r="B23" s="221" t="s">
        <v>2113</v>
      </c>
      <c r="C23" s="1237">
        <f ca="1">ROUND(IF('数据-取费表'!B22&lt;=1,C5*F22*'数据-取费表'!B23,C5*(POWER((1+F22),'数据-取费表'!B23)-1)),0)</f>
        <v>11</v>
      </c>
      <c r="D23" s="244"/>
      <c r="E23" s="244"/>
      <c r="F23" s="245"/>
      <c r="G23" s="246" t="s">
        <v>2114</v>
      </c>
    </row>
    <row r="24" spans="1:7" s="220" customFormat="1" ht="13.5" customHeight="1">
      <c r="A24" s="888" t="s">
        <v>2115</v>
      </c>
      <c r="B24" s="221" t="s">
        <v>2116</v>
      </c>
      <c r="C24" s="1237">
        <f ca="1">ROUND(IF('数据-取费表'!B22&lt;=1,C19*F22*('数据-取费表'!B19/2+'数据-取费表'!B21),C19*(POWER((1+F22),('数据-取费表'!B19/2+'数据-取费表'!B21))-1)),0)</f>
        <v>0</v>
      </c>
      <c r="D24" s="244"/>
      <c r="E24" s="244"/>
      <c r="F24" s="245"/>
      <c r="G24" s="246" t="s">
        <v>2117</v>
      </c>
    </row>
    <row r="25" spans="1:7" s="220" customFormat="1" ht="24">
      <c r="A25" s="888" t="s">
        <v>2118</v>
      </c>
      <c r="B25" s="221" t="s">
        <v>2119</v>
      </c>
      <c r="C25" s="1237">
        <f ca="1">ROUND(IF('数据-取费表'!B22&lt;=1,C20*F22*'数据-取费表'!B23/2,C20*(POWER((1+F22),'数据-取费表'!B23/2)-1)),0)</f>
        <v>0</v>
      </c>
      <c r="D25" s="244"/>
      <c r="E25" s="247"/>
      <c r="F25" s="245"/>
      <c r="G25" s="248" t="s">
        <v>2120</v>
      </c>
    </row>
    <row r="26" spans="1:7" s="220" customFormat="1">
      <c r="A26" s="888" t="s">
        <v>795</v>
      </c>
      <c r="B26" s="221" t="s">
        <v>2121</v>
      </c>
      <c r="C26" s="244">
        <f ca="1">ROUND(IF('数据-取费表'!B22&lt;=1,F21*F22*'数据-取费表'!B23/2,F21*(POWER((1+F22),'数据-取费表'!B23/2)-1)),4)</f>
        <v>4.0000000000000002E-4</v>
      </c>
      <c r="D26" s="244"/>
      <c r="E26" s="247"/>
      <c r="F26" s="245"/>
      <c r="G26" s="249"/>
    </row>
    <row r="27" spans="1:7" s="220" customFormat="1" ht="24.75">
      <c r="A27" s="261" t="s">
        <v>2122</v>
      </c>
      <c r="B27" s="250" t="s">
        <v>2123</v>
      </c>
      <c r="C27" s="251">
        <f ca="1">C28</f>
        <v>27</v>
      </c>
      <c r="D27" s="241">
        <f ca="1">C29</f>
        <v>2E-3</v>
      </c>
      <c r="E27" s="242" t="s">
        <v>2124</v>
      </c>
      <c r="F27" s="252">
        <f ca="1">IF(B1="",'数据-取费表'!Q16,INDIRECT("'数据-取费表'!q"&amp;$G$1))</f>
        <v>0.1</v>
      </c>
      <c r="G27" s="253" t="s">
        <v>2125</v>
      </c>
    </row>
    <row r="28" spans="1:7" s="220" customFormat="1" ht="13.5" customHeight="1">
      <c r="A28" s="888" t="s">
        <v>791</v>
      </c>
      <c r="B28" s="254" t="s">
        <v>2126</v>
      </c>
      <c r="C28" s="255">
        <f ca="1">ROUND((C5+C19+C20)*F27*'数据-取费表'!B21/'数据-取费表'!B20,0)</f>
        <v>27</v>
      </c>
      <c r="D28" s="241"/>
      <c r="E28" s="242"/>
      <c r="F28" s="252"/>
      <c r="G28" s="253"/>
    </row>
    <row r="29" spans="1:7" s="220" customFormat="1" ht="13.5" customHeight="1">
      <c r="A29" s="888" t="s">
        <v>792</v>
      </c>
      <c r="B29" s="254" t="s">
        <v>2127</v>
      </c>
      <c r="C29" s="244">
        <f ca="1">ROUND(C21*F27*'数据-取费表'!B21/'数据-取费表'!B20,4)</f>
        <v>2E-3</v>
      </c>
      <c r="D29" s="241"/>
      <c r="E29" s="242"/>
      <c r="F29" s="252"/>
      <c r="G29" s="253"/>
    </row>
    <row r="30" spans="1:7" s="220" customFormat="1" ht="13.5" customHeight="1">
      <c r="A30" s="261" t="s">
        <v>2128</v>
      </c>
      <c r="B30" s="216" t="s">
        <v>2129</v>
      </c>
      <c r="C30" s="241">
        <f>ROUND(F30/(1+'数据-取费表'!C42),4)</f>
        <v>5.2400000000000002E-2</v>
      </c>
      <c r="D30" s="242" t="s">
        <v>2124</v>
      </c>
      <c r="E30" s="247"/>
      <c r="F30" s="243">
        <f>'数据-取费表'!B41</f>
        <v>5.5000000000000007E-2</v>
      </c>
      <c r="G30" s="240" t="s">
        <v>2130</v>
      </c>
    </row>
    <row r="31" spans="1:7" ht="16.5" customHeight="1">
      <c r="A31" s="215">
        <v>1</v>
      </c>
      <c r="B31" s="216" t="s">
        <v>2131</v>
      </c>
      <c r="C31" s="217">
        <f ca="1">ROUND((C5+C19+C20+C22+C27)/(1-C21-D22-D27-C30),0)</f>
        <v>330</v>
      </c>
      <c r="D31" s="236"/>
      <c r="E31" s="217"/>
      <c r="F31" s="256"/>
      <c r="G31" s="240" t="s">
        <v>2132</v>
      </c>
    </row>
    <row r="32" spans="1:7" s="214" customFormat="1" ht="15.75">
      <c r="A32" s="258" t="s">
        <v>2133</v>
      </c>
      <c r="B32" s="259"/>
      <c r="C32" s="259"/>
      <c r="D32" s="259"/>
      <c r="E32" s="259"/>
      <c r="F32" s="259"/>
      <c r="G32" s="260"/>
    </row>
    <row r="33" spans="1:7" s="220" customFormat="1" ht="13.5" customHeight="1">
      <c r="A33" s="261" t="s">
        <v>782</v>
      </c>
      <c r="B33" s="216" t="s">
        <v>2134</v>
      </c>
      <c r="C33" s="262">
        <f ca="1">SUM(C34:C38)</f>
        <v>985</v>
      </c>
      <c r="D33" s="238"/>
      <c r="E33" s="218"/>
      <c r="F33" s="247"/>
      <c r="G33" s="240"/>
    </row>
    <row r="34" spans="1:7" s="264" customFormat="1" ht="13.5" customHeight="1">
      <c r="A34" s="888" t="s">
        <v>791</v>
      </c>
      <c r="B34" s="221" t="s">
        <v>2135</v>
      </c>
      <c r="C34" s="226">
        <f ca="1">IF(B1="",IF(F34=100%,'数据-取费表'!M16,'数据-取费表'!O16),IF(F34=100%,INDIRECT("'数据-取费表'!m"&amp;$G$1)+INDIRECT("'数据-取费表'!t"&amp;$G$1),INDIRECT("'数据-取费表'!o"&amp;$G$1)+INDIRECT("'数据-取费表'!aq"&amp;$G$1)))</f>
        <v>894</v>
      </c>
      <c r="D34" s="223"/>
      <c r="E34" s="226"/>
      <c r="F34" s="263">
        <f ca="1">IF('数据-取费表'!B24=0,1,IF(B1="",'数据-取费表'!N16,INDIRECT("'数据-取费表'!n"&amp;$G$1)))</f>
        <v>1</v>
      </c>
      <c r="G34" s="225" t="s">
        <v>2136</v>
      </c>
    </row>
    <row r="35" spans="1:7" ht="13.5" customHeight="1">
      <c r="A35" s="888" t="s">
        <v>796</v>
      </c>
      <c r="B35" s="221" t="s">
        <v>2137</v>
      </c>
      <c r="C35" s="226">
        <f ca="1">ROUND(C34*F35,0)</f>
        <v>27</v>
      </c>
      <c r="D35" s="226"/>
      <c r="E35" s="226"/>
      <c r="F35" s="265">
        <f>'数据-取费表'!B33</f>
        <v>0.03</v>
      </c>
      <c r="G35" s="225" t="s">
        <v>2138</v>
      </c>
    </row>
    <row r="36" spans="1:7" ht="24">
      <c r="A36" s="888" t="s">
        <v>797</v>
      </c>
      <c r="B36" s="221" t="s">
        <v>2139</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2140</v>
      </c>
    </row>
    <row r="37" spans="1:7" s="264" customFormat="1" ht="13.5" customHeight="1">
      <c r="A37" s="888" t="s">
        <v>798</v>
      </c>
      <c r="B37" s="221" t="s">
        <v>2141</v>
      </c>
      <c r="C37" s="255">
        <f ca="1">ROUND(E37*D37*F34/10000,0)</f>
        <v>51</v>
      </c>
      <c r="D37" s="223">
        <f ca="1">D19</f>
        <v>2555.66</v>
      </c>
      <c r="E37" s="255">
        <f>'数据-取费表'!B35</f>
        <v>200</v>
      </c>
      <c r="F37" s="265"/>
      <c r="G37" s="267" t="s">
        <v>2142</v>
      </c>
    </row>
    <row r="38" spans="1:7" ht="13.5" customHeight="1">
      <c r="A38" s="888" t="s">
        <v>799</v>
      </c>
      <c r="B38" s="221" t="s">
        <v>2143</v>
      </c>
      <c r="C38" s="226">
        <f ca="1">ROUND(C34*F38,0)</f>
        <v>13</v>
      </c>
      <c r="D38" s="226"/>
      <c r="E38" s="226"/>
      <c r="F38" s="265">
        <f>'数据-取费表'!B36</f>
        <v>1.4999999999999999E-2</v>
      </c>
      <c r="G38" s="225" t="s">
        <v>2138</v>
      </c>
    </row>
    <row r="39" spans="1:7" s="220" customFormat="1" ht="13.5" customHeight="1">
      <c r="A39" s="261" t="s">
        <v>2144</v>
      </c>
      <c r="B39" s="216" t="s">
        <v>2145</v>
      </c>
      <c r="C39" s="238">
        <f ca="1">ROUND(C33*F20,0)</f>
        <v>20</v>
      </c>
      <c r="D39" s="238"/>
      <c r="E39" s="238"/>
      <c r="F39" s="2505">
        <f>F20</f>
        <v>0.02</v>
      </c>
      <c r="G39" s="240" t="s">
        <v>2146</v>
      </c>
    </row>
    <row r="40" spans="1:7" s="220" customFormat="1" ht="13.5" customHeight="1">
      <c r="A40" s="261" t="s">
        <v>2147</v>
      </c>
      <c r="B40" s="216" t="s">
        <v>2148</v>
      </c>
      <c r="C40" s="1467">
        <f>F21</f>
        <v>0.02</v>
      </c>
      <c r="D40" s="242" t="s">
        <v>2149</v>
      </c>
      <c r="E40" s="238"/>
      <c r="F40" s="2505">
        <f>F21</f>
        <v>0.02</v>
      </c>
      <c r="G40" s="240" t="s">
        <v>2150</v>
      </c>
    </row>
    <row r="41" spans="1:7" s="220" customFormat="1" ht="13.5" customHeight="1">
      <c r="A41" s="261" t="s">
        <v>2151</v>
      </c>
      <c r="B41" s="216" t="s">
        <v>2152</v>
      </c>
      <c r="C41" s="238">
        <f ca="1">ROUND(SUM(C42:C43),0)</f>
        <v>21</v>
      </c>
      <c r="D41" s="241">
        <f ca="1">C44</f>
        <v>4.0000000000000002E-4</v>
      </c>
      <c r="E41" s="242" t="s">
        <v>2149</v>
      </c>
      <c r="F41" s="2506">
        <f ca="1">F22</f>
        <v>4.2000000000000003E-2</v>
      </c>
      <c r="G41" s="240" t="str">
        <f>IF('数据-取费表'!B22&lt;=1,"单利计息","复利计息")</f>
        <v>单利计息</v>
      </c>
    </row>
    <row r="42" spans="1:7" ht="13.5" customHeight="1">
      <c r="A42" s="888" t="s">
        <v>791</v>
      </c>
      <c r="B42" s="221" t="s">
        <v>2153</v>
      </c>
      <c r="C42" s="244">
        <f ca="1">ROUND(IF('数据-取费表'!B22&lt;=1,C33*F22*'数据-取费表'!B21/2,C33*(POWER((1+F22),'数据-取费表'!B21/2)-1)),0)</f>
        <v>21</v>
      </c>
      <c r="D42" s="244"/>
      <c r="E42" s="244"/>
      <c r="F42" s="245"/>
      <c r="G42" s="3426" t="s">
        <v>2154</v>
      </c>
    </row>
    <row r="43" spans="1:7" ht="13.5" customHeight="1">
      <c r="A43" s="888" t="s">
        <v>792</v>
      </c>
      <c r="B43" s="221" t="s">
        <v>2155</v>
      </c>
      <c r="C43" s="244">
        <f ca="1">ROUND(IF('数据-取费表'!B22&lt;=1,C39*F22*'数据-取费表'!B21/2,C39*(POWER((1+F22),'数据-取费表'!B21/2)-1)),0)</f>
        <v>0</v>
      </c>
      <c r="D43" s="244"/>
      <c r="E43" s="244"/>
      <c r="F43" s="245"/>
      <c r="G43" s="3427"/>
    </row>
    <row r="44" spans="1:7" ht="13.5" customHeight="1">
      <c r="A44" s="888" t="s">
        <v>793</v>
      </c>
      <c r="B44" s="221" t="s">
        <v>2156</v>
      </c>
      <c r="C44" s="244">
        <f ca="1">ROUND(IF('数据-取费表'!B22&lt;=1,C40*F22*'数据-取费表'!B21/2,C40*(POWER((1+F22),'数据-取费表'!B21/2)-1)),4)</f>
        <v>4.0000000000000002E-4</v>
      </c>
      <c r="D44" s="244"/>
      <c r="E44" s="244"/>
      <c r="F44" s="245"/>
      <c r="G44" s="3428"/>
    </row>
    <row r="45" spans="1:7" s="220" customFormat="1" ht="13.5" customHeight="1">
      <c r="A45" s="261" t="s">
        <v>2157</v>
      </c>
      <c r="B45" s="250" t="s">
        <v>2123</v>
      </c>
      <c r="C45" s="251">
        <f ca="1">C46</f>
        <v>101</v>
      </c>
      <c r="D45" s="241">
        <f ca="1">C47</f>
        <v>2E-3</v>
      </c>
      <c r="E45" s="242" t="s">
        <v>2149</v>
      </c>
      <c r="F45" s="2507">
        <f ca="1">F27</f>
        <v>0.1</v>
      </c>
      <c r="G45" s="253" t="s">
        <v>2158</v>
      </c>
    </row>
    <row r="46" spans="1:7" s="220" customFormat="1" ht="13.5" customHeight="1">
      <c r="A46" s="888" t="s">
        <v>791</v>
      </c>
      <c r="B46" s="254" t="s">
        <v>2159</v>
      </c>
      <c r="C46" s="255">
        <f ca="1">ROUND((C33+C39)*F27,0)</f>
        <v>101</v>
      </c>
      <c r="D46" s="269"/>
      <c r="E46" s="242"/>
      <c r="F46" s="252"/>
      <c r="G46" s="253"/>
    </row>
    <row r="47" spans="1:7" s="220" customFormat="1" ht="13.5" customHeight="1">
      <c r="A47" s="888" t="s">
        <v>792</v>
      </c>
      <c r="B47" s="254" t="s">
        <v>2160</v>
      </c>
      <c r="C47" s="244">
        <f ca="1">ROUND(C40*F27,4)</f>
        <v>2E-3</v>
      </c>
      <c r="D47" s="269"/>
      <c r="E47" s="242"/>
      <c r="F47" s="252"/>
      <c r="G47" s="253"/>
    </row>
    <row r="48" spans="1:7" s="220" customFormat="1" ht="13.5" customHeight="1">
      <c r="A48" s="261" t="s">
        <v>2122</v>
      </c>
      <c r="B48" s="216" t="s">
        <v>2161</v>
      </c>
      <c r="C48" s="1467">
        <f>ROUND(F30/(1+'数据-取费表'!C42),4)</f>
        <v>5.2400000000000002E-2</v>
      </c>
      <c r="D48" s="242" t="s">
        <v>2149</v>
      </c>
      <c r="E48" s="238"/>
      <c r="F48" s="2506">
        <f>F30</f>
        <v>5.5000000000000007E-2</v>
      </c>
      <c r="G48" s="240" t="s">
        <v>2162</v>
      </c>
    </row>
    <row r="49" spans="1:7" ht="16.5" customHeight="1">
      <c r="A49" s="261" t="s">
        <v>2128</v>
      </c>
      <c r="B49" s="216" t="s">
        <v>2163</v>
      </c>
      <c r="C49" s="238">
        <f ca="1">ROUND((C33+C39+C41+C45)/(1-C40-D41-D45-C48),0)</f>
        <v>1218</v>
      </c>
      <c r="D49" s="238"/>
      <c r="E49" s="238"/>
      <c r="F49" s="270"/>
      <c r="G49" s="240" t="s">
        <v>2164</v>
      </c>
    </row>
    <row r="50" spans="1:7" s="264" customFormat="1" ht="24">
      <c r="A50" s="261" t="s">
        <v>2165</v>
      </c>
      <c r="B50" s="216" t="s">
        <v>2166</v>
      </c>
      <c r="C50" s="238"/>
      <c r="D50" s="238"/>
      <c r="E50" s="238"/>
      <c r="F50" s="270">
        <f>IF('数据-取费表'!B24=0,'数据-取费表'!N16,1)</f>
        <v>0.85</v>
      </c>
      <c r="G50" s="253" t="s">
        <v>2167</v>
      </c>
    </row>
    <row r="51" spans="1:7" ht="16.5" customHeight="1">
      <c r="A51" s="261" t="s">
        <v>2168</v>
      </c>
      <c r="B51" s="216" t="s">
        <v>2169</v>
      </c>
      <c r="C51" s="238">
        <f ca="1">ROUND(C49*F50,0)</f>
        <v>1035</v>
      </c>
      <c r="D51" s="238"/>
      <c r="E51" s="238"/>
      <c r="F51" s="270"/>
      <c r="G51" s="240" t="s">
        <v>2170</v>
      </c>
    </row>
    <row r="52" spans="1:7" s="214" customFormat="1" ht="16.5" thickBot="1">
      <c r="A52" s="271" t="s">
        <v>2171</v>
      </c>
      <c r="B52" s="272"/>
      <c r="C52" s="273">
        <f ca="1">C31+C51</f>
        <v>1365</v>
      </c>
      <c r="D52" s="272"/>
      <c r="E52" s="272"/>
      <c r="F52" s="272"/>
      <c r="G52" s="274"/>
    </row>
    <row r="55" spans="1:7" ht="15">
      <c r="B55" s="276" t="s">
        <v>2172</v>
      </c>
      <c r="C55" s="277"/>
    </row>
    <row r="56" spans="1:7">
      <c r="B56" s="279" t="s">
        <v>1418</v>
      </c>
      <c r="C56" s="281">
        <f ca="1">1-C57</f>
        <v>0.24199999999999999</v>
      </c>
    </row>
    <row r="57" spans="1:7">
      <c r="B57" s="279" t="s">
        <v>1419</v>
      </c>
      <c r="C57" s="280">
        <f ca="1">ROUND(C51/C52,3)</f>
        <v>0.75800000000000001</v>
      </c>
    </row>
  </sheetData>
  <sheetProtection password="CEE9" sheet="1" objects="1" scenarios="1" formatCells="0"/>
  <mergeCells count="1">
    <mergeCell ref="G42:G44"/>
  </mergeCells>
  <phoneticPr fontId="139"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D30" sqref="D30"/>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2549</v>
      </c>
      <c r="B1" s="203"/>
      <c r="C1" s="207" t="s">
        <v>2550</v>
      </c>
      <c r="D1" s="348">
        <f>SUM(D29:D30,D33:D39)</f>
        <v>2555.66</v>
      </c>
      <c r="E1" s="2151"/>
      <c r="F1" s="2151"/>
      <c r="G1" s="2151"/>
      <c r="H1" s="2151"/>
      <c r="I1" s="2151"/>
      <c r="J1" s="2151"/>
      <c r="K1" s="1252"/>
      <c r="L1" s="2152" t="s">
        <v>2551</v>
      </c>
      <c r="M1" s="994">
        <f>SUMPRODUCT((区片价!B5:B9=I2)*(区片价!C3:F3=E2)*(区片价!C5:F9))</f>
        <v>0</v>
      </c>
      <c r="N1" s="997">
        <f>SUMPRODUCT((因素修正幅度!B5:B9=I2)*(因素修正幅度!C3:F3=E2)*(因素修正幅度!C5:F9))</f>
        <v>0</v>
      </c>
      <c r="O1" s="2153"/>
      <c r="P1" s="2153"/>
      <c r="Q1" s="1252"/>
      <c r="R1" s="1346" t="s">
        <v>2552</v>
      </c>
      <c r="S1" s="1346" t="s">
        <v>2553</v>
      </c>
      <c r="T1" s="1346" t="s">
        <v>2554</v>
      </c>
      <c r="U1" s="1346" t="s">
        <v>2555</v>
      </c>
      <c r="V1" s="1346" t="s">
        <v>2556</v>
      </c>
      <c r="W1" s="1350"/>
      <c r="X1" s="1350"/>
      <c r="Y1" s="1350"/>
      <c r="Z1" s="1350"/>
      <c r="AA1" s="1350"/>
      <c r="AB1" s="1350"/>
      <c r="AC1" s="1351"/>
      <c r="AD1" s="1352"/>
      <c r="AE1" s="1352"/>
      <c r="AF1" s="1352"/>
      <c r="AG1" s="1352"/>
      <c r="AH1" s="1352"/>
      <c r="AI1" s="1352"/>
      <c r="AJ1" s="1353"/>
    </row>
    <row r="2" spans="1:36" ht="15.75">
      <c r="A2" s="207" t="s">
        <v>2557</v>
      </c>
      <c r="B2" s="210">
        <f>C26</f>
        <v>207</v>
      </c>
      <c r="C2" s="2155" t="s">
        <v>2558</v>
      </c>
      <c r="D2" s="2156" t="s">
        <v>2559</v>
      </c>
      <c r="E2" s="2157" t="s">
        <v>6</v>
      </c>
      <c r="F2" s="2156" t="s">
        <v>2560</v>
      </c>
      <c r="G2" s="2158" t="str">
        <f>IF(E2="商业",项目基本情况!B37,IF(E2="办公",项目基本情况!C37,IF(E2="住宅",项目基本情况!D37,项目基本情况!E37)))</f>
        <v>九级</v>
      </c>
      <c r="H2" s="2156" t="s">
        <v>2561</v>
      </c>
      <c r="I2" s="2158" t="str">
        <f>IF(E2="商业",项目基本情况!B38,IF(E2="办公",项目基本情况!C38,IF(E2="住宅",项目基本情况!D38,项目基本情况!E38)))</f>
        <v>Ⅸ-永乐开发区</v>
      </c>
      <c r="J2" s="2159"/>
      <c r="K2" s="1252"/>
      <c r="L2" s="2160" t="s">
        <v>2562</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1944</v>
      </c>
      <c r="U2" s="1347"/>
      <c r="V2" s="1346">
        <f>ROUND(T2*U2/10000,0)</f>
        <v>0</v>
      </c>
      <c r="W2" s="1350"/>
      <c r="X2" s="1350"/>
      <c r="Y2" s="1350"/>
      <c r="Z2" s="1350"/>
      <c r="AA2" s="1350"/>
      <c r="AB2" s="1350"/>
      <c r="AC2" s="1351"/>
      <c r="AD2" s="1352"/>
      <c r="AE2" s="1352"/>
      <c r="AF2" s="1352"/>
      <c r="AG2" s="1352"/>
      <c r="AH2" s="1352"/>
      <c r="AI2" s="1352"/>
      <c r="AJ2" s="1353"/>
    </row>
    <row r="3" spans="1:36" ht="15.75">
      <c r="A3" s="209" t="s">
        <v>2563</v>
      </c>
      <c r="B3" s="210">
        <f>ROUND(B2*10000/D1,0)</f>
        <v>810</v>
      </c>
      <c r="C3" s="2155" t="s">
        <v>2564</v>
      </c>
      <c r="D3" s="2156" t="s">
        <v>2565</v>
      </c>
      <c r="E3" s="2161" t="s">
        <v>3125</v>
      </c>
      <c r="F3" s="2162" t="s">
        <v>3124</v>
      </c>
      <c r="G3" s="855">
        <f>IF(F3="宗地容积率",'数据-汇总表'!I4,IF(F3="估价对象容积率",'数据-汇总表'!I6,'数据-汇总表'!I7))</f>
        <v>1.47</v>
      </c>
      <c r="H3" s="175" t="s">
        <v>2566</v>
      </c>
      <c r="I3" s="881"/>
      <c r="J3" s="2159" t="s">
        <v>2567</v>
      </c>
      <c r="K3" s="1252"/>
      <c r="L3" s="2160" t="s">
        <v>2568</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1281</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432"/>
      <c r="B4" s="3433"/>
      <c r="C4" s="3433"/>
      <c r="D4" s="3434"/>
      <c r="E4" s="3434"/>
      <c r="F4" s="3434"/>
      <c r="G4" s="3434"/>
      <c r="H4" s="3434"/>
      <c r="I4" s="3434"/>
      <c r="J4" s="3435"/>
      <c r="K4" s="1252"/>
      <c r="L4" s="2160" t="s">
        <v>2569</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1008</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2570</v>
      </c>
      <c r="C5" s="856">
        <f>ROUND(IF(E2="商业",C6*C7+C16,(IF(E2="住宅",C6*C12+C16,C6+C16))),0)</f>
        <v>730</v>
      </c>
      <c r="D5" s="1493">
        <f>ROUND(C6+C16,0)</f>
        <v>730</v>
      </c>
      <c r="E5" s="1493"/>
      <c r="F5" s="2165"/>
      <c r="G5" s="2166"/>
      <c r="H5" s="2166"/>
      <c r="I5" s="2166"/>
      <c r="J5" s="2167"/>
      <c r="K5" s="2168"/>
      <c r="L5" s="2160" t="s">
        <v>2571</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753</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2572</v>
      </c>
      <c r="B6" s="2174" t="s">
        <v>2573</v>
      </c>
      <c r="C6" s="857">
        <f>SUMIF(L1:L12,G2,M1:M12)</f>
        <v>730</v>
      </c>
      <c r="D6" s="2175" t="s">
        <v>2574</v>
      </c>
      <c r="E6" s="2176"/>
      <c r="F6" s="2176"/>
      <c r="G6" s="2177"/>
      <c r="H6" s="2177"/>
      <c r="I6" s="2177"/>
      <c r="J6" s="2178"/>
      <c r="K6" s="1538"/>
      <c r="L6" s="2160" t="s">
        <v>2575</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566</v>
      </c>
      <c r="U6" s="1347"/>
      <c r="V6" s="1346">
        <f t="shared" si="1"/>
        <v>0</v>
      </c>
      <c r="W6" s="1350"/>
      <c r="X6" s="1350"/>
      <c r="Y6" s="1350"/>
      <c r="Z6" s="1350"/>
      <c r="AA6" s="1350"/>
      <c r="AB6" s="1350"/>
      <c r="AC6" s="2169"/>
      <c r="AD6" s="2170"/>
      <c r="AE6" s="2170"/>
      <c r="AF6" s="2170"/>
      <c r="AG6" s="2170"/>
      <c r="AH6" s="2170"/>
      <c r="AI6" s="2170"/>
      <c r="AJ6" s="2171"/>
    </row>
    <row r="7" spans="1:36" ht="24">
      <c r="A7" s="3436" t="str">
        <f>IF(E2="商业",IF(C8="不临58条商业街","",2),"")</f>
        <v/>
      </c>
      <c r="B7" s="2179" t="s">
        <v>2576</v>
      </c>
      <c r="C7" s="858">
        <f>IF(C8="不临58条商业街",1,ROUND(1+(1.6*E8+1.2*E9+0.8*E10+0.4*E11)*C9,4))</f>
        <v>1</v>
      </c>
      <c r="D7" s="2180" t="s">
        <v>2577</v>
      </c>
      <c r="E7" s="882"/>
      <c r="F7" s="2181"/>
      <c r="G7" s="2182"/>
      <c r="H7" s="2182"/>
      <c r="I7" s="2182"/>
      <c r="J7" s="2183"/>
      <c r="K7" s="1538"/>
      <c r="L7" s="2160" t="s">
        <v>2578</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453</v>
      </c>
      <c r="U7" s="1347"/>
      <c r="V7" s="1346">
        <f t="shared" si="1"/>
        <v>0</v>
      </c>
      <c r="W7" s="1512" t="s">
        <v>2579</v>
      </c>
      <c r="X7" s="1348" t="str">
        <f>G2</f>
        <v>九级</v>
      </c>
      <c r="Y7" s="1348" t="s">
        <v>2580</v>
      </c>
      <c r="Z7" s="1349">
        <f>G3</f>
        <v>1.47</v>
      </c>
      <c r="AA7" s="1350"/>
      <c r="AB7" s="1350"/>
      <c r="AC7" s="1351"/>
      <c r="AD7" s="1352"/>
      <c r="AE7" s="1352"/>
      <c r="AF7" s="1352"/>
      <c r="AG7" s="1352"/>
      <c r="AH7" s="1352"/>
      <c r="AI7" s="1352"/>
      <c r="AJ7" s="1353"/>
    </row>
    <row r="8" spans="1:36" ht="25.5">
      <c r="A8" s="3437"/>
      <c r="B8" s="175" t="s">
        <v>2581</v>
      </c>
      <c r="C8" s="2184" t="s">
        <v>3126</v>
      </c>
      <c r="D8" s="859" t="s">
        <v>139</v>
      </c>
      <c r="E8" s="860" t="e">
        <f>ROUND(C11/E7,4)</f>
        <v>#DIV/0!</v>
      </c>
      <c r="F8" s="2185" t="s">
        <v>2582</v>
      </c>
      <c r="G8" s="2186"/>
      <c r="H8" s="2186"/>
      <c r="I8" s="2186"/>
      <c r="J8" s="2187"/>
      <c r="K8" s="1252"/>
      <c r="L8" s="2160" t="s">
        <v>2583</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429" t="s">
        <v>2584</v>
      </c>
      <c r="X8" s="3430"/>
      <c r="Y8" s="1354" t="s">
        <v>2585</v>
      </c>
      <c r="Z8" s="1354" t="s">
        <v>2586</v>
      </c>
      <c r="AA8" s="1354" t="s">
        <v>2587</v>
      </c>
      <c r="AB8" s="1354" t="s">
        <v>2588</v>
      </c>
      <c r="AC8" s="1354" t="s">
        <v>2589</v>
      </c>
      <c r="AD8" s="1354" t="s">
        <v>2590</v>
      </c>
      <c r="AE8" s="1354" t="s">
        <v>2591</v>
      </c>
      <c r="AF8" s="1354" t="s">
        <v>2592</v>
      </c>
      <c r="AG8" s="1354" t="s">
        <v>2593</v>
      </c>
      <c r="AH8" s="1354" t="s">
        <v>2594</v>
      </c>
      <c r="AI8" s="1354" t="s">
        <v>2595</v>
      </c>
      <c r="AJ8" s="1354" t="s">
        <v>2596</v>
      </c>
    </row>
    <row r="9" spans="1:36" ht="15">
      <c r="A9" s="3437"/>
      <c r="B9" s="175" t="s">
        <v>2597</v>
      </c>
      <c r="C9" s="861">
        <f>SUMIF(修正!C59:C119,C8,修正!E59:E119)</f>
        <v>0</v>
      </c>
      <c r="D9" s="176" t="s">
        <v>140</v>
      </c>
      <c r="E9" s="176" t="e">
        <f>ROUND(C11/E7,4)</f>
        <v>#DIV/0!</v>
      </c>
      <c r="F9" s="2185" t="s">
        <v>2598</v>
      </c>
      <c r="G9" s="2186"/>
      <c r="H9" s="2186"/>
      <c r="I9" s="2186"/>
      <c r="J9" s="2187"/>
      <c r="K9" s="1252"/>
      <c r="L9" s="2160" t="s">
        <v>2599</v>
      </c>
      <c r="M9" s="995">
        <f>SUMPRODUCT((区片价!B245:B289=I2)*(区片价!C3:F3=E2)*(区片价!C245:F289))</f>
        <v>730</v>
      </c>
      <c r="N9" s="997">
        <f>SUMPRODUCT((因素修正幅度!B245:B289=I2)*(因素修正幅度!C3:F3=E2)*(因素修正幅度!C245:F289))</f>
        <v>0.05</v>
      </c>
      <c r="O9" s="1252"/>
      <c r="P9" s="1252"/>
      <c r="Q9" s="1252"/>
      <c r="R9" s="1346">
        <v>8</v>
      </c>
      <c r="S9" s="1347"/>
      <c r="T9" s="1346">
        <f t="shared" si="0"/>
        <v>0</v>
      </c>
      <c r="U9" s="1347"/>
      <c r="V9" s="1346">
        <f t="shared" si="1"/>
        <v>0</v>
      </c>
      <c r="W9" s="3431" t="s">
        <v>2600</v>
      </c>
      <c r="X9" s="1355" t="s">
        <v>2601</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437"/>
      <c r="B10" s="175" t="s">
        <v>2602</v>
      </c>
      <c r="C10" s="176">
        <f>SUMIF(修正!C59:C119,C8,修正!F59:F119)</f>
        <v>0</v>
      </c>
      <c r="D10" s="176" t="s">
        <v>141</v>
      </c>
      <c r="E10" s="176" t="e">
        <f>ROUND(C11/E7,4)</f>
        <v>#DIV/0!</v>
      </c>
      <c r="F10" s="2185" t="s">
        <v>2603</v>
      </c>
      <c r="G10" s="2186"/>
      <c r="H10" s="2186"/>
      <c r="I10" s="2186"/>
      <c r="J10" s="2187"/>
      <c r="K10" s="1252"/>
      <c r="L10" s="2160" t="s">
        <v>2604</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431"/>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437"/>
      <c r="B11" s="2188" t="s">
        <v>2605</v>
      </c>
      <c r="C11" s="862">
        <f>C10/4</f>
        <v>0</v>
      </c>
      <c r="D11" s="862" t="s">
        <v>142</v>
      </c>
      <c r="E11" s="862" t="e">
        <f>ROUND(C11/E7,4)</f>
        <v>#DIV/0!</v>
      </c>
      <c r="F11" s="2189" t="s">
        <v>2606</v>
      </c>
      <c r="G11" s="2190"/>
      <c r="H11" s="2190"/>
      <c r="I11" s="2190"/>
      <c r="J11" s="2191"/>
      <c r="K11" s="1252"/>
      <c r="L11" s="2160" t="s">
        <v>2607</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431" t="s">
        <v>2608</v>
      </c>
      <c r="X11" s="1358" t="s">
        <v>2609</v>
      </c>
      <c r="Y11" s="1359">
        <f>$G$3</f>
        <v>1.47</v>
      </c>
      <c r="Z11" s="1359">
        <f t="shared" ref="Z11:AJ11" si="3">$G$3</f>
        <v>1.47</v>
      </c>
      <c r="AA11" s="1359">
        <f t="shared" si="3"/>
        <v>1.47</v>
      </c>
      <c r="AB11" s="1359">
        <f t="shared" si="3"/>
        <v>1.47</v>
      </c>
      <c r="AC11" s="1359">
        <f t="shared" si="3"/>
        <v>1.47</v>
      </c>
      <c r="AD11" s="1359">
        <f t="shared" si="3"/>
        <v>1.47</v>
      </c>
      <c r="AE11" s="1359">
        <f t="shared" si="3"/>
        <v>1.47</v>
      </c>
      <c r="AF11" s="1359">
        <f t="shared" si="3"/>
        <v>1.47</v>
      </c>
      <c r="AG11" s="1359">
        <f t="shared" si="3"/>
        <v>1.47</v>
      </c>
      <c r="AH11" s="1359">
        <f t="shared" si="3"/>
        <v>1.47</v>
      </c>
      <c r="AI11" s="1359">
        <f t="shared" si="3"/>
        <v>1.47</v>
      </c>
      <c r="AJ11" s="1359">
        <f t="shared" si="3"/>
        <v>1.47</v>
      </c>
    </row>
    <row r="12" spans="1:36" ht="25.5" thickBot="1">
      <c r="A12" s="3436" t="s">
        <v>2610</v>
      </c>
      <c r="B12" s="2192" t="s">
        <v>2611</v>
      </c>
      <c r="C12" s="858">
        <f>ROUND(C15*D15*E15*F15*G15*H15*I15*J15,4)</f>
        <v>1</v>
      </c>
      <c r="D12" s="2193" t="s">
        <v>2612</v>
      </c>
      <c r="E12" s="2194"/>
      <c r="F12" s="2194"/>
      <c r="G12" s="2195"/>
      <c r="H12" s="2195"/>
      <c r="I12" s="2195"/>
      <c r="J12" s="2196"/>
      <c r="K12" s="1252"/>
      <c r="L12" s="2197" t="s">
        <v>2613</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431"/>
      <c r="X12" s="1360" t="s">
        <v>2614</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438"/>
      <c r="B13" s="2198" t="s">
        <v>2615</v>
      </c>
      <c r="C13" s="2199" t="s">
        <v>2616</v>
      </c>
      <c r="D13" s="1504" t="s">
        <v>2617</v>
      </c>
      <c r="E13" s="1504" t="s">
        <v>2618</v>
      </c>
      <c r="F13" s="30" t="s">
        <v>2619</v>
      </c>
      <c r="G13" s="2200" t="s">
        <v>2620</v>
      </c>
      <c r="H13" s="2200" t="s">
        <v>2620</v>
      </c>
      <c r="I13" s="2200" t="s">
        <v>2620</v>
      </c>
      <c r="J13" s="2201" t="s">
        <v>2620</v>
      </c>
      <c r="K13" s="1252"/>
      <c r="L13" s="1252"/>
      <c r="M13" s="1252"/>
      <c r="N13" s="1252"/>
      <c r="O13" s="1252"/>
      <c r="P13" s="1252"/>
      <c r="Q13" s="1252"/>
      <c r="R13" s="1346">
        <v>12</v>
      </c>
      <c r="S13" s="1347"/>
      <c r="T13" s="1346">
        <f t="shared" si="0"/>
        <v>0</v>
      </c>
      <c r="U13" s="1347"/>
      <c r="V13" s="1346">
        <f t="shared" si="1"/>
        <v>0</v>
      </c>
      <c r="W13" s="3431"/>
      <c r="X13" s="1360"/>
      <c r="Y13" s="1357">
        <f>(-0.163*(Y12^2)-0.59*Y12+7617)*(10^(-4))/Y11</f>
        <v>0.51816326530612244</v>
      </c>
      <c r="Z13" s="1357">
        <f t="shared" ref="Z13:AJ13" si="5">(-0.163*(Z12^2)-0.59*Z12+7617)*(10^(-4))/Z11</f>
        <v>0.51816326530612244</v>
      </c>
      <c r="AA13" s="1357">
        <f t="shared" si="5"/>
        <v>0.51816326530612244</v>
      </c>
      <c r="AB13" s="1357">
        <f t="shared" si="5"/>
        <v>0.51816326530612244</v>
      </c>
      <c r="AC13" s="1357">
        <f t="shared" si="5"/>
        <v>0.51816326530612244</v>
      </c>
      <c r="AD13" s="1357">
        <f t="shared" si="5"/>
        <v>0.51816326530612244</v>
      </c>
      <c r="AE13" s="1357">
        <f t="shared" si="5"/>
        <v>0.51816326530612244</v>
      </c>
      <c r="AF13" s="1357">
        <f t="shared" si="5"/>
        <v>0.51816326530612244</v>
      </c>
      <c r="AG13" s="1357">
        <f t="shared" si="5"/>
        <v>0.51816326530612244</v>
      </c>
      <c r="AH13" s="1357">
        <f t="shared" si="5"/>
        <v>0.51816326530612244</v>
      </c>
      <c r="AI13" s="1357">
        <f t="shared" si="5"/>
        <v>0.51816326530612244</v>
      </c>
      <c r="AJ13" s="1357">
        <f t="shared" si="5"/>
        <v>0.51816326530612244</v>
      </c>
    </row>
    <row r="14" spans="1:36" ht="15">
      <c r="A14" s="3438"/>
      <c r="B14" s="2202"/>
      <c r="C14" s="2203"/>
      <c r="D14" s="2204"/>
      <c r="E14" s="2204"/>
      <c r="F14" s="2205"/>
      <c r="G14" s="2206" t="s">
        <v>2621</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69"/>
      <c r="AE14" s="2969"/>
      <c r="AF14" s="2969"/>
      <c r="AG14" s="2969"/>
      <c r="AH14" s="2969"/>
      <c r="AI14" s="2969"/>
      <c r="AJ14" s="2970"/>
    </row>
    <row r="15" spans="1:36" ht="15.75" thickBot="1">
      <c r="A15" s="3439"/>
      <c r="B15" s="2210" t="s">
        <v>2622</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69"/>
      <c r="AE15" s="2969"/>
      <c r="AF15" s="2969"/>
      <c r="AG15" s="2969"/>
      <c r="AH15" s="2969"/>
      <c r="AI15" s="2969"/>
      <c r="AJ15" s="2970"/>
    </row>
    <row r="16" spans="1:36" ht="24.6" customHeight="1">
      <c r="A16" s="3436" t="s">
        <v>2627</v>
      </c>
      <c r="B16" s="2179" t="s">
        <v>2628</v>
      </c>
      <c r="C16" s="2341">
        <f>ROUND(IF(F17="与级别开发程度一致",0,(G17-E17)/C17),0)</f>
        <v>0</v>
      </c>
      <c r="D16" s="3452" t="s">
        <v>2632</v>
      </c>
      <c r="E16" s="3453"/>
      <c r="F16" s="3452" t="s">
        <v>2629</v>
      </c>
      <c r="G16" s="3453"/>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69"/>
      <c r="AE16" s="2969"/>
      <c r="AF16" s="2969"/>
      <c r="AG16" s="2969"/>
      <c r="AH16" s="2969"/>
      <c r="AI16" s="2969"/>
      <c r="AJ16" s="2970"/>
    </row>
    <row r="17" spans="1:37" ht="26.25" thickBot="1">
      <c r="A17" s="3440"/>
      <c r="B17" s="2352" t="s">
        <v>2631</v>
      </c>
      <c r="C17" s="2353">
        <f>SUMPRODUCT((修正!A2:A5=E2)*(修正!B1:M1=G2)*(修正!B2:M5))</f>
        <v>1</v>
      </c>
      <c r="D17" s="193" t="str">
        <f>IF(OR(G2="八级",G2="九级",G2="十级",G2="十一级",G2="十二级"),"五通一平","七通一平")</f>
        <v>五通一平</v>
      </c>
      <c r="E17" s="2342">
        <f>SUMPRODUCT((修正!B1:M1=G2)*(修正!B15:M15))</f>
        <v>155</v>
      </c>
      <c r="F17" s="2343" t="s">
        <v>3127</v>
      </c>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2634</v>
      </c>
      <c r="C18" s="2348">
        <f>SUMIF(修正!C18:C39,E3,修正!E18:E39)</f>
        <v>1</v>
      </c>
      <c r="D18" s="2349"/>
      <c r="E18" s="2350"/>
      <c r="F18" s="2350"/>
      <c r="G18" s="2350"/>
      <c r="H18" s="2350"/>
      <c r="I18" s="2350"/>
      <c r="J18" s="2351"/>
      <c r="K18" s="1259"/>
      <c r="L18" s="2968"/>
      <c r="M18" s="2968"/>
      <c r="N18" s="2968"/>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68"/>
    </row>
    <row r="19" spans="1:37" s="2172" customFormat="1" ht="27.75" thickBot="1">
      <c r="A19" s="2216" t="s">
        <v>809</v>
      </c>
      <c r="B19" s="2217" t="s">
        <v>2635</v>
      </c>
      <c r="C19" s="863">
        <f>ROUND(IF(H19="按公示增长率计算",SUMPRODUCT((地价!A3:A37=YEAR(G19)&amp;"-"&amp;ROUNDUP(MONTH(G19)/3,0))*(地价!X2:AB2=E2)*(地价!X3:AB37)),IF(H19="地价指数",M20/M19,(1+I19)^O19)),4)</f>
        <v>1.4521999999999999</v>
      </c>
      <c r="D19" s="2221" t="s">
        <v>2636</v>
      </c>
      <c r="E19" s="864">
        <v>41640</v>
      </c>
      <c r="F19" s="2221" t="s">
        <v>2637</v>
      </c>
      <c r="G19" s="865">
        <f>'数据-取费表'!B2</f>
        <v>44628</v>
      </c>
      <c r="H19" s="2222" t="s">
        <v>3128</v>
      </c>
      <c r="I19" s="866" t="str">
        <f>IF(H19="季度增幅（自定义）",SUMIF(N21:N24,E2,O21:O24),"")</f>
        <v/>
      </c>
      <c r="J19" s="2219"/>
      <c r="K19" s="1259"/>
      <c r="L19" s="2223" t="s">
        <v>2638</v>
      </c>
      <c r="M19" s="1468">
        <f>ROUND(SUMIF(地价!B2:F2,E2,地价!B37:F37),0)</f>
        <v>230</v>
      </c>
      <c r="N19" s="2224" t="s">
        <v>2639</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71"/>
      <c r="AH19" s="2310"/>
      <c r="AI19" s="2972"/>
      <c r="AJ19" s="2972"/>
      <c r="AK19" s="2225"/>
    </row>
    <row r="20" spans="1:37" s="2172" customFormat="1" ht="27.75" thickBot="1">
      <c r="A20" s="2226" t="s">
        <v>810</v>
      </c>
      <c r="B20" s="2227" t="s">
        <v>2640</v>
      </c>
      <c r="C20" s="868">
        <f>ROUND(POWER(1+G20,J20-I20)*(POWER(1+G20,I20)-1)/(POWER(1+G20,J20)-1),4)</f>
        <v>0.9355</v>
      </c>
      <c r="D20" s="2228" t="s">
        <v>2641</v>
      </c>
      <c r="E20" s="1475">
        <f>存贷款利率!E20/100</f>
        <v>4.3499999999999997E-2</v>
      </c>
      <c r="F20" s="2228" t="s">
        <v>2633</v>
      </c>
      <c r="G20" s="873">
        <f>SUMIF(M26:P26,E2,M28:P28)</f>
        <v>4.8000000000000001E-2</v>
      </c>
      <c r="H20" s="2228" t="s">
        <v>2642</v>
      </c>
      <c r="I20" s="874">
        <f>SUMIF('数据-取费表'!C6:C15,E2,'数据-取费表'!F6:F15)/COUNTIF('数据-取费表'!C6:C15,E2)</f>
        <v>39.869999999999997</v>
      </c>
      <c r="J20" s="875">
        <f>IF(E2="住宅",70,IF(E2="商业",40,50))</f>
        <v>50</v>
      </c>
      <c r="K20" s="1259"/>
      <c r="L20" s="2229" t="s">
        <v>2643</v>
      </c>
      <c r="M20" s="1469">
        <f>ROUND(SUMPRODUCT((地价!A4:A37=YEAR(G19)&amp;"-"&amp;ROUNDUP(MONTH(G19)/3,0))*(地价!B2:F2=E2)*(地价!B4:F37)),0)</f>
        <v>334</v>
      </c>
      <c r="N20" s="2230" t="s">
        <v>2644</v>
      </c>
      <c r="O20" s="2231" t="s">
        <v>2645</v>
      </c>
      <c r="P20" s="2232" t="s">
        <v>2646</v>
      </c>
      <c r="Q20" s="2968"/>
      <c r="R20" s="1258"/>
      <c r="S20" s="1258"/>
      <c r="T20" s="1253"/>
      <c r="U20" s="1253"/>
      <c r="V20" s="1253"/>
      <c r="W20" s="1252"/>
      <c r="X20" s="1252"/>
      <c r="Y20" s="1252"/>
      <c r="Z20" s="1259"/>
      <c r="AA20" s="1259"/>
      <c r="AB20" s="1259"/>
      <c r="AC20" s="1259"/>
      <c r="AD20" s="1259"/>
      <c r="AE20" s="1259"/>
      <c r="AF20" s="1259"/>
      <c r="AG20" s="2968"/>
      <c r="AH20" s="2968"/>
      <c r="AI20" s="2968"/>
      <c r="AJ20" s="2968"/>
    </row>
    <row r="21" spans="1:37" s="2172" customFormat="1" ht="15">
      <c r="A21" s="2233" t="s">
        <v>811</v>
      </c>
      <c r="B21" s="2234" t="s">
        <v>3129</v>
      </c>
      <c r="C21" s="876">
        <f>IF(B21="容积率修正",IF(G3&lt;=10,D22,J22),C23)</f>
        <v>0.80789999999999995</v>
      </c>
      <c r="D21" s="2235"/>
      <c r="E21" s="2235"/>
      <c r="F21" s="2235"/>
      <c r="G21" s="2235"/>
      <c r="H21" s="2235"/>
      <c r="I21" s="2235"/>
      <c r="J21" s="2236"/>
      <c r="K21" s="1259"/>
      <c r="L21" s="2968"/>
      <c r="M21" s="2968"/>
      <c r="N21" s="2237" t="s">
        <v>2647</v>
      </c>
      <c r="O21" s="1307"/>
      <c r="P21" s="1308">
        <f>SUMPRODUCT((地价!A3:A37=YEAR(G19)&amp;"-"&amp;ROUNDUP(MONTH(G19)/3,0))*(地价!AD2:AH2=N21)*(地价!AD3:AH37))</f>
        <v>1.0200000000000001E-2</v>
      </c>
      <c r="Q21" s="2968"/>
      <c r="R21" s="1258"/>
      <c r="S21" s="1258"/>
      <c r="T21" s="1253"/>
      <c r="U21" s="1253"/>
      <c r="V21" s="1253"/>
      <c r="W21" s="1252"/>
      <c r="X21" s="1252"/>
      <c r="Y21" s="1252"/>
      <c r="Z21" s="1259"/>
      <c r="AA21" s="1259"/>
      <c r="AB21" s="1259"/>
      <c r="AC21" s="1259"/>
      <c r="AD21" s="1259"/>
      <c r="AE21" s="1259"/>
      <c r="AF21" s="1259"/>
      <c r="AG21" s="2968"/>
      <c r="AH21" s="2968"/>
      <c r="AI21" s="2968"/>
      <c r="AJ21" s="2968"/>
    </row>
    <row r="22" spans="1:37" s="2172" customFormat="1" ht="14.25">
      <c r="A22" s="2111" t="s">
        <v>2648</v>
      </c>
      <c r="B22" s="2238" t="s">
        <v>2649</v>
      </c>
      <c r="C22" s="1506" t="s">
        <v>2650</v>
      </c>
      <c r="D22" s="1506">
        <f>IF(E22=G22,F22,IF(G3&lt;=10,ROUND(F22+(H22-F22)*(G3-E22)/(G22-E22),4),"——"))</f>
        <v>0.80789999999999995</v>
      </c>
      <c r="E22" s="855">
        <f>ROUNDDOWN(G3,1)</f>
        <v>1.4</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0.82379999999999998</v>
      </c>
      <c r="G22" s="855">
        <f>ROUNDUP(G3,1)</f>
        <v>1.5</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06" t="s">
        <v>155</v>
      </c>
      <c r="J22" s="877" t="str">
        <f>IF(G3&gt;10,D113,"——")</f>
        <v>——</v>
      </c>
      <c r="K22" s="1259"/>
      <c r="L22" s="2968"/>
      <c r="M22" s="2968"/>
      <c r="N22" s="2237" t="s">
        <v>2651</v>
      </c>
      <c r="O22" s="1307"/>
      <c r="P22" s="1308">
        <f>SUMPRODUCT((地价!A3:A37=YEAR(G19)&amp;"-"&amp;ROUNDUP(MONTH(G19)/3,0))*(地价!AD2:AH2=N22)*(地价!AD3:AH37))</f>
        <v>1.0200000000000001E-2</v>
      </c>
      <c r="Q22" s="2968"/>
      <c r="R22" s="1258"/>
      <c r="S22" s="1258"/>
      <c r="T22" s="1253"/>
      <c r="U22" s="1253"/>
      <c r="V22" s="1253"/>
      <c r="W22" s="1252"/>
      <c r="X22" s="1252"/>
      <c r="Y22" s="1252"/>
      <c r="Z22" s="1259"/>
      <c r="AA22" s="1259"/>
      <c r="AB22" s="1259"/>
      <c r="AC22" s="1259"/>
      <c r="AD22" s="1259"/>
      <c r="AE22" s="1259"/>
      <c r="AF22" s="1259"/>
      <c r="AG22" s="2968"/>
      <c r="AH22" s="2968"/>
      <c r="AI22" s="2968"/>
      <c r="AJ22" s="2968"/>
    </row>
    <row r="23" spans="1:37" ht="27.75" thickBot="1">
      <c r="A23" s="2111" t="s">
        <v>2652</v>
      </c>
      <c r="B23" s="2239" t="s">
        <v>2653</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2654</v>
      </c>
      <c r="O23" s="1307"/>
      <c r="P23" s="1308">
        <f>SUMPRODUCT((地价!A3:A37=YEAR(G19)&amp;"-"&amp;ROUNDUP(MONTH(G19)/3,0))*(地价!AD2:AH2=N23)*(地价!AD3:AH37))</f>
        <v>1.77E-2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2655</v>
      </c>
      <c r="C24" s="863">
        <f>SUMIF(A45:A88,E2,B45:B88)</f>
        <v>1.0092000000000001</v>
      </c>
      <c r="D24" s="2218"/>
      <c r="E24" s="2245"/>
      <c r="F24" s="2245"/>
      <c r="G24" s="2245"/>
      <c r="H24" s="2245"/>
      <c r="I24" s="2245"/>
      <c r="J24" s="2246"/>
      <c r="K24" s="1259"/>
      <c r="L24" s="2968"/>
      <c r="M24" s="2968"/>
      <c r="N24" s="2247" t="s">
        <v>2656</v>
      </c>
      <c r="O24" s="1309"/>
      <c r="P24" s="1310">
        <f>SUMPRODUCT((地价!A3:A37=YEAR(G19)&amp;"-"&amp;ROUNDUP(MONTH(G19)/3,0))*(地价!AD2:AH2=N24)*(地价!AD3:AH37))</f>
        <v>1.18E-2</v>
      </c>
      <c r="Q24" s="2968"/>
      <c r="R24" s="1258"/>
      <c r="S24" s="1258"/>
      <c r="T24" s="1253"/>
      <c r="U24" s="1253"/>
      <c r="V24" s="1253"/>
      <c r="W24" s="1252"/>
      <c r="X24" s="1252"/>
      <c r="Y24" s="1252"/>
      <c r="Z24" s="1259"/>
      <c r="AA24" s="1259"/>
      <c r="AB24" s="1259"/>
      <c r="AC24" s="1259"/>
      <c r="AD24" s="1259"/>
      <c r="AE24" s="1259"/>
      <c r="AF24" s="1259"/>
      <c r="AG24" s="2968"/>
      <c r="AH24" s="2968"/>
      <c r="AI24" s="2968"/>
      <c r="AJ24" s="2968"/>
    </row>
    <row r="25" spans="1:37" ht="15.75" thickBot="1">
      <c r="A25" s="2226" t="s">
        <v>813</v>
      </c>
      <c r="B25" s="2248" t="s">
        <v>2657</v>
      </c>
      <c r="C25" s="869"/>
      <c r="D25" s="2182"/>
      <c r="E25" s="2182"/>
      <c r="F25" s="2249"/>
      <c r="G25" s="2182"/>
      <c r="H25" s="2182"/>
      <c r="I25" s="2182"/>
      <c r="J25" s="2183"/>
      <c r="K25" s="1252"/>
      <c r="L25" s="2153"/>
      <c r="M25" s="2153"/>
      <c r="N25" s="2963" t="s">
        <v>2658</v>
      </c>
      <c r="O25" s="2964"/>
      <c r="P25" s="2965">
        <f>SUMPRODUCT((地价!A3:A37=YEAR(G19)&amp;"-"&amp;ROUNDUP(MONTH(G19)/3,0))*(地价!AD2:AH2=N25)*(地价!AD3:AH37))</f>
        <v>1.61E-2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2659</v>
      </c>
      <c r="C26" s="2512">
        <f>IF(B21="容积率修正",E29+SUM(E33:E39),SUM(V2:V16)+SUM(E33:E39))</f>
        <v>207</v>
      </c>
      <c r="D26" s="2251"/>
      <c r="E26" s="2207"/>
      <c r="F26" s="2252"/>
      <c r="G26" s="2207"/>
      <c r="H26" s="2207"/>
      <c r="I26" s="2207"/>
      <c r="J26" s="2253"/>
      <c r="K26" s="1252"/>
      <c r="L26" s="2966" t="s">
        <v>2559</v>
      </c>
      <c r="M26" s="2180" t="s">
        <v>2623</v>
      </c>
      <c r="N26" s="2180" t="s">
        <v>2624</v>
      </c>
      <c r="O26" s="2180" t="s">
        <v>2625</v>
      </c>
      <c r="P26" s="2967" t="s">
        <v>2626</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2660</v>
      </c>
      <c r="C27" s="870">
        <f>E30+SUM(I33:I39)</f>
        <v>0</v>
      </c>
      <c r="D27" s="2255"/>
      <c r="E27" s="2256"/>
      <c r="F27" s="2257"/>
      <c r="G27" s="2256"/>
      <c r="H27" s="2256"/>
      <c r="I27" s="2256"/>
      <c r="J27" s="2258"/>
      <c r="K27" s="1252"/>
      <c r="L27" s="2213" t="s">
        <v>2630</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2661</v>
      </c>
      <c r="C28" s="2261" t="s">
        <v>2662</v>
      </c>
      <c r="D28" s="2261" t="s">
        <v>2663</v>
      </c>
      <c r="E28" s="2262" t="s">
        <v>2664</v>
      </c>
      <c r="F28" s="2263"/>
      <c r="G28" s="2195"/>
      <c r="H28" s="2195"/>
      <c r="I28" s="2195"/>
      <c r="J28" s="2196"/>
      <c r="K28" s="1252"/>
      <c r="L28" s="2214" t="s">
        <v>2633</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2665</v>
      </c>
      <c r="C29" s="180">
        <f>ROUND(C5*C18*C19*C20*C21*C24,0)</f>
        <v>809</v>
      </c>
      <c r="D29" s="2266">
        <f>'数据-汇总表'!F19</f>
        <v>2555.66</v>
      </c>
      <c r="E29" s="879">
        <f>ROUND(C29*D29/10000,0)</f>
        <v>207</v>
      </c>
      <c r="F29" s="2267" t="s">
        <v>2666</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2667</v>
      </c>
      <c r="C30" s="193">
        <f>ROUND(IF(E2="工业",C29*M39,C29*M38),0)</f>
        <v>121</v>
      </c>
      <c r="D30" s="2272"/>
      <c r="E30" s="879">
        <f>ROUND(C30*D30/10000,0)</f>
        <v>0</v>
      </c>
      <c r="F30" s="2273" t="s">
        <v>2668</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2669</v>
      </c>
      <c r="C31" s="2278" t="s">
        <v>2670</v>
      </c>
      <c r="D31" s="2195"/>
      <c r="E31" s="2278"/>
      <c r="F31" s="2278"/>
      <c r="G31" s="2193" t="s">
        <v>2671</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2662</v>
      </c>
      <c r="D32" s="455" t="s">
        <v>2663</v>
      </c>
      <c r="E32" s="455" t="s">
        <v>2664</v>
      </c>
      <c r="F32" s="348" t="s">
        <v>2672</v>
      </c>
      <c r="G32" s="2281" t="s">
        <v>2662</v>
      </c>
      <c r="H32" s="2281" t="s">
        <v>2663</v>
      </c>
      <c r="I32" s="2281" t="s">
        <v>2664</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449"/>
      <c r="B33" s="2282" t="s">
        <v>2673</v>
      </c>
      <c r="C33" s="180">
        <f>ROUND(D5*C19*C20*C24*F33,0)</f>
        <v>601</v>
      </c>
      <c r="D33" s="2266"/>
      <c r="E33" s="176">
        <f>ROUND(C33*D33/10000,0)</f>
        <v>0</v>
      </c>
      <c r="F33" s="176">
        <f>SUMIF(修正!A45:A56,G2,修正!B45:B56)</f>
        <v>0.6</v>
      </c>
      <c r="G33" s="176">
        <f t="shared" ref="G33" si="6">ROUND(IF(E2="工业",C33*$M$39,C33*$M$38),0)</f>
        <v>90</v>
      </c>
      <c r="H33" s="176">
        <f>D33</f>
        <v>0</v>
      </c>
      <c r="I33" s="176">
        <f>ROUND(G33*H33/10000,0)</f>
        <v>0</v>
      </c>
      <c r="J33" s="3454" t="s">
        <v>2967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450"/>
      <c r="B34" s="2199" t="s">
        <v>2674</v>
      </c>
      <c r="C34" s="180">
        <f>ROUND(D5*C19*C20*C24*F34,0)</f>
        <v>300</v>
      </c>
      <c r="D34" s="2266"/>
      <c r="E34" s="176">
        <f t="shared" ref="E34:E39" si="7">ROUND(C34*D34/10000,0)</f>
        <v>0</v>
      </c>
      <c r="F34" s="176">
        <f>SUMIF(修正!A45:A56,G2,修正!C45:C56)</f>
        <v>0.3</v>
      </c>
      <c r="G34" s="176">
        <f>ROUND(IF(E2="工业",C34*$M$39,C34*$M$38),0)</f>
        <v>45</v>
      </c>
      <c r="H34" s="176">
        <f t="shared" ref="H34:H39" si="8">D34</f>
        <v>0</v>
      </c>
      <c r="I34" s="176">
        <f t="shared" ref="I34:I39" si="9">ROUND(G34*H34/10000,0)</f>
        <v>0</v>
      </c>
      <c r="J34" s="3450"/>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450"/>
      <c r="B35" s="2199" t="s">
        <v>2675</v>
      </c>
      <c r="C35" s="180">
        <f>ROUND(D5*C19*C20*C24*F35,0)</f>
        <v>200</v>
      </c>
      <c r="D35" s="2266"/>
      <c r="E35" s="176">
        <f t="shared" si="7"/>
        <v>0</v>
      </c>
      <c r="F35" s="176">
        <f>SUMIF(修正!A45:A56,G2,修正!D45:D56)</f>
        <v>0.2</v>
      </c>
      <c r="G35" s="176">
        <f>ROUND(IF(E2="工业",C35*$M$39,C35*$M$38),0)</f>
        <v>30</v>
      </c>
      <c r="H35" s="176">
        <f t="shared" si="8"/>
        <v>0</v>
      </c>
      <c r="I35" s="176">
        <f t="shared" si="9"/>
        <v>0</v>
      </c>
      <c r="J35" s="3450"/>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451"/>
      <c r="B36" s="2199" t="s">
        <v>2676</v>
      </c>
      <c r="C36" s="180">
        <f>ROUND(D5*C19*C20*C24*F36,0)</f>
        <v>200</v>
      </c>
      <c r="D36" s="2266"/>
      <c r="E36" s="176">
        <f t="shared" si="7"/>
        <v>0</v>
      </c>
      <c r="F36" s="176">
        <f>SUMIF(修正!A45:A56,G2,修正!E45:E56)</f>
        <v>0.2</v>
      </c>
      <c r="G36" s="176">
        <f>ROUND(IF(E2="工业",C36*$M$39,C36*$M$38),0)</f>
        <v>30</v>
      </c>
      <c r="H36" s="176">
        <f t="shared" si="8"/>
        <v>0</v>
      </c>
      <c r="I36" s="176">
        <f t="shared" si="9"/>
        <v>0</v>
      </c>
      <c r="J36" s="3451"/>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2677</v>
      </c>
      <c r="C37" s="176">
        <f>ROUND(D5*C19*C20*C24*F37,0)</f>
        <v>200</v>
      </c>
      <c r="D37" s="2266"/>
      <c r="E37" s="176">
        <f t="shared" si="7"/>
        <v>0</v>
      </c>
      <c r="F37" s="180">
        <f>SUMIF(修正!A45:A56,G2,修正!F45:F56)</f>
        <v>0.2</v>
      </c>
      <c r="G37" s="176">
        <f>ROUND(IF(E2="工业",C37*$M$39,C37*$M$38),0)</f>
        <v>30</v>
      </c>
      <c r="H37" s="176">
        <f t="shared" si="8"/>
        <v>0</v>
      </c>
      <c r="I37" s="176">
        <f t="shared" si="9"/>
        <v>0</v>
      </c>
      <c r="J37" s="2283"/>
      <c r="K37" s="1252"/>
      <c r="L37" s="2285" t="s">
        <v>2678</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2679</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2680</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2681</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2626</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2786</v>
      </c>
      <c r="C41" s="348">
        <f>ROUND(POWER(1+E41,H41-G41)*(POWER(1+E41,G41)-1)/(POWER(1+E41,H41)-1),4)</f>
        <v>0</v>
      </c>
      <c r="D41" s="176" t="s">
        <v>2633</v>
      </c>
      <c r="E41" s="2339">
        <f>G20</f>
        <v>4.8000000000000001E-2</v>
      </c>
      <c r="F41" s="176" t="s">
        <v>2642</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2682</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2683</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2684</v>
      </c>
      <c r="B47" s="1505" t="s">
        <v>2685</v>
      </c>
      <c r="C47" s="1505" t="s">
        <v>2686</v>
      </c>
      <c r="D47" s="1505" t="s">
        <v>2687</v>
      </c>
      <c r="E47" s="758" t="s">
        <v>2688</v>
      </c>
      <c r="F47" s="2300" t="s">
        <v>2689</v>
      </c>
      <c r="G47" s="1505" t="s">
        <v>754</v>
      </c>
      <c r="H47" s="2301" t="s">
        <v>2690</v>
      </c>
      <c r="I47" s="1505" t="s">
        <v>2691</v>
      </c>
      <c r="J47" s="560" t="s">
        <v>2342</v>
      </c>
      <c r="K47" s="560" t="s">
        <v>2343</v>
      </c>
      <c r="L47" s="560" t="s">
        <v>2344</v>
      </c>
      <c r="M47" s="560" t="s">
        <v>2345</v>
      </c>
      <c r="N47" s="560" t="s">
        <v>2346</v>
      </c>
      <c r="AA47" s="1253"/>
      <c r="AB47" s="1253"/>
      <c r="AC47" s="1253"/>
      <c r="AD47" s="1253"/>
      <c r="AE47" s="1253"/>
      <c r="AF47" s="1253"/>
      <c r="AG47" s="1253"/>
      <c r="AH47" s="1253"/>
      <c r="AI47" s="1253"/>
      <c r="AJ47" s="1253"/>
      <c r="AK47" s="1253"/>
    </row>
    <row r="48" spans="1:37" s="1252" customFormat="1" ht="24.75">
      <c r="A48" s="2299" t="s">
        <v>2692</v>
      </c>
      <c r="B48" s="2302">
        <f>估价对象房地状况!C4</f>
        <v>0</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9" t="s">
        <v>2693</v>
      </c>
      <c r="B49" s="2303">
        <f>估价对象房地状况!C18</f>
        <v>0</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2694</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2695</v>
      </c>
      <c r="B51" s="2304" t="s">
        <v>2696</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2697</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2698</v>
      </c>
      <c r="B53" s="2305" t="s">
        <v>2699</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6" t="s">
        <v>2700</v>
      </c>
      <c r="B54" s="1466">
        <f>估价对象房地状况!C21</f>
        <v>0</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6" t="s">
        <v>2701</v>
      </c>
      <c r="B55" s="2303">
        <f>估价对象房地状况!C22</f>
        <v>0</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7" t="s">
        <v>2702</v>
      </c>
      <c r="B56" s="2308">
        <f>估价对象房地状况!C20</f>
        <v>0</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2703</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2684</v>
      </c>
      <c r="B58" s="1505"/>
      <c r="C58" s="1505" t="s">
        <v>2686</v>
      </c>
      <c r="D58" s="1505" t="s">
        <v>2687</v>
      </c>
      <c r="E58" s="758" t="s">
        <v>2688</v>
      </c>
      <c r="F58" s="2300" t="s">
        <v>2704</v>
      </c>
      <c r="G58" s="1505" t="s">
        <v>754</v>
      </c>
      <c r="H58" s="2301" t="s">
        <v>2690</v>
      </c>
      <c r="I58" s="1505" t="s">
        <v>2691</v>
      </c>
      <c r="J58" s="560" t="s">
        <v>2342</v>
      </c>
      <c r="K58" s="560" t="s">
        <v>2343</v>
      </c>
      <c r="L58" s="560" t="s">
        <v>2344</v>
      </c>
      <c r="M58" s="560" t="s">
        <v>2345</v>
      </c>
      <c r="N58" s="560" t="s">
        <v>2346</v>
      </c>
      <c r="AA58" s="1253"/>
      <c r="AB58" s="1253"/>
      <c r="AC58" s="1253"/>
      <c r="AD58" s="1253"/>
      <c r="AE58" s="1253"/>
      <c r="AF58" s="1253"/>
      <c r="AG58" s="1253"/>
      <c r="AH58" s="1253"/>
      <c r="AI58" s="1253"/>
      <c r="AJ58" s="1253"/>
      <c r="AK58" s="1253"/>
    </row>
    <row r="59" spans="1:37" s="1252" customFormat="1" ht="24">
      <c r="A59" s="2299" t="s">
        <v>2705</v>
      </c>
      <c r="B59" s="2302">
        <f>估价对象房地状况!C17</f>
        <v>0</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9" t="s">
        <v>2693</v>
      </c>
      <c r="B60" s="2303">
        <f>估价对象房地状况!C18</f>
        <v>0</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2694</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2695</v>
      </c>
      <c r="B62" s="2304" t="s">
        <v>2696</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2697</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2698</v>
      </c>
      <c r="B64" s="2305" t="s">
        <v>2699</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9" t="s">
        <v>2700</v>
      </c>
      <c r="B65" s="1466">
        <f>估价对象房地状况!C21</f>
        <v>0</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9" t="s">
        <v>2701</v>
      </c>
      <c r="B66" s="1466">
        <f>估价对象房地状况!C22</f>
        <v>0</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7" t="s">
        <v>2702</v>
      </c>
      <c r="B67" s="2309">
        <f>估价对象房地状况!C20</f>
        <v>0</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2706</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2684</v>
      </c>
      <c r="B69" s="1505"/>
      <c r="C69" s="1505" t="s">
        <v>2686</v>
      </c>
      <c r="D69" s="1505" t="s">
        <v>2687</v>
      </c>
      <c r="E69" s="758" t="s">
        <v>2688</v>
      </c>
      <c r="F69" s="2300" t="s">
        <v>2704</v>
      </c>
      <c r="G69" s="1505" t="s">
        <v>754</v>
      </c>
      <c r="H69" s="2301" t="s">
        <v>2690</v>
      </c>
      <c r="I69" s="1505" t="s">
        <v>2691</v>
      </c>
      <c r="J69" s="560" t="s">
        <v>2342</v>
      </c>
      <c r="K69" s="560" t="s">
        <v>2343</v>
      </c>
      <c r="L69" s="560" t="s">
        <v>2344</v>
      </c>
      <c r="M69" s="560" t="s">
        <v>2345</v>
      </c>
      <c r="N69" s="560" t="s">
        <v>2346</v>
      </c>
      <c r="AA69" s="1253"/>
      <c r="AB69" s="1253"/>
      <c r="AC69" s="1253"/>
      <c r="AD69" s="1253"/>
      <c r="AE69" s="1253"/>
      <c r="AF69" s="1253"/>
      <c r="AG69" s="1253"/>
      <c r="AH69" s="1253"/>
      <c r="AI69" s="1253"/>
      <c r="AJ69" s="1253"/>
      <c r="AK69" s="1253"/>
    </row>
    <row r="70" spans="1:37" s="1252" customFormat="1" ht="24">
      <c r="A70" s="2299" t="s">
        <v>2707</v>
      </c>
      <c r="B70" s="2302">
        <f>估价对象房地状况!C15</f>
        <v>0</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9" t="s">
        <v>2693</v>
      </c>
      <c r="B71" s="2303">
        <f>估价对象房地状况!C18</f>
        <v>0</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2694</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2708</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9" t="s">
        <v>2700</v>
      </c>
      <c r="B74" s="1466">
        <f>估价对象房地状况!C21</f>
        <v>0</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9" t="s">
        <v>2701</v>
      </c>
      <c r="B75" s="1466">
        <f>估价对象房地状况!C22</f>
        <v>0</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2698</v>
      </c>
      <c r="B76" s="2305" t="s">
        <v>2699</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24">
      <c r="A77" s="2299" t="s">
        <v>2702</v>
      </c>
      <c r="B77" s="2302">
        <f>估价对象房地状况!C20</f>
        <v>0</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2709</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2710</v>
      </c>
      <c r="B79" s="2296">
        <f>1+E81</f>
        <v>1.0092000000000001</v>
      </c>
      <c r="C79" s="753"/>
      <c r="D79" s="753"/>
      <c r="E79" s="754"/>
      <c r="F79" s="2298"/>
      <c r="G79" s="6"/>
      <c r="H79" s="6"/>
      <c r="I79" s="6"/>
      <c r="J79" s="7"/>
      <c r="K79" s="7"/>
      <c r="L79" s="7"/>
      <c r="M79" s="7"/>
      <c r="N79" s="7"/>
      <c r="Z79" s="2154"/>
      <c r="AA79" s="2220"/>
      <c r="AG79" s="1254"/>
      <c r="AK79" s="2220"/>
    </row>
    <row r="80" spans="1:37" ht="24.75">
      <c r="A80" s="2299" t="s">
        <v>2684</v>
      </c>
      <c r="B80" s="1505"/>
      <c r="C80" s="1505" t="s">
        <v>2686</v>
      </c>
      <c r="D80" s="1505" t="s">
        <v>2687</v>
      </c>
      <c r="E80" s="758" t="s">
        <v>2688</v>
      </c>
      <c r="F80" s="2300" t="s">
        <v>2704</v>
      </c>
      <c r="G80" s="1505" t="s">
        <v>754</v>
      </c>
      <c r="H80" s="2301" t="s">
        <v>2690</v>
      </c>
      <c r="I80" s="1505" t="s">
        <v>2691</v>
      </c>
      <c r="J80" s="560" t="s">
        <v>2342</v>
      </c>
      <c r="K80" s="560" t="s">
        <v>2343</v>
      </c>
      <c r="L80" s="560" t="s">
        <v>2344</v>
      </c>
      <c r="M80" s="560" t="s">
        <v>2345</v>
      </c>
      <c r="N80" s="560" t="s">
        <v>2346</v>
      </c>
      <c r="Z80" s="2154"/>
      <c r="AA80" s="2220"/>
      <c r="AG80" s="1254"/>
      <c r="AK80" s="2220"/>
    </row>
    <row r="81" spans="1:37" ht="24">
      <c r="A81" s="2299" t="s">
        <v>2711</v>
      </c>
      <c r="B81" s="2303" t="str">
        <f>估价对象房地状况!G15</f>
        <v>一般</v>
      </c>
      <c r="C81" s="2204" t="s">
        <v>3130</v>
      </c>
      <c r="D81" s="1196">
        <f t="shared" ref="D81:D88" si="25">SUMIF($J$80:$N$80,C81,J81:N81)</f>
        <v>6.4999999999999997E-3</v>
      </c>
      <c r="E81" s="760">
        <f>ROUND(SUM(D81:D88),4)</f>
        <v>9.1999999999999998E-3</v>
      </c>
      <c r="F81" s="1970">
        <f>IF(E2="工业",SUMIF(L1:L12,G2,N1:N12),"——")</f>
        <v>0.05</v>
      </c>
      <c r="G81" s="1194">
        <f>H81</f>
        <v>6.4999999999999997E-3</v>
      </c>
      <c r="H81" s="1198">
        <f t="shared" ref="H81:H88" si="26">IFERROR(ROUNDDOWN($F$81*I81/2,4),"——")</f>
        <v>6.4999999999999997E-3</v>
      </c>
      <c r="I81" s="759">
        <v>0.26</v>
      </c>
      <c r="J81" s="1195">
        <f t="shared" ref="J81:J88" si="27">K81+$G81</f>
        <v>1.2999999999999999E-2</v>
      </c>
      <c r="K81" s="1195">
        <f t="shared" ref="K81:K88" si="28">$L81+$G81</f>
        <v>6.4999999999999997E-3</v>
      </c>
      <c r="L81" s="1195">
        <v>0</v>
      </c>
      <c r="M81" s="1195">
        <f t="shared" ref="M81:N88" si="29">L81-$G81</f>
        <v>-6.4999999999999997E-3</v>
      </c>
      <c r="N81" s="1195">
        <f t="shared" si="29"/>
        <v>-1.2999999999999999E-2</v>
      </c>
      <c r="Z81" s="2154"/>
      <c r="AA81" s="2220"/>
      <c r="AG81" s="1254"/>
      <c r="AK81" s="2220"/>
    </row>
    <row r="82" spans="1:37" ht="14.25">
      <c r="A82" s="2299" t="s">
        <v>2693</v>
      </c>
      <c r="B82" s="2303" t="str">
        <f>估价对象房地状况!G16</f>
        <v>一般</v>
      </c>
      <c r="C82" s="2204" t="s">
        <v>3131</v>
      </c>
      <c r="D82" s="1196">
        <f t="shared" si="25"/>
        <v>0</v>
      </c>
      <c r="E82" s="765"/>
      <c r="F82" s="1970"/>
      <c r="G82" s="1194">
        <f t="shared" ref="G82:G88" si="30">H82</f>
        <v>8.2000000000000007E-3</v>
      </c>
      <c r="H82" s="1198">
        <f t="shared" si="26"/>
        <v>8.2000000000000007E-3</v>
      </c>
      <c r="I82" s="759">
        <v>0.33</v>
      </c>
      <c r="J82" s="1195">
        <f t="shared" si="27"/>
        <v>1.6400000000000001E-2</v>
      </c>
      <c r="K82" s="1195">
        <f t="shared" si="28"/>
        <v>8.2000000000000007E-3</v>
      </c>
      <c r="L82" s="1195">
        <v>0</v>
      </c>
      <c r="M82" s="1195">
        <f t="shared" si="29"/>
        <v>-8.2000000000000007E-3</v>
      </c>
      <c r="N82" s="1195">
        <f t="shared" si="29"/>
        <v>-1.6400000000000001E-2</v>
      </c>
      <c r="Z82" s="2154"/>
      <c r="AA82" s="2220"/>
      <c r="AG82" s="1254"/>
      <c r="AK82" s="2220"/>
    </row>
    <row r="83" spans="1:37" ht="24">
      <c r="A83" s="2299" t="s">
        <v>2694</v>
      </c>
      <c r="B83" s="2303" t="str">
        <f>估价对象房地状况!G17</f>
        <v>一般</v>
      </c>
      <c r="C83" s="2204" t="s">
        <v>3131</v>
      </c>
      <c r="D83" s="1196">
        <f t="shared" si="25"/>
        <v>0</v>
      </c>
      <c r="E83" s="765"/>
      <c r="F83" s="1970"/>
      <c r="G83" s="1194">
        <f t="shared" si="30"/>
        <v>1.1999999999999999E-3</v>
      </c>
      <c r="H83" s="1198">
        <f t="shared" si="26"/>
        <v>1.1999999999999999E-3</v>
      </c>
      <c r="I83" s="759">
        <v>0.05</v>
      </c>
      <c r="J83" s="1195">
        <f t="shared" si="27"/>
        <v>2.3999999999999998E-3</v>
      </c>
      <c r="K83" s="1195">
        <f t="shared" si="28"/>
        <v>1.1999999999999999E-3</v>
      </c>
      <c r="L83" s="1195">
        <v>0</v>
      </c>
      <c r="M83" s="1195">
        <f t="shared" si="29"/>
        <v>-1.1999999999999999E-3</v>
      </c>
      <c r="N83" s="1195">
        <f t="shared" si="29"/>
        <v>-2.3999999999999998E-3</v>
      </c>
      <c r="Z83" s="2154"/>
      <c r="AA83" s="2220"/>
      <c r="AG83" s="1254"/>
      <c r="AK83" s="2220"/>
    </row>
    <row r="84" spans="1:37" ht="14.25">
      <c r="A84" s="2299" t="s">
        <v>2708</v>
      </c>
      <c r="B84" s="2303">
        <f>估价对象房地状况!G22</f>
        <v>0</v>
      </c>
      <c r="C84" s="2204" t="s">
        <v>3131</v>
      </c>
      <c r="D84" s="1196">
        <f t="shared" si="25"/>
        <v>0</v>
      </c>
      <c r="E84" s="765"/>
      <c r="F84" s="1970"/>
      <c r="G84" s="1194">
        <f t="shared" si="30"/>
        <v>1E-3</v>
      </c>
      <c r="H84" s="1198">
        <f t="shared" si="26"/>
        <v>1E-3</v>
      </c>
      <c r="I84" s="759">
        <v>0.04</v>
      </c>
      <c r="J84" s="1195">
        <f t="shared" si="27"/>
        <v>2E-3</v>
      </c>
      <c r="K84" s="1195">
        <f t="shared" si="28"/>
        <v>1E-3</v>
      </c>
      <c r="L84" s="1195">
        <v>0</v>
      </c>
      <c r="M84" s="1195">
        <f t="shared" si="29"/>
        <v>-1E-3</v>
      </c>
      <c r="N84" s="1195">
        <f t="shared" si="29"/>
        <v>-2E-3</v>
      </c>
      <c r="Z84" s="2154"/>
      <c r="AA84" s="2220"/>
      <c r="AG84" s="1254"/>
      <c r="AK84" s="2220"/>
    </row>
    <row r="85" spans="1:37" ht="24">
      <c r="A85" s="2299" t="s">
        <v>2700</v>
      </c>
      <c r="B85" s="1466" t="str">
        <f>估价对象房地状况!G19</f>
        <v>较差</v>
      </c>
      <c r="C85" s="2204" t="s">
        <v>3131</v>
      </c>
      <c r="D85" s="1196">
        <f t="shared" si="25"/>
        <v>0</v>
      </c>
      <c r="E85" s="765"/>
      <c r="F85" s="1970"/>
      <c r="G85" s="1194">
        <f t="shared" si="30"/>
        <v>1.5E-3</v>
      </c>
      <c r="H85" s="1198">
        <f t="shared" si="26"/>
        <v>1.5E-3</v>
      </c>
      <c r="I85" s="759">
        <v>0.06</v>
      </c>
      <c r="J85" s="1195">
        <f t="shared" si="27"/>
        <v>3.0000000000000001E-3</v>
      </c>
      <c r="K85" s="1195">
        <f t="shared" si="28"/>
        <v>1.5E-3</v>
      </c>
      <c r="L85" s="1195">
        <v>0</v>
      </c>
      <c r="M85" s="1195">
        <f t="shared" si="29"/>
        <v>-1.5E-3</v>
      </c>
      <c r="N85" s="1195">
        <f t="shared" si="29"/>
        <v>-3.0000000000000001E-3</v>
      </c>
      <c r="Z85" s="2154"/>
      <c r="AA85" s="2220"/>
      <c r="AG85" s="1254"/>
      <c r="AK85" s="2220"/>
    </row>
    <row r="86" spans="1:37" ht="24">
      <c r="A86" s="2299" t="s">
        <v>2701</v>
      </c>
      <c r="B86" s="1466" t="str">
        <f>估价对象房地状况!G20</f>
        <v>五通</v>
      </c>
      <c r="C86" s="2204" t="s">
        <v>3131</v>
      </c>
      <c r="D86" s="1196">
        <f t="shared" si="25"/>
        <v>0</v>
      </c>
      <c r="E86" s="765"/>
      <c r="F86" s="1970"/>
      <c r="G86" s="1194">
        <f t="shared" si="30"/>
        <v>3.7000000000000002E-3</v>
      </c>
      <c r="H86" s="1198">
        <f t="shared" si="26"/>
        <v>3.7000000000000002E-3</v>
      </c>
      <c r="I86" s="759">
        <v>0.15</v>
      </c>
      <c r="J86" s="1195">
        <f t="shared" si="27"/>
        <v>7.4000000000000003E-3</v>
      </c>
      <c r="K86" s="1195">
        <f t="shared" si="28"/>
        <v>3.7000000000000002E-3</v>
      </c>
      <c r="L86" s="1195">
        <v>0</v>
      </c>
      <c r="M86" s="1195">
        <f t="shared" si="29"/>
        <v>-3.7000000000000002E-3</v>
      </c>
      <c r="N86" s="1195">
        <f t="shared" si="29"/>
        <v>-7.4000000000000003E-3</v>
      </c>
      <c r="Z86" s="2154"/>
      <c r="AA86" s="2220"/>
      <c r="AG86" s="1254"/>
      <c r="AK86" s="2220"/>
    </row>
    <row r="87" spans="1:37" ht="24">
      <c r="A87" s="2299" t="s">
        <v>2698</v>
      </c>
      <c r="B87" s="2305" t="s">
        <v>2712</v>
      </c>
      <c r="C87" s="2204" t="s">
        <v>3130</v>
      </c>
      <c r="D87" s="1196">
        <f t="shared" si="25"/>
        <v>1.1999999999999999E-3</v>
      </c>
      <c r="E87" s="765"/>
      <c r="F87" s="1970"/>
      <c r="G87" s="1194">
        <f t="shared" si="30"/>
        <v>1.1999999999999999E-3</v>
      </c>
      <c r="H87" s="1198">
        <f t="shared" si="26"/>
        <v>1.1999999999999999E-3</v>
      </c>
      <c r="I87" s="759">
        <v>0.05</v>
      </c>
      <c r="J87" s="1195">
        <f t="shared" si="27"/>
        <v>2.3999999999999998E-3</v>
      </c>
      <c r="K87" s="1195">
        <f t="shared" si="28"/>
        <v>1.1999999999999999E-3</v>
      </c>
      <c r="L87" s="1195">
        <v>0</v>
      </c>
      <c r="M87" s="1195">
        <f t="shared" si="29"/>
        <v>-1.1999999999999999E-3</v>
      </c>
      <c r="N87" s="1195">
        <f t="shared" si="29"/>
        <v>-2.3999999999999998E-3</v>
      </c>
      <c r="Z87" s="2154"/>
      <c r="AA87" s="2220"/>
      <c r="AG87" s="1254"/>
      <c r="AK87" s="2220"/>
    </row>
    <row r="88" spans="1:37" ht="15" thickBot="1">
      <c r="A88" s="2307" t="s">
        <v>2713</v>
      </c>
      <c r="B88" s="2312" t="str">
        <f>估价对象房地状况!G18</f>
        <v>较好</v>
      </c>
      <c r="C88" s="2204" t="s">
        <v>3130</v>
      </c>
      <c r="D88" s="1196">
        <f t="shared" si="25"/>
        <v>1.5E-3</v>
      </c>
      <c r="E88" s="766"/>
      <c r="F88" s="1970"/>
      <c r="G88" s="1194">
        <f t="shared" si="30"/>
        <v>1.5E-3</v>
      </c>
      <c r="H88" s="1198">
        <f t="shared" si="26"/>
        <v>1.5E-3</v>
      </c>
      <c r="I88" s="763">
        <v>0.06</v>
      </c>
      <c r="J88" s="1195">
        <f t="shared" si="27"/>
        <v>3.0000000000000001E-3</v>
      </c>
      <c r="K88" s="1195">
        <f t="shared" si="28"/>
        <v>1.5E-3</v>
      </c>
      <c r="L88" s="1195">
        <v>0</v>
      </c>
      <c r="M88" s="1195">
        <f t="shared" si="29"/>
        <v>-1.5E-3</v>
      </c>
      <c r="N88" s="1195">
        <f t="shared" si="29"/>
        <v>-3.0000000000000001E-3</v>
      </c>
      <c r="Z88" s="2154"/>
      <c r="AA88" s="2220"/>
      <c r="AG88" s="1254"/>
      <c r="AK88" s="2220"/>
    </row>
    <row r="90" spans="1:37">
      <c r="A90" s="3441" t="s">
        <v>2714</v>
      </c>
      <c r="B90" s="3441"/>
      <c r="C90" s="3441"/>
      <c r="D90" s="3441"/>
      <c r="E90" s="3441"/>
      <c r="F90" s="3441"/>
      <c r="G90" s="3441"/>
      <c r="H90" s="3441"/>
      <c r="I90" s="3441"/>
      <c r="J90" s="3441"/>
      <c r="K90" s="2313"/>
      <c r="L90" s="2313"/>
      <c r="M90" s="2313"/>
      <c r="N90" s="2313"/>
    </row>
    <row r="91" spans="1:37">
      <c r="A91" s="3443" t="s">
        <v>2715</v>
      </c>
      <c r="B91" s="3443" t="s">
        <v>2716</v>
      </c>
      <c r="C91" s="2267" t="s">
        <v>2717</v>
      </c>
      <c r="D91" s="2268"/>
      <c r="E91" s="2268"/>
      <c r="F91" s="2268"/>
      <c r="G91" s="2268"/>
      <c r="H91" s="2268"/>
      <c r="I91" s="2268"/>
      <c r="J91" s="2314"/>
      <c r="K91" s="2315"/>
      <c r="L91" s="2315"/>
      <c r="M91" s="2315"/>
      <c r="N91" s="2315"/>
    </row>
    <row r="92" spans="1:37">
      <c r="A92" s="3443"/>
      <c r="B92" s="3443"/>
      <c r="C92" s="879" t="s">
        <v>2585</v>
      </c>
      <c r="D92" s="879" t="s">
        <v>2586</v>
      </c>
      <c r="E92" s="879" t="s">
        <v>2587</v>
      </c>
      <c r="F92" s="879" t="s">
        <v>2588</v>
      </c>
      <c r="G92" s="879" t="s">
        <v>2589</v>
      </c>
      <c r="H92" s="879" t="s">
        <v>2590</v>
      </c>
      <c r="I92" s="879" t="s">
        <v>2591</v>
      </c>
      <c r="J92" s="879" t="s">
        <v>2592</v>
      </c>
      <c r="K92" s="879" t="s">
        <v>2593</v>
      </c>
      <c r="L92" s="879" t="s">
        <v>2594</v>
      </c>
      <c r="M92" s="879" t="s">
        <v>2595</v>
      </c>
      <c r="N92" s="879" t="s">
        <v>2596</v>
      </c>
    </row>
    <row r="93" spans="1:37">
      <c r="A93" s="3444" t="s">
        <v>2718</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445"/>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445"/>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445"/>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445"/>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445"/>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445"/>
      <c r="B99" s="2316" t="s">
        <v>2601</v>
      </c>
      <c r="C99" s="2318">
        <f>$I$3</f>
        <v>0</v>
      </c>
      <c r="D99" s="2318">
        <f t="shared" ref="D99:M99" si="31">$I$3</f>
        <v>0</v>
      </c>
      <c r="E99" s="2318">
        <f t="shared" si="31"/>
        <v>0</v>
      </c>
      <c r="F99" s="2318">
        <f t="shared" si="31"/>
        <v>0</v>
      </c>
      <c r="G99" s="2318">
        <f t="shared" si="31"/>
        <v>0</v>
      </c>
      <c r="H99" s="2318">
        <f t="shared" si="31"/>
        <v>0</v>
      </c>
      <c r="I99" s="2318">
        <f t="shared" si="31"/>
        <v>0</v>
      </c>
      <c r="J99" s="2318">
        <f t="shared" si="31"/>
        <v>0</v>
      </c>
      <c r="K99" s="2318">
        <f t="shared" si="31"/>
        <v>0</v>
      </c>
      <c r="L99" s="2318">
        <f t="shared" si="31"/>
        <v>0</v>
      </c>
      <c r="M99" s="2318">
        <f t="shared" si="31"/>
        <v>0</v>
      </c>
      <c r="N99" s="2318">
        <f>$I$3</f>
        <v>0</v>
      </c>
    </row>
    <row r="100" spans="1:14">
      <c r="A100" s="3446"/>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444" t="s">
        <v>2719</v>
      </c>
      <c r="B101" s="2320" t="s">
        <v>2720</v>
      </c>
      <c r="C101" s="2321">
        <f>$G$3</f>
        <v>1.47</v>
      </c>
      <c r="D101" s="2321">
        <f t="shared" ref="D101:N101" si="32">$G$3</f>
        <v>1.47</v>
      </c>
      <c r="E101" s="2321">
        <f t="shared" si="32"/>
        <v>1.47</v>
      </c>
      <c r="F101" s="2321">
        <f t="shared" si="32"/>
        <v>1.47</v>
      </c>
      <c r="G101" s="2321">
        <f t="shared" si="32"/>
        <v>1.47</v>
      </c>
      <c r="H101" s="2321">
        <f t="shared" si="32"/>
        <v>1.47</v>
      </c>
      <c r="I101" s="2321">
        <f t="shared" si="32"/>
        <v>1.47</v>
      </c>
      <c r="J101" s="2321">
        <f t="shared" si="32"/>
        <v>1.47</v>
      </c>
      <c r="K101" s="2321">
        <f t="shared" si="32"/>
        <v>1.47</v>
      </c>
      <c r="L101" s="2321">
        <f t="shared" si="32"/>
        <v>1.47</v>
      </c>
      <c r="M101" s="2321">
        <f t="shared" si="32"/>
        <v>1.47</v>
      </c>
      <c r="N101" s="2321">
        <f t="shared" si="32"/>
        <v>1.47</v>
      </c>
    </row>
    <row r="102" spans="1:14">
      <c r="A102" s="3445"/>
      <c r="B102" s="2316">
        <v>1</v>
      </c>
      <c r="C102" s="2317">
        <f>1.9362/C101</f>
        <v>1.3171428571428572</v>
      </c>
      <c r="D102" s="2317">
        <f>1.9362/D101</f>
        <v>1.3171428571428572</v>
      </c>
      <c r="E102" s="2317">
        <f>1.8629/E101</f>
        <v>1.2672789115646259</v>
      </c>
      <c r="F102" s="2317">
        <f>1.8629/F101</f>
        <v>1.2672789115646259</v>
      </c>
      <c r="G102" s="2317">
        <f>1.8629/G101</f>
        <v>1.2672789115646259</v>
      </c>
      <c r="H102" s="2317">
        <f>1.8629/H101</f>
        <v>1.2672789115646259</v>
      </c>
      <c r="I102" s="2317">
        <f>1.8629/I101</f>
        <v>1.2672789115646259</v>
      </c>
      <c r="J102" s="2317">
        <f>1.942/J101</f>
        <v>1.3210884353741497</v>
      </c>
      <c r="K102" s="2317">
        <f>1.942/K101</f>
        <v>1.3210884353741497</v>
      </c>
      <c r="L102" s="2317">
        <f>1.942/L101</f>
        <v>1.3210884353741497</v>
      </c>
      <c r="M102" s="2317">
        <f>1.942/M101</f>
        <v>1.3210884353741497</v>
      </c>
      <c r="N102" s="2317">
        <f>1.942/N101</f>
        <v>1.3210884353741497</v>
      </c>
    </row>
    <row r="103" spans="1:14">
      <c r="A103" s="3445"/>
      <c r="B103" s="2316">
        <v>2</v>
      </c>
      <c r="C103" s="2317">
        <f>1.4198/C101</f>
        <v>0.96585034013605442</v>
      </c>
      <c r="D103" s="2317">
        <f>1.4198/D101</f>
        <v>0.96585034013605442</v>
      </c>
      <c r="E103" s="2317">
        <f>1.3372/E101</f>
        <v>0.90965986394557818</v>
      </c>
      <c r="F103" s="2317">
        <f>1.3372/F101</f>
        <v>0.90965986394557818</v>
      </c>
      <c r="G103" s="2317">
        <f>1.3372/G101</f>
        <v>0.90965986394557818</v>
      </c>
      <c r="H103" s="2317">
        <f>1.3372/H101</f>
        <v>0.90965986394557818</v>
      </c>
      <c r="I103" s="2317">
        <f>1.3372/I101</f>
        <v>0.90965986394557818</v>
      </c>
      <c r="J103" s="2317">
        <f>1.2799/J101</f>
        <v>0.87068027210884358</v>
      </c>
      <c r="K103" s="2317">
        <f>1.2799/K101</f>
        <v>0.87068027210884358</v>
      </c>
      <c r="L103" s="2317">
        <f>1.2799/L101</f>
        <v>0.87068027210884358</v>
      </c>
      <c r="M103" s="2317">
        <f>1.2799/M101</f>
        <v>0.87068027210884358</v>
      </c>
      <c r="N103" s="2317">
        <f>1.2799/N101</f>
        <v>0.87068027210884358</v>
      </c>
    </row>
    <row r="104" spans="1:14">
      <c r="A104" s="3445"/>
      <c r="B104" s="2316">
        <v>3</v>
      </c>
      <c r="C104" s="2317">
        <f>1.1594/C101</f>
        <v>0.78870748299319726</v>
      </c>
      <c r="D104" s="2317">
        <f>1.1594/D101</f>
        <v>0.78870748299319726</v>
      </c>
      <c r="E104" s="2317">
        <f>1.0788/E101</f>
        <v>0.73387755102040819</v>
      </c>
      <c r="F104" s="2317">
        <f>1.0788/F101</f>
        <v>0.73387755102040819</v>
      </c>
      <c r="G104" s="2317">
        <f>1.0788/G101</f>
        <v>0.73387755102040819</v>
      </c>
      <c r="H104" s="2317">
        <f>1.0788/H101</f>
        <v>0.73387755102040819</v>
      </c>
      <c r="I104" s="2317">
        <f>1.0788/I101</f>
        <v>0.73387755102040819</v>
      </c>
      <c r="J104" s="2317">
        <f>1.0072/J101</f>
        <v>0.68517006802721092</v>
      </c>
      <c r="K104" s="2317">
        <f>1.0072/K101</f>
        <v>0.68517006802721092</v>
      </c>
      <c r="L104" s="2317">
        <f>1.0072/L101</f>
        <v>0.68517006802721092</v>
      </c>
      <c r="M104" s="2317">
        <f>1.0072/M101</f>
        <v>0.68517006802721092</v>
      </c>
      <c r="N104" s="2317">
        <f>1.0072/N101</f>
        <v>0.68517006802721092</v>
      </c>
    </row>
    <row r="105" spans="1:14">
      <c r="A105" s="3445"/>
      <c r="B105" s="2316">
        <v>4</v>
      </c>
      <c r="C105" s="2317">
        <f>0.9622/C101</f>
        <v>0.6545578231292517</v>
      </c>
      <c r="D105" s="2317">
        <f>0.9622/D101</f>
        <v>0.6545578231292517</v>
      </c>
      <c r="E105" s="2317">
        <f>0.8656/E101</f>
        <v>0.58884353741496598</v>
      </c>
      <c r="F105" s="2317">
        <f>0.8656/F101</f>
        <v>0.58884353741496598</v>
      </c>
      <c r="G105" s="2317">
        <f>0.8656/G101</f>
        <v>0.58884353741496598</v>
      </c>
      <c r="H105" s="2317">
        <f>0.8656/H101</f>
        <v>0.58884353741496598</v>
      </c>
      <c r="I105" s="2317">
        <f>0.8656/I101</f>
        <v>0.58884353741496598</v>
      </c>
      <c r="J105" s="2317">
        <f>0.7525/J101</f>
        <v>0.51190476190476186</v>
      </c>
      <c r="K105" s="2317">
        <f>0.7525/K101</f>
        <v>0.51190476190476186</v>
      </c>
      <c r="L105" s="2317">
        <f>0.7525/L101</f>
        <v>0.51190476190476186</v>
      </c>
      <c r="M105" s="2317">
        <f>0.7525/M101</f>
        <v>0.51190476190476186</v>
      </c>
      <c r="N105" s="2317">
        <f>0.7525/N101</f>
        <v>0.51190476190476186</v>
      </c>
    </row>
    <row r="106" spans="1:14">
      <c r="A106" s="3445"/>
      <c r="B106" s="2316">
        <v>5</v>
      </c>
      <c r="C106" s="2317">
        <f>0.8417/C101</f>
        <v>0.5725850340136055</v>
      </c>
      <c r="D106" s="2317">
        <f>0.8417/D101</f>
        <v>0.5725850340136055</v>
      </c>
      <c r="E106" s="2317">
        <f>0.7371/E101</f>
        <v>0.50142857142857145</v>
      </c>
      <c r="F106" s="2317">
        <f>0.7371/F101</f>
        <v>0.50142857142857145</v>
      </c>
      <c r="G106" s="2317">
        <f>0.7371/G101</f>
        <v>0.50142857142857145</v>
      </c>
      <c r="H106" s="2317">
        <f>0.7371/H101</f>
        <v>0.50142857142857145</v>
      </c>
      <c r="I106" s="2317">
        <f>0.7371/I101</f>
        <v>0.50142857142857145</v>
      </c>
      <c r="J106" s="2317">
        <f>0.5659/J101</f>
        <v>0.38496598639455781</v>
      </c>
      <c r="K106" s="2317">
        <f>0.5659/K101</f>
        <v>0.38496598639455781</v>
      </c>
      <c r="L106" s="2317">
        <f>0.5659/L101</f>
        <v>0.38496598639455781</v>
      </c>
      <c r="M106" s="2317">
        <f>0.5659/M101</f>
        <v>0.38496598639455781</v>
      </c>
      <c r="N106" s="2317">
        <f>0.5659/N101</f>
        <v>0.38496598639455781</v>
      </c>
    </row>
    <row r="107" spans="1:14">
      <c r="A107" s="3445"/>
      <c r="B107" s="2316">
        <v>6</v>
      </c>
      <c r="C107" s="2317">
        <f>0.7608/C101</f>
        <v>0.51755102040816325</v>
      </c>
      <c r="D107" s="2317">
        <f>0.7608/D101</f>
        <v>0.51755102040816325</v>
      </c>
      <c r="E107" s="2317">
        <f>0.6482/E101</f>
        <v>0.44095238095238098</v>
      </c>
      <c r="F107" s="2317">
        <f>0.6482/F101</f>
        <v>0.44095238095238098</v>
      </c>
      <c r="G107" s="2317">
        <f>0.6482/G101</f>
        <v>0.44095238095238098</v>
      </c>
      <c r="H107" s="2317">
        <f>0.6482/H101</f>
        <v>0.44095238095238098</v>
      </c>
      <c r="I107" s="2317">
        <f>0.6482/I101</f>
        <v>0.44095238095238098</v>
      </c>
      <c r="J107" s="2317">
        <f>0.4525/J101</f>
        <v>0.30782312925170069</v>
      </c>
      <c r="K107" s="2317">
        <f>0.4525/K101</f>
        <v>0.30782312925170069</v>
      </c>
      <c r="L107" s="2317">
        <f>0.4525/L101</f>
        <v>0.30782312925170069</v>
      </c>
      <c r="M107" s="2317">
        <f>0.4525/M101</f>
        <v>0.30782312925170069</v>
      </c>
      <c r="N107" s="2317">
        <f>0.4525/N101</f>
        <v>0.30782312925170069</v>
      </c>
    </row>
    <row r="108" spans="1:14">
      <c r="A108" s="3445"/>
      <c r="B108" s="3447" t="s">
        <v>2721</v>
      </c>
      <c r="C108" s="2318">
        <f>C99</f>
        <v>0</v>
      </c>
      <c r="D108" s="2318">
        <f t="shared" ref="D108:N108" si="33">D99</f>
        <v>0</v>
      </c>
      <c r="E108" s="2318">
        <f t="shared" si="33"/>
        <v>0</v>
      </c>
      <c r="F108" s="2318">
        <f t="shared" si="33"/>
        <v>0</v>
      </c>
      <c r="G108" s="2318">
        <f t="shared" si="33"/>
        <v>0</v>
      </c>
      <c r="H108" s="2318">
        <f t="shared" si="33"/>
        <v>0</v>
      </c>
      <c r="I108" s="2318">
        <f t="shared" si="33"/>
        <v>0</v>
      </c>
      <c r="J108" s="2318">
        <f t="shared" si="33"/>
        <v>0</v>
      </c>
      <c r="K108" s="2318">
        <f t="shared" si="33"/>
        <v>0</v>
      </c>
      <c r="L108" s="2318">
        <f t="shared" si="33"/>
        <v>0</v>
      </c>
      <c r="M108" s="2318">
        <f t="shared" si="33"/>
        <v>0</v>
      </c>
      <c r="N108" s="2318">
        <f t="shared" si="33"/>
        <v>0</v>
      </c>
    </row>
    <row r="109" spans="1:14">
      <c r="A109" s="3446"/>
      <c r="B109" s="3448"/>
      <c r="C109" s="2319">
        <f>(-0.163*(C108^2)-0.59*C108+7617)*(10^(-4))/C101</f>
        <v>0.51816326530612244</v>
      </c>
      <c r="D109" s="2319">
        <f>(-0.163*(D108^2)-0.59*D108+7617)*(10^(-4))/D101</f>
        <v>0.51816326530612244</v>
      </c>
      <c r="E109" s="2319">
        <f>(-0.161*(E108^2)-7.509*E108+6533)*(10^(-4))/E101</f>
        <v>0.44442176870748301</v>
      </c>
      <c r="F109" s="2319">
        <f>(-0.161*(F108^2)-7.509*F108+6533)*(10^(-4))/F101</f>
        <v>0.44442176870748301</v>
      </c>
      <c r="G109" s="2319">
        <f>(-0.161*(G108^2)-7.509*G108+6533)*(10^(-4))/G101</f>
        <v>0.44442176870748301</v>
      </c>
      <c r="H109" s="2319">
        <f>(-0.161*(H108^2)-7.509*H108+6533)*(10^(-4))/H101</f>
        <v>0.44442176870748301</v>
      </c>
      <c r="I109" s="2319">
        <f>(-0.161*(I108^2)-7.509*I108+6533)*(10^(-4))/I101</f>
        <v>0.44442176870748301</v>
      </c>
      <c r="J109" s="2319">
        <f>(-0.214*(J108^2)-21.991*J108+4665)*(10^(-4))/J101</f>
        <v>0.31734693877551023</v>
      </c>
      <c r="K109" s="2319">
        <f>(-0.214*(K108^2)-21.991*K108+4665)*(10^(-4))/K101</f>
        <v>0.31734693877551023</v>
      </c>
      <c r="L109" s="2319">
        <f>(-0.214*(L108^2)-21.991*L108+4665)*(10^(-4))/L101</f>
        <v>0.31734693877551023</v>
      </c>
      <c r="M109" s="2319">
        <f>(-0.214*(M108^2)-21.991*M108+4665)*(10^(-4))/M101</f>
        <v>0.31734693877551023</v>
      </c>
      <c r="N109" s="2319">
        <f>(-0.214*(N108^2)-21.991*N108+4665)*(10^(-4))/N101</f>
        <v>0.31734693877551023</v>
      </c>
    </row>
    <row r="110" spans="1:14">
      <c r="A110" s="3442" t="s">
        <v>2722</v>
      </c>
      <c r="B110" s="3442"/>
      <c r="C110" s="3442"/>
      <c r="D110" s="3442"/>
      <c r="E110" s="3442"/>
      <c r="F110" s="3442"/>
      <c r="G110" s="3442"/>
      <c r="H110" s="3442"/>
      <c r="I110" s="3442"/>
      <c r="J110" s="3442"/>
      <c r="K110" s="2322"/>
      <c r="L110" s="2322"/>
      <c r="M110" s="2322"/>
      <c r="N110" s="2322"/>
    </row>
    <row r="112" spans="1:14" ht="13.5" thickBot="1"/>
    <row r="113" spans="1:13" ht="25.5" thickBot="1">
      <c r="A113" s="842" t="s">
        <v>2723</v>
      </c>
      <c r="B113" s="1197">
        <f>G3</f>
        <v>1.47</v>
      </c>
      <c r="C113" s="843" t="s">
        <v>2724</v>
      </c>
      <c r="D113" s="844">
        <f>SUMPRODUCT((A115:A118=F113)*(B114:M114=H113)*B115:M118)</f>
        <v>0.54669999999999996</v>
      </c>
      <c r="E113" s="2158" t="s">
        <v>2559</v>
      </c>
      <c r="F113" s="2324" t="str">
        <f>E2</f>
        <v>工业</v>
      </c>
      <c r="G113" s="2158" t="s">
        <v>2560</v>
      </c>
      <c r="H113" s="2324" t="str">
        <f>G2</f>
        <v>九级</v>
      </c>
      <c r="I113" s="2158"/>
      <c r="J113" s="2325"/>
      <c r="K113" s="2325"/>
      <c r="L113" s="2325"/>
      <c r="M113" s="2325"/>
    </row>
    <row r="114" spans="1:13">
      <c r="A114" s="847"/>
      <c r="B114" s="2326" t="s">
        <v>2725</v>
      </c>
      <c r="C114" s="2326" t="s">
        <v>2726</v>
      </c>
      <c r="D114" s="2326" t="s">
        <v>2727</v>
      </c>
      <c r="E114" s="2327" t="s">
        <v>2728</v>
      </c>
      <c r="F114" s="2327" t="s">
        <v>2729</v>
      </c>
      <c r="G114" s="2327" t="s">
        <v>2730</v>
      </c>
      <c r="H114" s="2328" t="s">
        <v>2731</v>
      </c>
      <c r="I114" s="2328" t="s">
        <v>2732</v>
      </c>
      <c r="J114" s="2329" t="s">
        <v>2733</v>
      </c>
      <c r="K114" s="2329" t="s">
        <v>2734</v>
      </c>
      <c r="L114" s="2329" t="s">
        <v>2735</v>
      </c>
      <c r="M114" s="2330" t="s">
        <v>2736</v>
      </c>
    </row>
    <row r="115" spans="1:13">
      <c r="A115" s="848" t="s">
        <v>2623</v>
      </c>
      <c r="B115" s="849">
        <f>ROUND(0.9335-0.0094*B113,4)</f>
        <v>0.91969999999999996</v>
      </c>
      <c r="C115" s="849">
        <f>B115</f>
        <v>0.91969999999999996</v>
      </c>
      <c r="D115" s="849">
        <f>ROUND(0.8331-0.0109*B113,4)</f>
        <v>0.81710000000000005</v>
      </c>
      <c r="E115" s="849">
        <f>D115</f>
        <v>0.81710000000000005</v>
      </c>
      <c r="F115" s="849">
        <f>E115</f>
        <v>0.81710000000000005</v>
      </c>
      <c r="G115" s="849">
        <f>F115</f>
        <v>0.81710000000000005</v>
      </c>
      <c r="H115" s="849">
        <f>G115</f>
        <v>0.81710000000000005</v>
      </c>
      <c r="I115" s="849">
        <f>ROUND(0.689-0.0155*B113,4)</f>
        <v>0.66620000000000001</v>
      </c>
      <c r="J115" s="849">
        <f t="shared" ref="J115:M118" si="34">I115</f>
        <v>0.66620000000000001</v>
      </c>
      <c r="K115" s="849">
        <f t="shared" si="34"/>
        <v>0.66620000000000001</v>
      </c>
      <c r="L115" s="849">
        <f t="shared" si="34"/>
        <v>0.66620000000000001</v>
      </c>
      <c r="M115" s="850">
        <f t="shared" si="34"/>
        <v>0.66620000000000001</v>
      </c>
    </row>
    <row r="116" spans="1:13">
      <c r="A116" s="848" t="s">
        <v>2624</v>
      </c>
      <c r="B116" s="849">
        <f>ROUND(0.949-0.012*B113,4)</f>
        <v>0.93140000000000001</v>
      </c>
      <c r="C116" s="849">
        <f>B116</f>
        <v>0.93140000000000001</v>
      </c>
      <c r="D116" s="849">
        <f>ROUND(0.8567-0.013*B113,4)</f>
        <v>0.83760000000000001</v>
      </c>
      <c r="E116" s="849">
        <f t="shared" ref="E116:H117" si="35">D116</f>
        <v>0.83760000000000001</v>
      </c>
      <c r="F116" s="849">
        <f t="shared" si="35"/>
        <v>0.83760000000000001</v>
      </c>
      <c r="G116" s="849">
        <f t="shared" si="35"/>
        <v>0.83760000000000001</v>
      </c>
      <c r="H116" s="849">
        <f t="shared" si="35"/>
        <v>0.83760000000000001</v>
      </c>
      <c r="I116" s="849">
        <f>ROUND(0.7694-0.014*B113,4)</f>
        <v>0.74880000000000002</v>
      </c>
      <c r="J116" s="849">
        <f t="shared" si="34"/>
        <v>0.74880000000000002</v>
      </c>
      <c r="K116" s="849">
        <f t="shared" si="34"/>
        <v>0.74880000000000002</v>
      </c>
      <c r="L116" s="849">
        <f t="shared" si="34"/>
        <v>0.74880000000000002</v>
      </c>
      <c r="M116" s="850">
        <f t="shared" si="34"/>
        <v>0.74880000000000002</v>
      </c>
    </row>
    <row r="117" spans="1:13">
      <c r="A117" s="848" t="s">
        <v>2625</v>
      </c>
      <c r="B117" s="849">
        <f>ROUND(0.8808-0.006*B113,4)</f>
        <v>0.872</v>
      </c>
      <c r="C117" s="849">
        <f>B117</f>
        <v>0.872</v>
      </c>
      <c r="D117" s="849">
        <f>ROUND(0.8748-0.008*B113,4)</f>
        <v>0.86299999999999999</v>
      </c>
      <c r="E117" s="849">
        <f t="shared" si="35"/>
        <v>0.86299999999999999</v>
      </c>
      <c r="F117" s="849">
        <f t="shared" si="35"/>
        <v>0.86299999999999999</v>
      </c>
      <c r="G117" s="849">
        <f t="shared" si="35"/>
        <v>0.86299999999999999</v>
      </c>
      <c r="H117" s="849">
        <f t="shared" si="35"/>
        <v>0.86299999999999999</v>
      </c>
      <c r="I117" s="849">
        <f>ROUND(0.7412-0.0095*B113,4)</f>
        <v>0.72719999999999996</v>
      </c>
      <c r="J117" s="849">
        <f t="shared" si="34"/>
        <v>0.72719999999999996</v>
      </c>
      <c r="K117" s="849">
        <f t="shared" si="34"/>
        <v>0.72719999999999996</v>
      </c>
      <c r="L117" s="849">
        <f t="shared" si="34"/>
        <v>0.72719999999999996</v>
      </c>
      <c r="M117" s="850">
        <f t="shared" si="34"/>
        <v>0.72719999999999996</v>
      </c>
    </row>
    <row r="118" spans="1:13" ht="13.5" thickBot="1">
      <c r="A118" s="670" t="s">
        <v>2626</v>
      </c>
      <c r="B118" s="851">
        <f>ROUND(0.7275-0.01*B113,4)</f>
        <v>0.71279999999999999</v>
      </c>
      <c r="C118" s="851">
        <f>B118</f>
        <v>0.71279999999999999</v>
      </c>
      <c r="D118" s="851">
        <f>ROUND(0.7043-0.012*B113,4)</f>
        <v>0.68669999999999998</v>
      </c>
      <c r="E118" s="851">
        <f>D118</f>
        <v>0.68669999999999998</v>
      </c>
      <c r="F118" s="851">
        <f>E118</f>
        <v>0.68669999999999998</v>
      </c>
      <c r="G118" s="851">
        <f>ROUND(0.6299-0.0122*B113,4)</f>
        <v>0.61199999999999999</v>
      </c>
      <c r="H118" s="851">
        <f>G118</f>
        <v>0.61199999999999999</v>
      </c>
      <c r="I118" s="851">
        <f>ROUND(0.5667-0.0136*B113,4)</f>
        <v>0.54669999999999996</v>
      </c>
      <c r="J118" s="851">
        <f t="shared" si="34"/>
        <v>0.54669999999999996</v>
      </c>
      <c r="K118" s="851">
        <f t="shared" si="34"/>
        <v>0.54669999999999996</v>
      </c>
      <c r="L118" s="851">
        <f t="shared" si="34"/>
        <v>0.54669999999999996</v>
      </c>
      <c r="M118" s="852">
        <f t="shared" si="34"/>
        <v>0.54669999999999996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40" priority="5" stopIfTrue="1" operator="notEqual">
      <formula>"——"</formula>
    </cfRule>
  </conditionalFormatting>
  <conditionalFormatting sqref="F59">
    <cfRule type="cellIs" dxfId="139" priority="4" stopIfTrue="1" operator="notEqual">
      <formula>"——"</formula>
    </cfRule>
  </conditionalFormatting>
  <conditionalFormatting sqref="F70">
    <cfRule type="cellIs" dxfId="138" priority="3" stopIfTrue="1" operator="notEqual">
      <formula>"——"</formula>
    </cfRule>
  </conditionalFormatting>
  <conditionalFormatting sqref="F81">
    <cfRule type="cellIs" dxfId="137" priority="2" stopIfTrue="1" operator="notEqual">
      <formula>"——"</formula>
    </cfRule>
  </conditionalFormatting>
  <conditionalFormatting sqref="H48:H56 H59:H67 H70:H78 H81:H88">
    <cfRule type="cellIs" dxfId="13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2071</v>
      </c>
      <c r="B1" s="1624"/>
      <c r="C1" s="2015" t="s">
        <v>2173</v>
      </c>
      <c r="D1" s="204"/>
      <c r="E1" s="204"/>
      <c r="F1" s="204"/>
      <c r="G1" s="1260">
        <f>MATCH(B1,'数据-取费表'!A6:A16,0)+5</f>
        <v>7</v>
      </c>
      <c r="H1" s="1192" t="str">
        <f>IF(ISERROR(FIND("住宅",B1)),"非住宅","住宅")</f>
        <v>非住宅</v>
      </c>
    </row>
    <row r="2" spans="1:8" s="206" customFormat="1" ht="18" customHeight="1">
      <c r="A2" s="207" t="s">
        <v>2072</v>
      </c>
      <c r="B2" s="208">
        <f ca="1">ROUND(IF(D2="——",C52/10000,C52/10000-E2),0)</f>
        <v>1161</v>
      </c>
      <c r="C2" s="205" t="s">
        <v>2073</v>
      </c>
      <c r="D2" s="2009" t="s">
        <v>70</v>
      </c>
      <c r="E2" s="1303" t="e">
        <f ca="1">SUMIF(INDIRECT("'"&amp;G2&amp;"'"&amp;"!A:A"),"承租人权益价值",INDIRECT("'"&amp;G2&amp;"'"&amp;"!c:c"))</f>
        <v>#REF!</v>
      </c>
      <c r="F2" s="2010" t="s">
        <v>2073</v>
      </c>
      <c r="G2" s="2011"/>
    </row>
    <row r="3" spans="1:8" s="206" customFormat="1" ht="18" customHeight="1" thickBot="1">
      <c r="A3" s="209" t="s">
        <v>2074</v>
      </c>
      <c r="B3" s="210">
        <f ca="1">ROUND(B2*10000/(IF(B1="",'数据-汇总表'!E3,INDIRECT("'数据-取费表'!k"&amp;$G$1))),0)</f>
        <v>4543</v>
      </c>
      <c r="C3" s="205" t="s">
        <v>2075</v>
      </c>
      <c r="D3" s="205"/>
      <c r="E3" s="205"/>
      <c r="F3" s="205"/>
      <c r="G3" s="205"/>
    </row>
    <row r="4" spans="1:8" s="214" customFormat="1" ht="15.75">
      <c r="A4" s="211" t="s">
        <v>2076</v>
      </c>
      <c r="B4" s="212"/>
      <c r="C4" s="212"/>
      <c r="D4" s="212"/>
      <c r="E4" s="212"/>
      <c r="F4" s="212"/>
      <c r="G4" s="213"/>
    </row>
    <row r="5" spans="1:8" s="220" customFormat="1" ht="13.5" customHeight="1">
      <c r="A5" s="261" t="s">
        <v>2077</v>
      </c>
      <c r="B5" s="216" t="s">
        <v>2078</v>
      </c>
      <c r="C5" s="217">
        <f ca="1">C6+C7+C8</f>
        <v>485575</v>
      </c>
      <c r="D5" s="217" t="s">
        <v>2079</v>
      </c>
      <c r="E5" s="218" t="s">
        <v>2080</v>
      </c>
      <c r="F5" s="218" t="s">
        <v>2081</v>
      </c>
      <c r="G5" s="219"/>
    </row>
    <row r="6" spans="1:8" s="220" customFormat="1" ht="13.5" customHeight="1">
      <c r="A6" s="886" t="s">
        <v>2082</v>
      </c>
      <c r="B6" s="221" t="s">
        <v>2083</v>
      </c>
      <c r="C6" s="222"/>
      <c r="D6" s="223"/>
      <c r="E6" s="224"/>
      <c r="F6" s="224"/>
      <c r="G6" s="225"/>
    </row>
    <row r="7" spans="1:8" s="220" customFormat="1" ht="13.5" customHeight="1">
      <c r="A7" s="886" t="s">
        <v>2084</v>
      </c>
      <c r="B7" s="221" t="s">
        <v>2085</v>
      </c>
      <c r="C7" s="226">
        <f>ROUND(C6*F7,0)</f>
        <v>0</v>
      </c>
      <c r="D7" s="226"/>
      <c r="E7" s="224"/>
      <c r="F7" s="227">
        <f>IF(项目基本情况!B8="出让",0,'数据-取费表'!B48+'数据-取费表'!B49)</f>
        <v>3.0499999999999999E-2</v>
      </c>
      <c r="G7" s="225"/>
    </row>
    <row r="8" spans="1:8" s="229" customFormat="1">
      <c r="A8" s="886" t="s">
        <v>2086</v>
      </c>
      <c r="B8" s="221" t="s">
        <v>2087</v>
      </c>
      <c r="C8" s="226">
        <f ca="1">IF(G8="已包含在土地购买价格中",0,C9+C10)</f>
        <v>485575</v>
      </c>
      <c r="D8" s="228"/>
      <c r="E8" s="226"/>
      <c r="F8" s="227"/>
      <c r="G8" s="2012"/>
    </row>
    <row r="9" spans="1:8" s="220" customFormat="1" ht="13.5" customHeight="1">
      <c r="A9" s="887" t="s">
        <v>800</v>
      </c>
      <c r="B9" s="230" t="s">
        <v>2088</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2090</v>
      </c>
      <c r="C10" s="231">
        <f ca="1">ROUND(D10*E10,0)</f>
        <v>485575</v>
      </c>
      <c r="D10" s="954">
        <f ca="1">IF(B1="",'数据-汇总表'!E6,IF(INDIRECT("'数据-取费表'!c"&amp;$G$1)="住宅",INDIRECT("'数据-取费表'!s"&amp;$G$1),INDIRECT("'数据-取费表'!k"&amp;$G$1)+INDIRECT("'数据-取费表'!s"&amp;$G$1)))</f>
        <v>2555.66</v>
      </c>
      <c r="E10" s="231">
        <f>'数据-取费表'!B28</f>
        <v>190</v>
      </c>
      <c r="F10" s="227"/>
      <c r="G10" s="232"/>
    </row>
    <row r="11" spans="1:8" s="220" customFormat="1" ht="13.5" hidden="1" customHeight="1">
      <c r="A11" s="233" t="s">
        <v>7</v>
      </c>
      <c r="B11" s="221" t="s">
        <v>2091</v>
      </c>
      <c r="C11" s="217"/>
      <c r="D11" s="956"/>
      <c r="E11" s="224"/>
      <c r="F11" s="224"/>
      <c r="G11" s="225"/>
    </row>
    <row r="12" spans="1:8" s="220" customFormat="1" ht="13.5" hidden="1" customHeight="1">
      <c r="A12" s="233" t="s">
        <v>8</v>
      </c>
      <c r="B12" s="221" t="s">
        <v>2174</v>
      </c>
      <c r="C12" s="217">
        <v>0</v>
      </c>
      <c r="D12" s="956"/>
      <c r="E12" s="234"/>
      <c r="F12" s="227">
        <v>3.0499999999999999E-2</v>
      </c>
      <c r="G12" s="225"/>
    </row>
    <row r="13" spans="1:8" s="220" customFormat="1" ht="13.5" hidden="1" customHeight="1">
      <c r="A13" s="233" t="s">
        <v>9</v>
      </c>
      <c r="B13" s="221" t="s">
        <v>2175</v>
      </c>
      <c r="C13" s="217"/>
      <c r="D13" s="956"/>
      <c r="E13" s="224"/>
      <c r="F13" s="224"/>
      <c r="G13" s="225"/>
    </row>
    <row r="14" spans="1:8" s="220" customFormat="1" ht="13.5" hidden="1" customHeight="1">
      <c r="A14" s="233" t="s">
        <v>10</v>
      </c>
      <c r="B14" s="221" t="s">
        <v>2087</v>
      </c>
      <c r="C14" s="217"/>
      <c r="D14" s="956"/>
      <c r="E14" s="224"/>
      <c r="F14" s="224"/>
      <c r="G14" s="225" t="s">
        <v>2176</v>
      </c>
    </row>
    <row r="15" spans="1:8" s="220" customFormat="1" ht="13.5" hidden="1" customHeight="1">
      <c r="A15" s="233" t="s">
        <v>11</v>
      </c>
      <c r="B15" s="221" t="s">
        <v>2177</v>
      </c>
      <c r="C15" s="226"/>
      <c r="D15" s="956"/>
      <c r="E15" s="224"/>
      <c r="F15" s="224"/>
      <c r="G15" s="225" t="s">
        <v>2178</v>
      </c>
    </row>
    <row r="16" spans="1:8" s="220" customFormat="1" ht="13.5" hidden="1" customHeight="1">
      <c r="A16" s="233" t="s">
        <v>12</v>
      </c>
      <c r="B16" s="221" t="s">
        <v>2087</v>
      </c>
      <c r="C16" s="226"/>
      <c r="D16" s="956"/>
      <c r="E16" s="224"/>
      <c r="F16" s="224"/>
      <c r="G16" s="225"/>
    </row>
    <row r="17" spans="1:7" s="220" customFormat="1" ht="13.5" hidden="1" customHeight="1">
      <c r="A17" s="233" t="s">
        <v>13</v>
      </c>
      <c r="B17" s="221" t="s">
        <v>2179</v>
      </c>
      <c r="C17" s="235"/>
      <c r="D17" s="957"/>
      <c r="E17" s="235"/>
      <c r="F17" s="235"/>
      <c r="G17" s="225" t="s">
        <v>2178</v>
      </c>
    </row>
    <row r="18" spans="1:7" s="220" customFormat="1" ht="13.5" hidden="1" customHeight="1">
      <c r="A18" s="233" t="s">
        <v>14</v>
      </c>
      <c r="B18" s="221" t="s">
        <v>2180</v>
      </c>
      <c r="C18" s="226">
        <v>0</v>
      </c>
      <c r="D18" s="956"/>
      <c r="E18" s="224"/>
      <c r="F18" s="227">
        <v>3.0499999999999999E-2</v>
      </c>
      <c r="G18" s="225" t="s">
        <v>2181</v>
      </c>
    </row>
    <row r="19" spans="1:7" s="229" customFormat="1" ht="13.5" customHeight="1">
      <c r="A19" s="261" t="s">
        <v>2182</v>
      </c>
      <c r="B19" s="216" t="s">
        <v>2183</v>
      </c>
      <c r="C19" s="217">
        <f ca="1">IF(G19="已包含在土地取得成本中","0",ROUND(D19*E19,0))</f>
        <v>511132</v>
      </c>
      <c r="D19" s="958">
        <f ca="1">D9+D10</f>
        <v>2555.66</v>
      </c>
      <c r="E19" s="217">
        <f>'数据-取费表'!B31</f>
        <v>200</v>
      </c>
      <c r="F19" s="237"/>
      <c r="G19" s="2012"/>
    </row>
    <row r="20" spans="1:7" s="220" customFormat="1" ht="13.5" customHeight="1">
      <c r="A20" s="261" t="s">
        <v>2184</v>
      </c>
      <c r="B20" s="216" t="s">
        <v>2185</v>
      </c>
      <c r="C20" s="238">
        <f ca="1">ROUND((C5+C19)*F20,0)</f>
        <v>19934</v>
      </c>
      <c r="D20" s="238"/>
      <c r="E20" s="238"/>
      <c r="F20" s="239">
        <f>'数据-取费表'!B37</f>
        <v>0.02</v>
      </c>
      <c r="G20" s="240" t="s">
        <v>2186</v>
      </c>
    </row>
    <row r="21" spans="1:7" s="220" customFormat="1" ht="13.5" customHeight="1">
      <c r="A21" s="261" t="s">
        <v>2187</v>
      </c>
      <c r="B21" s="216" t="s">
        <v>2188</v>
      </c>
      <c r="C21" s="241">
        <f>F21</f>
        <v>0.02</v>
      </c>
      <c r="D21" s="242" t="s">
        <v>2189</v>
      </c>
      <c r="E21" s="238"/>
      <c r="F21" s="239">
        <f>'数据-取费表'!B38</f>
        <v>0.02</v>
      </c>
      <c r="G21" s="240" t="s">
        <v>2190</v>
      </c>
    </row>
    <row r="22" spans="1:7" s="220" customFormat="1" ht="13.5" customHeight="1">
      <c r="A22" s="261" t="s">
        <v>2191</v>
      </c>
      <c r="B22" s="216" t="s">
        <v>2192</v>
      </c>
      <c r="C22" s="1261">
        <f ca="1">ROUND(SUM(C23:C25),0)</f>
        <v>42281</v>
      </c>
      <c r="D22" s="241">
        <f ca="1">C26</f>
        <v>4.0000000000000002E-4</v>
      </c>
      <c r="E22" s="242" t="s">
        <v>2189</v>
      </c>
      <c r="F22" s="243">
        <f ca="1">'数据-取费表'!B40</f>
        <v>4.2000000000000003E-2</v>
      </c>
      <c r="G22" s="240" t="str">
        <f>IF('数据-取费表'!B22&lt;=1,"单利计息","复利计息")</f>
        <v>单利计息</v>
      </c>
    </row>
    <row r="23" spans="1:7" s="220" customFormat="1" ht="13.5" customHeight="1">
      <c r="A23" s="888" t="s">
        <v>2082</v>
      </c>
      <c r="B23" s="221" t="s">
        <v>2193</v>
      </c>
      <c r="C23" s="1262">
        <f ca="1">ROUND(IF('数据-取费表'!B22&lt;=1,C5*F22*'数据-取费表'!B22,C5*(POWER((1+F22),'数据-取费表'!B22)-1)),0)</f>
        <v>20394</v>
      </c>
      <c r="D23" s="244"/>
      <c r="E23" s="244"/>
      <c r="F23" s="245"/>
      <c r="G23" s="246" t="s">
        <v>2194</v>
      </c>
    </row>
    <row r="24" spans="1:7" s="220" customFormat="1" ht="13.5" customHeight="1">
      <c r="A24" s="888" t="s">
        <v>2084</v>
      </c>
      <c r="B24" s="221" t="s">
        <v>2195</v>
      </c>
      <c r="C24" s="1262">
        <f ca="1">ROUND(IF('数据-取费表'!B22&lt;=1,C19*F22*('数据-取费表'!B19/2+'数据-取费表'!B20),C19*(POWER((1+F22),('数据-取费表'!B19/2+'数据-取费表'!B20))-1)),0)</f>
        <v>21468</v>
      </c>
      <c r="D24" s="244"/>
      <c r="E24" s="244"/>
      <c r="F24" s="245"/>
      <c r="G24" s="246" t="s">
        <v>2196</v>
      </c>
    </row>
    <row r="25" spans="1:7" s="220" customFormat="1" ht="24">
      <c r="A25" s="888" t="s">
        <v>2086</v>
      </c>
      <c r="B25" s="221" t="s">
        <v>2197</v>
      </c>
      <c r="C25" s="1262">
        <f ca="1">ROUND(IF('数据-取费表'!B22&lt;=1,C20*F22*'数据-取费表'!B22/2,C20*(POWER((1+F22),'数据-取费表'!B22/2)-1)),0)</f>
        <v>419</v>
      </c>
      <c r="D25" s="244"/>
      <c r="E25" s="247"/>
      <c r="F25" s="245"/>
      <c r="G25" s="248" t="s">
        <v>2198</v>
      </c>
    </row>
    <row r="26" spans="1:7" s="220" customFormat="1">
      <c r="A26" s="888" t="s">
        <v>795</v>
      </c>
      <c r="B26" s="221" t="s">
        <v>2121</v>
      </c>
      <c r="C26" s="244">
        <f ca="1">ROUND(IF('数据-取费表'!B22&lt;=1,F21*F22*'数据-取费表'!B22/2,F21*(POWER((1+F22),'数据-取费表'!B22/2)-1)),4)</f>
        <v>4.0000000000000002E-4</v>
      </c>
      <c r="D26" s="244"/>
      <c r="E26" s="247"/>
      <c r="F26" s="245"/>
      <c r="G26" s="249"/>
    </row>
    <row r="27" spans="1:7" s="220" customFormat="1" ht="24.75">
      <c r="A27" s="261" t="s">
        <v>2122</v>
      </c>
      <c r="B27" s="250" t="s">
        <v>2123</v>
      </c>
      <c r="C27" s="251">
        <f ca="1">C28</f>
        <v>101664</v>
      </c>
      <c r="D27" s="241">
        <f ca="1">C29</f>
        <v>2E-3</v>
      </c>
      <c r="E27" s="242" t="s">
        <v>2124</v>
      </c>
      <c r="F27" s="252">
        <f ca="1">IF(B1="",'数据-取费表'!Q16,INDIRECT("'数据-取费表'!q"&amp;$G$1))</f>
        <v>0.1</v>
      </c>
      <c r="G27" s="253" t="s">
        <v>2125</v>
      </c>
    </row>
    <row r="28" spans="1:7" s="220" customFormat="1" ht="13.5" customHeight="1">
      <c r="A28" s="888" t="s">
        <v>791</v>
      </c>
      <c r="B28" s="254" t="s">
        <v>2126</v>
      </c>
      <c r="C28" s="255">
        <f ca="1">ROUND((C5+C19+C20)*F27,0)</f>
        <v>101664</v>
      </c>
      <c r="D28" s="241"/>
      <c r="E28" s="242"/>
      <c r="F28" s="252"/>
      <c r="G28" s="253"/>
    </row>
    <row r="29" spans="1:7" s="220" customFormat="1" ht="13.5" customHeight="1">
      <c r="A29" s="888" t="s">
        <v>792</v>
      </c>
      <c r="B29" s="254" t="s">
        <v>2127</v>
      </c>
      <c r="C29" s="244">
        <f ca="1">ROUND(C21*F27,4)</f>
        <v>2E-3</v>
      </c>
      <c r="D29" s="241"/>
      <c r="E29" s="242"/>
      <c r="F29" s="252"/>
      <c r="G29" s="253"/>
    </row>
    <row r="30" spans="1:7" s="220" customFormat="1" ht="13.5" customHeight="1">
      <c r="A30" s="261" t="s">
        <v>2128</v>
      </c>
      <c r="B30" s="216" t="s">
        <v>2129</v>
      </c>
      <c r="C30" s="241">
        <f>ROUND(F30/(1+'数据-取费表'!C42),4)</f>
        <v>5.2400000000000002E-2</v>
      </c>
      <c r="D30" s="242" t="s">
        <v>2124</v>
      </c>
      <c r="E30" s="247"/>
      <c r="F30" s="243">
        <f>'数据-取费表'!B41</f>
        <v>5.5000000000000007E-2</v>
      </c>
      <c r="G30" s="240" t="s">
        <v>2130</v>
      </c>
    </row>
    <row r="31" spans="1:7" ht="16.5" customHeight="1">
      <c r="A31" s="215">
        <v>1</v>
      </c>
      <c r="B31" s="216" t="s">
        <v>2131</v>
      </c>
      <c r="C31" s="217">
        <f ca="1">ROUND((C5+C19+C20+C22+C27)/(1-C21-D22-D27-C30),0)</f>
        <v>1254416</v>
      </c>
      <c r="D31" s="236"/>
      <c r="E31" s="217"/>
      <c r="F31" s="256"/>
      <c r="G31" s="240" t="s">
        <v>2132</v>
      </c>
    </row>
    <row r="32" spans="1:7" s="214" customFormat="1" ht="15.75">
      <c r="A32" s="258" t="s">
        <v>2199</v>
      </c>
      <c r="B32" s="259"/>
      <c r="C32" s="259"/>
      <c r="D32" s="259"/>
      <c r="E32" s="259"/>
      <c r="F32" s="259"/>
      <c r="G32" s="260"/>
    </row>
    <row r="33" spans="1:7" s="220" customFormat="1" ht="13.5" customHeight="1">
      <c r="A33" s="261" t="s">
        <v>782</v>
      </c>
      <c r="B33" s="216" t="s">
        <v>2200</v>
      </c>
      <c r="C33" s="262">
        <f ca="1">SUM(C34:C38)</f>
        <v>9858458</v>
      </c>
      <c r="D33" s="238"/>
      <c r="E33" s="218"/>
      <c r="F33" s="247"/>
      <c r="G33" s="240"/>
    </row>
    <row r="34" spans="1:7" s="264" customFormat="1" ht="13.5" customHeight="1">
      <c r="A34" s="888" t="s">
        <v>791</v>
      </c>
      <c r="B34" s="221" t="s">
        <v>2135</v>
      </c>
      <c r="C34" s="226">
        <f ca="1">ROUND(IF(B1="",SUMPRODUCT('数据-取费表'!K6:K14,'数据-取费表'!L6:L14),INDIRECT("'数据-取费表'!l"&amp;$G$1)*INDIRECT("'数据-取费表'!k"&amp;$G$1)+'数据-取费表'!L14*INDIRECT("'数据-取费表'!S"&amp;$G$1)),0)</f>
        <v>8944810</v>
      </c>
      <c r="D34" s="223"/>
      <c r="E34" s="226"/>
      <c r="F34" s="263"/>
      <c r="G34" s="225"/>
    </row>
    <row r="35" spans="1:7" ht="13.5" customHeight="1">
      <c r="A35" s="888" t="s">
        <v>796</v>
      </c>
      <c r="B35" s="221" t="s">
        <v>2137</v>
      </c>
      <c r="C35" s="226">
        <f ca="1">ROUND(C34*F35,0)</f>
        <v>268344</v>
      </c>
      <c r="D35" s="226"/>
      <c r="E35" s="226"/>
      <c r="F35" s="265">
        <f>'数据-取费表'!B33</f>
        <v>0.03</v>
      </c>
      <c r="G35" s="225" t="s">
        <v>2138</v>
      </c>
    </row>
    <row r="36" spans="1:7" ht="24">
      <c r="A36" s="888" t="s">
        <v>797</v>
      </c>
      <c r="B36" s="221" t="s">
        <v>2139</v>
      </c>
      <c r="C36" s="226">
        <f ca="1">ROUND(IF(B1="",SUM('数据-取费表'!AP6:AP13)*F36,IF(INDIRECT("'数据-取费表'!c"&amp;$G$1)="住宅",INDIRECT("'数据-取费表'!k"&amp;$G$1)*INDIRECT("'数据-取费表'!l"&amp;$G$1)*F36,0)),0)</f>
        <v>0</v>
      </c>
      <c r="D36" s="226"/>
      <c r="E36" s="226"/>
      <c r="F36" s="265">
        <f>'数据-取费表'!B34</f>
        <v>0</v>
      </c>
      <c r="G36" s="266" t="s">
        <v>2140</v>
      </c>
    </row>
    <row r="37" spans="1:7" s="264" customFormat="1" ht="13.5" customHeight="1">
      <c r="A37" s="888" t="s">
        <v>798</v>
      </c>
      <c r="B37" s="221" t="s">
        <v>2141</v>
      </c>
      <c r="C37" s="255">
        <f ca="1">ROUND(E37*D37,0)</f>
        <v>511132</v>
      </c>
      <c r="D37" s="223">
        <f ca="1">D19</f>
        <v>2555.66</v>
      </c>
      <c r="E37" s="255">
        <f>'数据-取费表'!B35</f>
        <v>200</v>
      </c>
      <c r="F37" s="265"/>
      <c r="G37" s="267"/>
    </row>
    <row r="38" spans="1:7" ht="13.5" customHeight="1">
      <c r="A38" s="888" t="s">
        <v>799</v>
      </c>
      <c r="B38" s="221" t="s">
        <v>2143</v>
      </c>
      <c r="C38" s="226">
        <f ca="1">ROUND(C34*F38,0)</f>
        <v>134172</v>
      </c>
      <c r="D38" s="226"/>
      <c r="E38" s="226"/>
      <c r="F38" s="265">
        <f>'数据-取费表'!B36</f>
        <v>1.4999999999999999E-2</v>
      </c>
      <c r="G38" s="225" t="s">
        <v>2138</v>
      </c>
    </row>
    <row r="39" spans="1:7" s="220" customFormat="1" ht="13.5" customHeight="1">
      <c r="A39" s="261" t="s">
        <v>2144</v>
      </c>
      <c r="B39" s="216" t="s">
        <v>2145</v>
      </c>
      <c r="C39" s="238">
        <f ca="1">ROUND(C33*F20,0)</f>
        <v>197169</v>
      </c>
      <c r="D39" s="238"/>
      <c r="E39" s="238"/>
      <c r="F39" s="2505">
        <f>F20</f>
        <v>0.02</v>
      </c>
      <c r="G39" s="240" t="s">
        <v>2146</v>
      </c>
    </row>
    <row r="40" spans="1:7" s="220" customFormat="1" ht="13.5" customHeight="1">
      <c r="A40" s="261" t="s">
        <v>2147</v>
      </c>
      <c r="B40" s="216" t="s">
        <v>2148</v>
      </c>
      <c r="C40" s="1467">
        <f>F21</f>
        <v>0.02</v>
      </c>
      <c r="D40" s="242" t="s">
        <v>2149</v>
      </c>
      <c r="E40" s="238"/>
      <c r="F40" s="2505">
        <f>F21</f>
        <v>0.02</v>
      </c>
      <c r="G40" s="240" t="s">
        <v>2150</v>
      </c>
    </row>
    <row r="41" spans="1:7" s="220" customFormat="1" ht="13.5" customHeight="1">
      <c r="A41" s="261" t="s">
        <v>2151</v>
      </c>
      <c r="B41" s="216" t="s">
        <v>2152</v>
      </c>
      <c r="C41" s="238">
        <f ca="1">ROUND(SUM(C42:C43),0)</f>
        <v>211169</v>
      </c>
      <c r="D41" s="241">
        <f ca="1">C44</f>
        <v>4.0000000000000002E-4</v>
      </c>
      <c r="E41" s="242" t="s">
        <v>2149</v>
      </c>
      <c r="F41" s="2506">
        <f ca="1">F22</f>
        <v>4.2000000000000003E-2</v>
      </c>
      <c r="G41" s="240" t="str">
        <f>IF('数据-取费表'!B22&lt;=1,"单利计息","复利计息")</f>
        <v>单利计息</v>
      </c>
    </row>
    <row r="42" spans="1:7" ht="13.5" customHeight="1">
      <c r="A42" s="888" t="s">
        <v>791</v>
      </c>
      <c r="B42" s="221" t="s">
        <v>2153</v>
      </c>
      <c r="C42" s="244">
        <f ca="1">ROUND(IF('数据-取费表'!B22&lt;=1,C33*F22*'数据-取费表'!B20/2,C33*(POWER((1+F22),'数据-取费表'!B20/2)-1)),0)</f>
        <v>207028</v>
      </c>
      <c r="D42" s="244"/>
      <c r="E42" s="244"/>
      <c r="F42" s="245"/>
      <c r="G42" s="3426" t="s">
        <v>2201</v>
      </c>
    </row>
    <row r="43" spans="1:7" ht="13.5" customHeight="1">
      <c r="A43" s="888" t="s">
        <v>792</v>
      </c>
      <c r="B43" s="221" t="s">
        <v>2155</v>
      </c>
      <c r="C43" s="244">
        <f ca="1">ROUND(IF('数据-取费表'!B22&lt;=1,C39*F22*'数据-取费表'!B20/2,C39*(POWER((1+F22),'数据-取费表'!B20/2)-1)),0)</f>
        <v>4141</v>
      </c>
      <c r="D43" s="244"/>
      <c r="E43" s="244"/>
      <c r="F43" s="245"/>
      <c r="G43" s="3427"/>
    </row>
    <row r="44" spans="1:7" ht="13.5" customHeight="1">
      <c r="A44" s="888" t="s">
        <v>793</v>
      </c>
      <c r="B44" s="221" t="s">
        <v>2156</v>
      </c>
      <c r="C44" s="244">
        <f ca="1">ROUND(IF('数据-取费表'!B22&lt;=1,C40*F22*'数据-取费表'!B20/2,C40*(POWER((1+F22),'数据-取费表'!B20/2)-1)),4)</f>
        <v>4.0000000000000002E-4</v>
      </c>
      <c r="D44" s="244"/>
      <c r="E44" s="244"/>
      <c r="F44" s="245"/>
      <c r="G44" s="3428"/>
    </row>
    <row r="45" spans="1:7" s="220" customFormat="1" ht="13.5" customHeight="1">
      <c r="A45" s="261" t="s">
        <v>2157</v>
      </c>
      <c r="B45" s="250" t="s">
        <v>2123</v>
      </c>
      <c r="C45" s="251">
        <f ca="1">C46</f>
        <v>1005563</v>
      </c>
      <c r="D45" s="241">
        <f ca="1">C47</f>
        <v>2E-3</v>
      </c>
      <c r="E45" s="242" t="s">
        <v>2149</v>
      </c>
      <c r="F45" s="2507">
        <f ca="1">F27</f>
        <v>0.1</v>
      </c>
      <c r="G45" s="253" t="s">
        <v>2158</v>
      </c>
    </row>
    <row r="46" spans="1:7" s="220" customFormat="1" ht="13.5" customHeight="1">
      <c r="A46" s="888" t="s">
        <v>791</v>
      </c>
      <c r="B46" s="254" t="s">
        <v>2159</v>
      </c>
      <c r="C46" s="255">
        <f ca="1">ROUND((C33+C39)*F27,0)</f>
        <v>1005563</v>
      </c>
      <c r="D46" s="269"/>
      <c r="E46" s="242"/>
      <c r="F46" s="252"/>
      <c r="G46" s="253"/>
    </row>
    <row r="47" spans="1:7" s="220" customFormat="1" ht="13.5" customHeight="1">
      <c r="A47" s="888" t="s">
        <v>792</v>
      </c>
      <c r="B47" s="254" t="s">
        <v>2160</v>
      </c>
      <c r="C47" s="244">
        <f ca="1">ROUND(C40*F27,4)</f>
        <v>2E-3</v>
      </c>
      <c r="D47" s="269"/>
      <c r="E47" s="242"/>
      <c r="F47" s="252"/>
      <c r="G47" s="253"/>
    </row>
    <row r="48" spans="1:7" s="220" customFormat="1" ht="13.5" customHeight="1">
      <c r="A48" s="261" t="s">
        <v>2122</v>
      </c>
      <c r="B48" s="216" t="s">
        <v>2161</v>
      </c>
      <c r="C48" s="268">
        <f>ROUND(F30/(1+'数据-取费表'!C42),4)</f>
        <v>5.2400000000000002E-2</v>
      </c>
      <c r="D48" s="242" t="s">
        <v>2149</v>
      </c>
      <c r="E48" s="238"/>
      <c r="F48" s="2506">
        <f>F30</f>
        <v>5.5000000000000007E-2</v>
      </c>
      <c r="G48" s="240" t="s">
        <v>2162</v>
      </c>
    </row>
    <row r="49" spans="1:7" ht="16.5" customHeight="1">
      <c r="A49" s="261" t="s">
        <v>2128</v>
      </c>
      <c r="B49" s="216" t="s">
        <v>2202</v>
      </c>
      <c r="C49" s="238">
        <f ca="1">ROUND((C33+C39+C41+C45)/(1-C40-D41-D45-C48),0)</f>
        <v>12183700</v>
      </c>
      <c r="D49" s="238"/>
      <c r="E49" s="238"/>
      <c r="F49" s="270"/>
      <c r="G49" s="240" t="s">
        <v>2164</v>
      </c>
    </row>
    <row r="50" spans="1:7" s="264" customFormat="1">
      <c r="A50" s="261" t="s">
        <v>2165</v>
      </c>
      <c r="B50" s="216" t="s">
        <v>2166</v>
      </c>
      <c r="C50" s="238"/>
      <c r="D50" s="238"/>
      <c r="E50" s="238"/>
      <c r="F50" s="270">
        <f>IF('数据-取费表'!B24=0,'数据-取费表'!N16,1)</f>
        <v>0.85</v>
      </c>
      <c r="G50" s="253"/>
    </row>
    <row r="51" spans="1:7" ht="16.5" customHeight="1">
      <c r="A51" s="261" t="s">
        <v>2168</v>
      </c>
      <c r="B51" s="216" t="s">
        <v>2203</v>
      </c>
      <c r="C51" s="238">
        <f ca="1">ROUND(C49*F50,0)</f>
        <v>10356145</v>
      </c>
      <c r="D51" s="238"/>
      <c r="E51" s="238"/>
      <c r="F51" s="270"/>
      <c r="G51" s="240" t="s">
        <v>2170</v>
      </c>
    </row>
    <row r="52" spans="1:7" s="214" customFormat="1" ht="16.5" thickBot="1">
      <c r="A52" s="271" t="s">
        <v>2171</v>
      </c>
      <c r="B52" s="272"/>
      <c r="C52" s="273">
        <f ca="1">C31+C51</f>
        <v>11610561</v>
      </c>
      <c r="D52" s="272"/>
      <c r="E52" s="272"/>
      <c r="F52" s="272"/>
      <c r="G52" s="274"/>
    </row>
    <row r="55" spans="1:7" ht="15">
      <c r="B55" s="276" t="s">
        <v>2172</v>
      </c>
      <c r="C55" s="277"/>
    </row>
    <row r="56" spans="1:7">
      <c r="B56" s="279" t="s">
        <v>1418</v>
      </c>
      <c r="C56" s="281">
        <f ca="1">1-C57</f>
        <v>0.10799999999999998</v>
      </c>
    </row>
    <row r="57" spans="1:7">
      <c r="B57" s="279" t="s">
        <v>1419</v>
      </c>
      <c r="C57" s="280">
        <f ca="1">ROUND(C51/C52,3)</f>
        <v>0.89200000000000002</v>
      </c>
    </row>
  </sheetData>
  <sheetProtection password="CEE9" sheet="1" objects="1" scenarios="1" formatCells="0"/>
  <mergeCells count="1">
    <mergeCell ref="G42:G44"/>
  </mergeCells>
  <phoneticPr fontId="139"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2204</v>
      </c>
      <c r="B1" s="1325"/>
      <c r="C1" s="1326"/>
      <c r="D1" s="1324"/>
      <c r="E1" s="2986"/>
      <c r="F1" s="2986"/>
      <c r="G1" s="2849"/>
      <c r="H1" s="2986"/>
      <c r="I1" s="2986"/>
      <c r="J1" s="2986"/>
      <c r="K1" s="2987">
        <f>MATCH(C1,'数据-取费表'!A6:A16,0)+5</f>
        <v>7</v>
      </c>
    </row>
    <row r="2" spans="1:33" ht="18" customHeight="1">
      <c r="A2" s="207" t="s">
        <v>2072</v>
      </c>
      <c r="B2" s="210">
        <f ca="1">C32</f>
        <v>0</v>
      </c>
      <c r="C2" s="282" t="s">
        <v>2205</v>
      </c>
      <c r="D2" s="282"/>
      <c r="E2" s="2986"/>
      <c r="F2" s="2986"/>
      <c r="G2" s="2986"/>
      <c r="H2" s="2986"/>
      <c r="I2" s="2986"/>
      <c r="J2" s="2986"/>
      <c r="K2" s="2986"/>
    </row>
    <row r="3" spans="1:33" ht="18" customHeight="1" thickBot="1">
      <c r="A3" s="209" t="s">
        <v>2074</v>
      </c>
      <c r="B3" s="210">
        <f ca="1">ROUND(B2*10000/IF(C1="",'数据-汇总表'!E3,INDIRECT("'数据-取费表'!K"&amp;$K$1)),0)</f>
        <v>0</v>
      </c>
      <c r="C3" s="282" t="s">
        <v>2206</v>
      </c>
      <c r="D3" s="282"/>
      <c r="E3" s="2986"/>
      <c r="F3" s="2986"/>
      <c r="G3" s="2986"/>
      <c r="H3" s="2986"/>
      <c r="I3" s="2986"/>
      <c r="J3" s="2986"/>
      <c r="K3" s="2986"/>
    </row>
    <row r="4" spans="1:33" s="893" customFormat="1" ht="16.5" customHeight="1">
      <c r="A4" s="890" t="s">
        <v>2207</v>
      </c>
      <c r="B4" s="891"/>
      <c r="C4" s="933">
        <f>SUM(C8:K8)</f>
        <v>0</v>
      </c>
      <c r="D4" s="891"/>
      <c r="E4" s="891"/>
      <c r="F4" s="891"/>
      <c r="G4" s="891"/>
      <c r="H4" s="891"/>
      <c r="I4" s="891"/>
      <c r="J4" s="891"/>
      <c r="K4" s="892"/>
    </row>
    <row r="5" spans="1:33" s="897" customFormat="1" ht="24.75">
      <c r="A5" s="894" t="s">
        <v>2208</v>
      </c>
      <c r="B5" s="895" t="s">
        <v>2209</v>
      </c>
      <c r="C5" s="2016" t="s">
        <v>2210</v>
      </c>
      <c r="D5" s="2016" t="s">
        <v>2211</v>
      </c>
      <c r="E5" s="2016" t="s">
        <v>2212</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2213</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2214</v>
      </c>
      <c r="B7" s="136" t="s">
        <v>2215</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2216</v>
      </c>
      <c r="B8" s="169" t="s">
        <v>2217</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2218</v>
      </c>
      <c r="B9" s="891"/>
      <c r="C9" s="891"/>
      <c r="D9" s="891"/>
      <c r="E9" s="891"/>
      <c r="F9" s="891"/>
      <c r="G9" s="891"/>
      <c r="H9" s="891"/>
      <c r="I9" s="891"/>
      <c r="J9" s="891"/>
      <c r="K9" s="892"/>
    </row>
    <row r="10" spans="1:33" s="907" customFormat="1" ht="13.5" customHeight="1">
      <c r="A10" s="894" t="s">
        <v>2219</v>
      </c>
      <c r="B10" s="8" t="s">
        <v>2220</v>
      </c>
      <c r="C10" s="903" t="s">
        <v>2221</v>
      </c>
      <c r="D10" s="904" t="s">
        <v>2222</v>
      </c>
      <c r="E10" s="904" t="s">
        <v>2223</v>
      </c>
      <c r="F10" s="904" t="s">
        <v>2224</v>
      </c>
      <c r="G10" s="8"/>
      <c r="H10" s="905"/>
      <c r="I10" s="905"/>
      <c r="J10" s="905"/>
      <c r="K10" s="906"/>
    </row>
    <row r="11" spans="1:33" s="912" customFormat="1" ht="13.5" customHeight="1">
      <c r="A11" s="908" t="s">
        <v>1241</v>
      </c>
      <c r="B11" s="909" t="s">
        <v>2225</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2226</v>
      </c>
      <c r="C12" s="24">
        <f ca="1">ROUND(C11*F12,0)</f>
        <v>0</v>
      </c>
      <c r="D12" s="910"/>
      <c r="E12" s="335"/>
      <c r="F12" s="913">
        <f>'数据-取费表'!B33</f>
        <v>0.03</v>
      </c>
      <c r="G12" s="8" t="s">
        <v>2227</v>
      </c>
      <c r="H12" s="905"/>
      <c r="I12" s="905"/>
      <c r="J12" s="905"/>
      <c r="K12" s="906"/>
    </row>
    <row r="13" spans="1:33" s="912" customFormat="1" ht="13.5" customHeight="1">
      <c r="A13" s="908" t="s">
        <v>1243</v>
      </c>
      <c r="B13" s="909" t="s">
        <v>2228</v>
      </c>
      <c r="C13" s="24">
        <f ca="1">ROUND(IF(C1="",SUMIF('数据-取费表'!C:C,"住宅",'数据-取费表'!P:P)*F13,IF(INDIRECT("'数据-取费表'!c"&amp;$K$1)="住宅",INDIRECT("'数据-取费表'!P"&amp;$K$1)*F13,0)),0)</f>
        <v>0</v>
      </c>
      <c r="D13" s="955"/>
      <c r="E13" s="335"/>
      <c r="F13" s="913">
        <f>'数据-取费表'!B34</f>
        <v>0</v>
      </c>
      <c r="G13" s="8" t="s">
        <v>2229</v>
      </c>
      <c r="H13" s="905"/>
      <c r="I13" s="905"/>
      <c r="J13" s="905"/>
      <c r="K13" s="906"/>
    </row>
    <row r="14" spans="1:33" s="914" customFormat="1" ht="13.5" customHeight="1">
      <c r="A14" s="908" t="s">
        <v>1244</v>
      </c>
      <c r="B14" s="909" t="s">
        <v>2230</v>
      </c>
      <c r="C14" s="24">
        <f ca="1">ROUND(D14*E14*F11/10000,0)</f>
        <v>0</v>
      </c>
      <c r="D14" s="955">
        <f ca="1">IF(C1="",'数据-汇总表'!E3,INDIRECT("'数据-取费表'!K"&amp;$K$1)+INDIRECT("'数据-取费表'!S"&amp;$K$1))</f>
        <v>2555.66</v>
      </c>
      <c r="E14" s="24">
        <f>'数据-取费表'!B35</f>
        <v>200</v>
      </c>
      <c r="F14" s="913"/>
      <c r="G14" s="8" t="s">
        <v>2231</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2232</v>
      </c>
      <c r="C15" s="920">
        <f ca="1">ROUND(C11*F15,0)</f>
        <v>0</v>
      </c>
      <c r="D15" s="915"/>
      <c r="E15" s="920"/>
      <c r="F15" s="921">
        <f>'数据-取费表'!B36</f>
        <v>1.4999999999999999E-2</v>
      </c>
      <c r="G15" s="136" t="s">
        <v>2233</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2234</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2235</v>
      </c>
      <c r="C17" s="24">
        <f ca="1">ROUND(D17*E17/10000,0)</f>
        <v>0</v>
      </c>
      <c r="D17" s="955">
        <f ca="1">D14</f>
        <v>2555.66</v>
      </c>
      <c r="E17" s="24">
        <f>'数据-取费表'!B32</f>
        <v>0</v>
      </c>
      <c r="F17" s="915"/>
      <c r="G17" s="136" t="s">
        <v>2236</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2237</v>
      </c>
      <c r="C18" s="24">
        <f ca="1">C19+C20-IF(C1="",'数据-取费表'!B29,IF(G18="已全部缴纳",C19+C20,H18))</f>
        <v>0</v>
      </c>
      <c r="D18" s="955"/>
      <c r="E18" s="24"/>
      <c r="F18" s="913"/>
      <c r="G18" s="2018"/>
      <c r="H18" s="1321"/>
      <c r="I18" s="2019" t="s">
        <v>2238</v>
      </c>
      <c r="J18" s="916"/>
      <c r="K18" s="917"/>
    </row>
    <row r="19" spans="1:33" s="912" customFormat="1" ht="13.5" customHeight="1">
      <c r="A19" s="908" t="s">
        <v>805</v>
      </c>
      <c r="B19" s="909" t="s">
        <v>2239</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2240</v>
      </c>
      <c r="C20" s="24">
        <f ca="1">ROUND(D20*E20/10000,0)</f>
        <v>49</v>
      </c>
      <c r="D20" s="955">
        <f ca="1">IF(C1="",'数据-汇总表'!E6,IF(INDIRECT("'数据-取费表'!c"&amp;$K$1)="住宅",INDIRECT("'数据-取费表'!s"&amp;$K$1),INDIRECT("'数据-取费表'!k"&amp;$K$1)+INDIRECT("'数据-取费表'!s"&amp;$K$1)))</f>
        <v>2555.66</v>
      </c>
      <c r="E20" s="24">
        <f>'数据-取费表'!B28</f>
        <v>190</v>
      </c>
      <c r="F20" s="913"/>
      <c r="G20" s="15"/>
      <c r="H20" s="918"/>
      <c r="I20" s="918"/>
      <c r="J20" s="918"/>
      <c r="K20" s="919"/>
    </row>
    <row r="21" spans="1:33" s="912" customFormat="1" ht="13.5" customHeight="1">
      <c r="A21" s="898" t="s">
        <v>802</v>
      </c>
      <c r="B21" s="922" t="s">
        <v>2241</v>
      </c>
      <c r="C21" s="923">
        <f ca="1">C16+C17+C18</f>
        <v>0</v>
      </c>
      <c r="D21" s="924"/>
      <c r="E21" s="287"/>
      <c r="F21" s="287"/>
      <c r="G21" s="136" t="s">
        <v>2242</v>
      </c>
      <c r="H21" s="916"/>
      <c r="I21" s="916"/>
      <c r="J21" s="916"/>
      <c r="K21" s="917"/>
    </row>
    <row r="22" spans="1:33" s="912" customFormat="1" ht="13.5" customHeight="1">
      <c r="A22" s="898" t="s">
        <v>2214</v>
      </c>
      <c r="B22" s="922" t="s">
        <v>2243</v>
      </c>
      <c r="C22" s="923">
        <f ca="1">ROUND(C21*F22,0)</f>
        <v>0</v>
      </c>
      <c r="D22" s="287"/>
      <c r="E22" s="287"/>
      <c r="F22" s="925">
        <f>'数据-取费表'!B37</f>
        <v>0.02</v>
      </c>
      <c r="G22" s="8" t="s">
        <v>2244</v>
      </c>
      <c r="H22" s="905"/>
      <c r="I22" s="905"/>
      <c r="J22" s="905"/>
      <c r="K22" s="906"/>
    </row>
    <row r="23" spans="1:33" s="912" customFormat="1" ht="13.5" customHeight="1">
      <c r="A23" s="898" t="s">
        <v>2216</v>
      </c>
      <c r="B23" s="922" t="s">
        <v>2245</v>
      </c>
      <c r="C23" s="923">
        <f ca="1">ROUND(C4*F23*F11,0)</f>
        <v>0</v>
      </c>
      <c r="D23" s="287"/>
      <c r="E23" s="287"/>
      <c r="F23" s="925">
        <f>'数据-取费表'!B38</f>
        <v>0.02</v>
      </c>
      <c r="G23" s="8" t="s">
        <v>2246</v>
      </c>
      <c r="H23" s="905"/>
      <c r="I23" s="905"/>
      <c r="J23" s="905"/>
      <c r="K23" s="906"/>
    </row>
    <row r="24" spans="1:33" s="912" customFormat="1" ht="13.5" customHeight="1">
      <c r="A24" s="898" t="s">
        <v>2247</v>
      </c>
      <c r="B24" s="922" t="s">
        <v>2248</v>
      </c>
      <c r="C24" s="286">
        <f>ROUND(F24/(1+'数据-取费表'!C42),4)</f>
        <v>2.9000000000000001E-2</v>
      </c>
      <c r="D24" s="287" t="s">
        <v>15</v>
      </c>
      <c r="E24" s="287"/>
      <c r="F24" s="925">
        <f>IF(项目基本情况!B8="出让",0,'数据-取费表'!B48+'数据-取费表'!B49)</f>
        <v>3.0499999999999999E-2</v>
      </c>
      <c r="G24" s="8" t="s">
        <v>2249</v>
      </c>
      <c r="H24" s="927"/>
      <c r="I24" s="927"/>
      <c r="J24" s="927"/>
      <c r="K24" s="928"/>
    </row>
    <row r="25" spans="1:33" s="912" customFormat="1" ht="13.5" customHeight="1">
      <c r="A25" s="898" t="s">
        <v>2250</v>
      </c>
      <c r="B25" s="924" t="s">
        <v>2251</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2252</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2253</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2254</v>
      </c>
      <c r="B28" s="2021" t="s">
        <v>2255</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2256</v>
      </c>
      <c r="C29" s="290">
        <f ca="1">ROUND((1+C24)*F28*'数据-取费表'!B24/'数据-取费表'!B20,4)</f>
        <v>0</v>
      </c>
      <c r="D29" s="290"/>
      <c r="E29" s="291"/>
      <c r="F29" s="296"/>
      <c r="G29" s="136" t="s">
        <v>2257</v>
      </c>
      <c r="H29" s="916"/>
      <c r="I29" s="916"/>
      <c r="J29" s="916"/>
      <c r="K29" s="917"/>
    </row>
    <row r="30" spans="1:33" s="297" customFormat="1" ht="13.5" customHeight="1">
      <c r="A30" s="908" t="s">
        <v>804</v>
      </c>
      <c r="B30" s="931" t="s">
        <v>2258</v>
      </c>
      <c r="C30" s="298">
        <f ca="1">ROUND((C21+C22+C23)*F28,0)</f>
        <v>0</v>
      </c>
      <c r="D30" s="290"/>
      <c r="E30" s="291"/>
      <c r="F30" s="296"/>
      <c r="G30" s="136"/>
      <c r="H30" s="916"/>
      <c r="I30" s="916"/>
      <c r="J30" s="916"/>
      <c r="K30" s="917"/>
    </row>
    <row r="31" spans="1:33" s="912" customFormat="1" ht="13.5" customHeight="1" thickBot="1">
      <c r="A31" s="2022" t="s">
        <v>2259</v>
      </c>
      <c r="B31" s="942" t="s">
        <v>2260</v>
      </c>
      <c r="C31" s="943">
        <f>ROUND(C4*F31/(1+'数据-取费表'!C42),0)</f>
        <v>0</v>
      </c>
      <c r="D31" s="944"/>
      <c r="E31" s="945"/>
      <c r="F31" s="946">
        <f>'数据-取费表'!B41</f>
        <v>5.5000000000000007E-2</v>
      </c>
      <c r="G31" s="947" t="s">
        <v>2261</v>
      </c>
      <c r="H31" s="948"/>
      <c r="I31" s="948"/>
      <c r="J31" s="948"/>
      <c r="K31" s="949"/>
    </row>
    <row r="32" spans="1:33" s="907" customFormat="1" ht="13.5" customHeight="1" thickBot="1">
      <c r="A32" s="937" t="s">
        <v>2262</v>
      </c>
      <c r="B32" s="938"/>
      <c r="C32" s="939">
        <f ca="1">ROUND((C4-C21-C22-C23-C25-C28-C31)/(1+C24+D25+D28),0)</f>
        <v>0</v>
      </c>
      <c r="D32" s="938"/>
      <c r="E32" s="938"/>
      <c r="F32" s="938"/>
      <c r="G32" s="940" t="s">
        <v>2263</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884"/>
      <c r="H2" s="2873"/>
      <c r="I2" s="2873"/>
      <c r="J2" s="2873"/>
      <c r="K2" s="2874"/>
      <c r="L2" s="2873"/>
      <c r="M2" s="2873"/>
    </row>
    <row r="3" spans="1:37" ht="18" customHeight="1" thickBot="1">
      <c r="A3" s="1544" t="s">
        <v>1498</v>
      </c>
      <c r="B3" s="1545">
        <f ca="1">IF(ISERROR(D2/F43),0,ROUND(D2/F43,0))</f>
        <v>0</v>
      </c>
      <c r="C3" s="1541" t="s">
        <v>1499</v>
      </c>
      <c r="D3" s="1541"/>
      <c r="E3" s="1542"/>
      <c r="F3" s="1543"/>
      <c r="G3" s="288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23" t="s">
        <v>1308</v>
      </c>
      <c r="C6" s="1206">
        <f ca="1">ROUND(F6*F8*F7*(1-F9),0)</f>
        <v>0</v>
      </c>
      <c r="D6" s="160" t="s">
        <v>2770</v>
      </c>
      <c r="E6" s="308" t="s">
        <v>1310</v>
      </c>
      <c r="F6" s="309">
        <f ca="1">INDIRECT("'数据-取费表'!u"&amp;$G$1)</f>
        <v>0</v>
      </c>
      <c r="G6" s="1538"/>
      <c r="H6" s="1201" t="s">
        <v>1003</v>
      </c>
      <c r="I6" s="3423" t="s">
        <v>1308</v>
      </c>
      <c r="J6" s="307">
        <f ca="1">ROUND(M6*M8*M7*(1-M9),0)</f>
        <v>0</v>
      </c>
      <c r="K6" s="1530" t="s">
        <v>2771</v>
      </c>
      <c r="L6" s="308" t="s">
        <v>1310</v>
      </c>
      <c r="M6" s="309">
        <f ca="1">INDIRECT("'数据-取费表'!z"&amp;$G$1)</f>
        <v>0</v>
      </c>
    </row>
    <row r="7" spans="1:37" ht="18" customHeight="1">
      <c r="A7" s="1205"/>
      <c r="B7" s="3424"/>
      <c r="C7" s="1207"/>
      <c r="D7" s="313"/>
      <c r="E7" s="1208" t="s">
        <v>1311</v>
      </c>
      <c r="F7" s="309">
        <f ca="1">IF(INDIRECT("'数据-取费表'!ah"&amp;$G$1)="",INDIRECT("'数据-取费表'!k"&amp;$G$1),INDIRECT("'数据-取费表'!ah"&amp;$G$1))</f>
        <v>0</v>
      </c>
      <c r="G7" s="1538"/>
      <c r="H7" s="310"/>
      <c r="I7" s="3424"/>
      <c r="J7" s="312"/>
      <c r="K7" s="313"/>
      <c r="L7" s="308" t="s">
        <v>1311</v>
      </c>
      <c r="M7" s="309">
        <f ca="1">F7</f>
        <v>0</v>
      </c>
    </row>
    <row r="8" spans="1:37" ht="18" customHeight="1">
      <c r="A8" s="310"/>
      <c r="B8" s="3424"/>
      <c r="C8" s="312"/>
      <c r="D8" s="313"/>
      <c r="E8" s="308" t="s">
        <v>1312</v>
      </c>
      <c r="F8" s="309">
        <f ca="1">INDIRECT("'数据-取费表'!ai"&amp;$G$1)</f>
        <v>0</v>
      </c>
      <c r="G8" s="1538"/>
      <c r="H8" s="310"/>
      <c r="I8" s="3424"/>
      <c r="J8" s="312"/>
      <c r="K8" s="313"/>
      <c r="L8" s="308" t="s">
        <v>1312</v>
      </c>
      <c r="M8" s="309">
        <f ca="1">INDIRECT("'数据-取费表'!ai"&amp;$G$1)</f>
        <v>0</v>
      </c>
    </row>
    <row r="9" spans="1:37" ht="18" customHeight="1">
      <c r="A9" s="310"/>
      <c r="B9" s="3425"/>
      <c r="C9" s="312"/>
      <c r="D9" s="313"/>
      <c r="E9" s="308" t="s">
        <v>1313</v>
      </c>
      <c r="F9" s="318">
        <f ca="1">INDIRECT("'数据-取费表'!w"&amp;$G$1)</f>
        <v>0</v>
      </c>
      <c r="G9" s="1538"/>
      <c r="H9" s="310"/>
      <c r="I9" s="342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2780</v>
      </c>
      <c r="E10" s="319" t="s">
        <v>1315</v>
      </c>
      <c r="F10" s="1248"/>
      <c r="G10" s="1538"/>
      <c r="H10" s="1201" t="s">
        <v>1007</v>
      </c>
      <c r="I10" s="1519" t="s">
        <v>1314</v>
      </c>
      <c r="J10" s="307">
        <f ca="1">ROUND(IF(M10="押一",J6/12*M11,IF(M10="押二",J6/12*2*M11,IF(M10="押三",J6/12*3*M11,J11*M11))),0)</f>
        <v>0</v>
      </c>
      <c r="K10" s="1531" t="s">
        <v>2782</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75"/>
      <c r="I30" s="1552"/>
      <c r="J30" s="1553"/>
      <c r="K30" s="2669"/>
      <c r="L30" s="2876"/>
      <c r="M30" s="2877"/>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2988" t="s">
        <v>2968</v>
      </c>
      <c r="I31" s="1552"/>
      <c r="J31" s="1553"/>
      <c r="K31" s="2669"/>
      <c r="L31" s="2876"/>
      <c r="M31" s="2877"/>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75"/>
      <c r="I32" s="1552"/>
      <c r="J32" s="1553"/>
      <c r="K32" s="2669"/>
      <c r="L32" s="2876"/>
      <c r="M32" s="287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78"/>
      <c r="I33" s="1552"/>
      <c r="J33" s="1553"/>
      <c r="K33" s="2879"/>
      <c r="L33" s="2878"/>
      <c r="M33" s="2878"/>
    </row>
    <row r="34" spans="1:18" ht="18" customHeight="1">
      <c r="A34" s="1201" t="s">
        <v>1294</v>
      </c>
      <c r="B34" s="160" t="s">
        <v>1346</v>
      </c>
      <c r="C34" s="25">
        <f ca="1">IF(项目基本情况!B11="自然人","——",ROUND(F34*F35,))</f>
        <v>0</v>
      </c>
      <c r="D34" s="330" t="s">
        <v>1347</v>
      </c>
      <c r="E34" s="308" t="s">
        <v>1348</v>
      </c>
      <c r="F34" s="331">
        <f>'数据-取费表'!B52</f>
        <v>0</v>
      </c>
      <c r="G34" s="1538"/>
      <c r="H34" s="2875"/>
      <c r="I34" s="1552"/>
      <c r="J34" s="1553"/>
      <c r="K34" s="2880"/>
      <c r="L34" s="2881"/>
      <c r="M34" s="2881"/>
    </row>
    <row r="35" spans="1:18" ht="18" customHeight="1">
      <c r="A35" s="1235"/>
      <c r="B35" s="1233"/>
      <c r="C35" s="29"/>
      <c r="D35" s="333"/>
      <c r="E35" s="308" t="s">
        <v>1352</v>
      </c>
      <c r="F35" s="309">
        <f ca="1">INDIRECT("'数据-取费表'!r"&amp;$G$1)</f>
        <v>0</v>
      </c>
      <c r="G35" s="1538"/>
      <c r="H35" s="2875"/>
      <c r="I35" s="1552"/>
      <c r="J35" s="1553"/>
      <c r="K35" s="2879"/>
      <c r="L35" s="2878"/>
      <c r="M35" s="2878"/>
    </row>
    <row r="36" spans="1:18" ht="18" customHeight="1">
      <c r="A36" s="1234" t="s">
        <v>1007</v>
      </c>
      <c r="B36" s="308" t="s">
        <v>1354</v>
      </c>
      <c r="C36" s="24">
        <f ca="1">ROUND(C29*F36,0)</f>
        <v>0</v>
      </c>
      <c r="D36" s="1498" t="s">
        <v>1387</v>
      </c>
      <c r="E36" s="308" t="s">
        <v>1327</v>
      </c>
      <c r="F36" s="334">
        <f ca="1">INDIRECT("'数据-取费表'!Ak"&amp;$G$1)</f>
        <v>0</v>
      </c>
      <c r="G36" s="1538"/>
      <c r="H36" s="2878"/>
      <c r="I36" s="1552"/>
      <c r="J36" s="1553"/>
      <c r="K36" s="2719"/>
      <c r="L36" s="2878"/>
      <c r="M36" s="2878"/>
    </row>
    <row r="37" spans="1:18" ht="18" customHeight="1">
      <c r="A37" s="1113" t="s">
        <v>1043</v>
      </c>
      <c r="B37" s="308" t="s">
        <v>1358</v>
      </c>
      <c r="C37" s="24">
        <f ca="1">ROUND(C13*F37,0)</f>
        <v>0</v>
      </c>
      <c r="D37" s="1498" t="s">
        <v>1359</v>
      </c>
      <c r="E37" s="308" t="s">
        <v>1360</v>
      </c>
      <c r="F37" s="336">
        <f ca="1">INDIRECT("'数据-取费表'!Al"&amp;$G$1)</f>
        <v>0</v>
      </c>
      <c r="G37" s="1538"/>
      <c r="H37" s="2878"/>
      <c r="I37" s="1552"/>
      <c r="J37" s="1553"/>
      <c r="K37" s="2719"/>
      <c r="L37" s="2878"/>
      <c r="M37" s="2878"/>
    </row>
    <row r="38" spans="1:18" ht="18" customHeight="1" thickBot="1">
      <c r="A38" s="1221" t="s">
        <v>1298</v>
      </c>
      <c r="B38" s="1222" t="s">
        <v>1344</v>
      </c>
      <c r="C38" s="1223">
        <f ca="1">ROUND(C5*F38,1)</f>
        <v>0</v>
      </c>
      <c r="D38" s="1224" t="s">
        <v>1364</v>
      </c>
      <c r="E38" s="1222" t="s">
        <v>1360</v>
      </c>
      <c r="F38" s="1218">
        <f ca="1">INDIRECT("'数据-取费表'!Am"&amp;$G$1)</f>
        <v>0</v>
      </c>
      <c r="G38" s="1538"/>
      <c r="H38" s="2878"/>
      <c r="I38" s="1552"/>
      <c r="J38" s="1553"/>
      <c r="K38" s="2882"/>
      <c r="L38" s="2878"/>
      <c r="M38" s="2878"/>
    </row>
    <row r="39" spans="1:18" ht="24.6" customHeight="1" thickTop="1">
      <c r="A39" s="1211" t="s">
        <v>999</v>
      </c>
      <c r="B39" s="1226" t="s">
        <v>1388</v>
      </c>
      <c r="C39" s="316">
        <f ca="1">C5-C30</f>
        <v>0</v>
      </c>
      <c r="D39" s="1227" t="s">
        <v>1389</v>
      </c>
      <c r="E39" s="1228"/>
      <c r="F39" s="1229"/>
      <c r="G39" s="1538"/>
      <c r="H39" s="2878"/>
      <c r="I39" s="1552"/>
      <c r="J39" s="1553"/>
      <c r="K39" s="2882"/>
      <c r="L39" s="2878"/>
      <c r="M39" s="287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88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19"/>
      <c r="L41" s="1325"/>
      <c r="M41" s="1325"/>
    </row>
    <row r="42" spans="1:18" ht="18" customHeight="1">
      <c r="A42" s="314"/>
      <c r="B42" s="315"/>
      <c r="C42" s="316"/>
      <c r="D42" s="333"/>
      <c r="E42" s="308" t="s">
        <v>1382</v>
      </c>
      <c r="F42" s="318">
        <f ca="1">INDIRECT("'数据-取费表'!v"&amp;$G$1)</f>
        <v>0</v>
      </c>
      <c r="G42" s="1538"/>
      <c r="H42" s="1325"/>
      <c r="I42" s="1552"/>
      <c r="J42" s="1553"/>
      <c r="K42" s="271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1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2783</v>
      </c>
      <c r="E53" s="319" t="s">
        <v>1315</v>
      </c>
      <c r="F53" s="1248"/>
      <c r="I53" s="1593" t="s">
        <v>1452</v>
      </c>
      <c r="J53" s="2356">
        <f ca="1">IF(M47="住宅",IF(D1="——",MAX(J51,L48),MAX(J51,L48-'数据-取费表'!B24)),IF(D1="——",MIN(J51,L48),MIN(J51,L48-'数据-取费表'!B24)))</f>
        <v>0</v>
      </c>
      <c r="K53" s="3421" t="s">
        <v>1453</v>
      </c>
      <c r="L53" s="3422"/>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0</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2"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3096</v>
      </c>
      <c r="B1" s="3012"/>
      <c r="C1" s="3024"/>
      <c r="D1" s="3024"/>
      <c r="E1" s="3013"/>
      <c r="F1" s="3014"/>
      <c r="G1" s="3015"/>
      <c r="J1" s="3018" t="s">
        <v>2975</v>
      </c>
      <c r="K1" s="3019"/>
      <c r="L1" s="3019"/>
      <c r="M1" s="3019"/>
      <c r="N1" s="3019"/>
      <c r="O1" s="3019"/>
      <c r="P1" s="3019"/>
      <c r="Q1" s="3019"/>
      <c r="R1" s="3020"/>
      <c r="S1" s="3021"/>
      <c r="T1" s="3021"/>
      <c r="U1" s="3021"/>
    </row>
    <row r="2" spans="1:22" s="3033" customFormat="1" ht="13.15" customHeight="1">
      <c r="A2" s="1539" t="s">
        <v>2976</v>
      </c>
      <c r="B2" s="3023" t="e">
        <f>C40</f>
        <v>#DIV/0!</v>
      </c>
      <c r="C2" s="3024" t="s">
        <v>2977</v>
      </c>
      <c r="D2" s="3024"/>
      <c r="E2" s="3025"/>
      <c r="F2" s="3026"/>
      <c r="G2" s="3027"/>
      <c r="H2" s="3028"/>
      <c r="I2" s="3029"/>
      <c r="J2" s="3461" t="s">
        <v>2978</v>
      </c>
      <c r="K2" s="3462"/>
      <c r="L2" s="3030" t="s">
        <v>2979</v>
      </c>
      <c r="M2" s="3030" t="s">
        <v>2980</v>
      </c>
      <c r="N2" s="3030" t="s">
        <v>2981</v>
      </c>
      <c r="O2" s="3030" t="s">
        <v>2982</v>
      </c>
      <c r="P2" s="3030" t="s">
        <v>2983</v>
      </c>
      <c r="Q2" s="3031" t="s">
        <v>2984</v>
      </c>
      <c r="R2" s="3032" t="s">
        <v>2985</v>
      </c>
      <c r="S2" s="3021"/>
      <c r="T2" s="3021"/>
      <c r="U2" s="3021"/>
      <c r="V2" s="3029"/>
    </row>
    <row r="3" spans="1:22" s="3033" customFormat="1" ht="13.15" customHeight="1">
      <c r="A3" s="3034" t="s">
        <v>2986</v>
      </c>
      <c r="B3" s="3035" t="e">
        <f>ROUND(B2*10000/B4,0)</f>
        <v>#DIV/0!</v>
      </c>
      <c r="C3" s="3024" t="s">
        <v>2987</v>
      </c>
      <c r="D3" s="3024"/>
      <c r="E3" s="3025"/>
      <c r="F3" s="3026"/>
      <c r="G3" s="3027"/>
      <c r="H3" s="3028"/>
      <c r="I3" s="3029"/>
      <c r="J3" s="3463" t="s">
        <v>2988</v>
      </c>
      <c r="K3" s="3464"/>
      <c r="L3" s="3036"/>
      <c r="M3" s="3036"/>
      <c r="N3" s="3036"/>
      <c r="O3" s="3036"/>
      <c r="P3" s="3036"/>
      <c r="Q3" s="3037"/>
      <c r="R3" s="3038">
        <f>SUM(L3:Q3)</f>
        <v>0</v>
      </c>
      <c r="S3" s="3021"/>
      <c r="T3" s="3021"/>
      <c r="U3" s="3021"/>
      <c r="V3" s="3029"/>
    </row>
    <row r="4" spans="1:22" s="3033" customFormat="1" ht="13.15" customHeight="1">
      <c r="A4" s="3039" t="s">
        <v>2989</v>
      </c>
      <c r="B4" s="3040"/>
      <c r="C4" s="3024"/>
      <c r="D4" s="3024"/>
      <c r="E4" s="3025"/>
      <c r="F4" s="3026"/>
      <c r="G4" s="3027"/>
      <c r="H4" s="3028"/>
      <c r="I4" s="3029"/>
      <c r="J4" s="3463" t="s">
        <v>2990</v>
      </c>
      <c r="K4" s="3464"/>
      <c r="L4" s="3041"/>
      <c r="M4" s="3041"/>
      <c r="N4" s="3041"/>
      <c r="O4" s="3041"/>
      <c r="P4" s="3041"/>
      <c r="Q4" s="3042"/>
      <c r="R4" s="3043">
        <f>SUM(L4:Q4)</f>
        <v>0</v>
      </c>
      <c r="S4" s="3021"/>
      <c r="T4" s="3021"/>
      <c r="U4" s="3021"/>
      <c r="V4" s="3029"/>
    </row>
    <row r="5" spans="1:22" s="3033" customFormat="1" ht="13.15" customHeight="1" thickBot="1">
      <c r="A5" s="3044" t="s">
        <v>2991</v>
      </c>
      <c r="B5" s="3045"/>
      <c r="C5" s="3024"/>
      <c r="D5" s="3046"/>
      <c r="E5" s="3026"/>
      <c r="F5" s="3026"/>
      <c r="G5" s="3027"/>
      <c r="H5" s="3028"/>
      <c r="I5" s="3029"/>
      <c r="J5" s="3047" t="s">
        <v>2992</v>
      </c>
      <c r="K5" s="3048"/>
      <c r="L5" s="3048"/>
      <c r="M5" s="3049"/>
      <c r="N5" s="3049"/>
      <c r="O5" s="3049"/>
      <c r="P5" s="3049"/>
      <c r="Q5" s="3049"/>
      <c r="R5" s="3032">
        <f>SUM(R14,R19,R24,R25,R27,R28)</f>
        <v>0</v>
      </c>
      <c r="S5" s="3021"/>
      <c r="T5" s="3021" t="s">
        <v>2993</v>
      </c>
      <c r="U5" s="3021" t="e">
        <f>ROUND(R5*10000/365/R3,1)</f>
        <v>#DIV/0!</v>
      </c>
      <c r="V5" s="3029"/>
    </row>
    <row r="6" spans="1:22" s="3033" customFormat="1" ht="13.15" customHeight="1" thickBot="1">
      <c r="A6" s="3469" t="s">
        <v>2994</v>
      </c>
      <c r="B6" s="3470"/>
      <c r="C6" s="3471"/>
      <c r="D6" s="3050"/>
      <c r="E6" s="3051"/>
      <c r="F6" s="3052"/>
      <c r="G6" s="3053"/>
      <c r="H6" s="3028"/>
      <c r="I6" s="3029"/>
      <c r="J6" s="3455">
        <v>1</v>
      </c>
      <c r="K6" s="3456" t="s">
        <v>2995</v>
      </c>
      <c r="L6" s="3054" t="s">
        <v>2996</v>
      </c>
      <c r="M6" s="3055" t="s">
        <v>2997</v>
      </c>
      <c r="N6" s="3055" t="s">
        <v>2998</v>
      </c>
      <c r="O6" s="3055" t="s">
        <v>2999</v>
      </c>
      <c r="P6" s="3055" t="s">
        <v>3000</v>
      </c>
      <c r="Q6" s="3055" t="s">
        <v>3001</v>
      </c>
      <c r="R6" s="3038" t="s">
        <v>3002</v>
      </c>
      <c r="S6" s="3021"/>
      <c r="T6" s="3021" t="s">
        <v>3003</v>
      </c>
      <c r="U6" s="3021"/>
      <c r="V6" s="3029"/>
    </row>
    <row r="7" spans="1:22" s="3033" customFormat="1" ht="13.15" customHeight="1">
      <c r="A7" s="3056" t="s">
        <v>3004</v>
      </c>
      <c r="B7" s="3057"/>
      <c r="C7" s="3058"/>
      <c r="D7" s="3059">
        <f>SUM(D9,D10,D11,D17,0)</f>
        <v>0</v>
      </c>
      <c r="E7" s="3060" t="e">
        <f>E9+E10+E11+E17</f>
        <v>#DIV/0!</v>
      </c>
      <c r="F7" s="3061"/>
      <c r="G7" s="3062"/>
      <c r="H7" s="3028"/>
      <c r="I7" s="3029"/>
      <c r="J7" s="3455"/>
      <c r="K7" s="3457"/>
      <c r="L7" s="3063" t="s">
        <v>3005</v>
      </c>
      <c r="M7" s="3064"/>
      <c r="N7" s="3040"/>
      <c r="O7" s="3065"/>
      <c r="P7" s="3065"/>
      <c r="Q7" s="3066">
        <v>365</v>
      </c>
      <c r="R7" s="3067">
        <f>ROUND(M7*N7*O7*P7*Q7/10000,0)</f>
        <v>0</v>
      </c>
      <c r="S7" s="3021"/>
      <c r="T7" s="3021" t="s">
        <v>3006</v>
      </c>
      <c r="U7" s="3021"/>
      <c r="V7" s="3029"/>
    </row>
    <row r="8" spans="1:22" s="3033" customFormat="1" ht="13.15" customHeight="1">
      <c r="A8" s="3068" t="s">
        <v>3007</v>
      </c>
      <c r="B8" s="3472" t="s">
        <v>3008</v>
      </c>
      <c r="C8" s="3473"/>
      <c r="D8" s="3069" t="s">
        <v>3009</v>
      </c>
      <c r="E8" s="3070" t="s">
        <v>3010</v>
      </c>
      <c r="F8" s="3071" t="s">
        <v>3011</v>
      </c>
      <c r="G8" s="3072"/>
      <c r="H8" s="3028"/>
      <c r="I8" s="3029"/>
      <c r="J8" s="3455"/>
      <c r="K8" s="3457"/>
      <c r="L8" s="3063" t="s">
        <v>3012</v>
      </c>
      <c r="M8" s="3064"/>
      <c r="N8" s="3040"/>
      <c r="O8" s="3065"/>
      <c r="P8" s="3065"/>
      <c r="Q8" s="3066">
        <v>365</v>
      </c>
      <c r="R8" s="3067">
        <f t="shared" ref="R8:R13" si="0">ROUND(M8*N8*O8*P8*Q8/10000,0)</f>
        <v>0</v>
      </c>
      <c r="S8" s="3021"/>
      <c r="T8" s="3021" t="s">
        <v>3013</v>
      </c>
      <c r="U8" s="3021"/>
      <c r="V8" s="3029"/>
    </row>
    <row r="9" spans="1:22" s="3033" customFormat="1" ht="13.15" customHeight="1">
      <c r="A9" s="3068">
        <v>1</v>
      </c>
      <c r="B9" s="3472" t="s">
        <v>3014</v>
      </c>
      <c r="C9" s="3473"/>
      <c r="D9" s="3069">
        <f>ROUND(D6*E9,0)</f>
        <v>0</v>
      </c>
      <c r="E9" s="3073"/>
      <c r="F9" s="3074" t="s">
        <v>3015</v>
      </c>
      <c r="G9" s="3053"/>
      <c r="H9" s="3028"/>
      <c r="I9" s="3029"/>
      <c r="J9" s="3455"/>
      <c r="K9" s="3457"/>
      <c r="L9" s="3063" t="s">
        <v>3016</v>
      </c>
      <c r="M9" s="3064"/>
      <c r="N9" s="3040"/>
      <c r="O9" s="3065"/>
      <c r="P9" s="3065"/>
      <c r="Q9" s="3066">
        <v>365</v>
      </c>
      <c r="R9" s="3067">
        <f t="shared" si="0"/>
        <v>0</v>
      </c>
      <c r="S9" s="3021"/>
      <c r="T9" s="3021"/>
      <c r="U9" s="3021"/>
      <c r="V9" s="3029"/>
    </row>
    <row r="10" spans="1:22" s="3033" customFormat="1" ht="13.15" customHeight="1">
      <c r="A10" s="3068">
        <v>2</v>
      </c>
      <c r="B10" s="3472" t="s">
        <v>3017</v>
      </c>
      <c r="C10" s="3473"/>
      <c r="D10" s="3069">
        <f>ROUND(D6*E10,0)</f>
        <v>0</v>
      </c>
      <c r="E10" s="3073"/>
      <c r="F10" s="3074" t="s">
        <v>3018</v>
      </c>
      <c r="G10" s="3053"/>
      <c r="H10" s="3028"/>
      <c r="I10" s="3029"/>
      <c r="J10" s="3455"/>
      <c r="K10" s="3457"/>
      <c r="L10" s="3063" t="s">
        <v>3019</v>
      </c>
      <c r="M10" s="3064"/>
      <c r="N10" s="3040"/>
      <c r="O10" s="3065"/>
      <c r="P10" s="3065"/>
      <c r="Q10" s="3066">
        <v>365</v>
      </c>
      <c r="R10" s="3067">
        <f t="shared" si="0"/>
        <v>0</v>
      </c>
      <c r="S10" s="3021"/>
      <c r="T10" s="3021"/>
      <c r="U10" s="3021"/>
      <c r="V10" s="3029"/>
    </row>
    <row r="11" spans="1:22" s="3033" customFormat="1" ht="13.15" customHeight="1">
      <c r="A11" s="3068">
        <v>3</v>
      </c>
      <c r="B11" s="3472" t="s">
        <v>3020</v>
      </c>
      <c r="C11" s="3473"/>
      <c r="D11" s="3069">
        <f>D12+D14+D15+D16</f>
        <v>0</v>
      </c>
      <c r="E11" s="3075" t="e">
        <f>D11/D6</f>
        <v>#DIV/0!</v>
      </c>
      <c r="F11" s="3071"/>
      <c r="G11" s="3072"/>
      <c r="H11" s="3028"/>
      <c r="I11" s="3029"/>
      <c r="J11" s="3455"/>
      <c r="K11" s="3457"/>
      <c r="L11" s="3063" t="s">
        <v>3021</v>
      </c>
      <c r="M11" s="3064"/>
      <c r="N11" s="3040"/>
      <c r="O11" s="3065"/>
      <c r="P11" s="3065"/>
      <c r="Q11" s="3066">
        <v>365</v>
      </c>
      <c r="R11" s="3067">
        <f t="shared" si="0"/>
        <v>0</v>
      </c>
      <c r="S11" s="3021"/>
      <c r="T11" s="3021"/>
      <c r="U11" s="3021"/>
      <c r="V11" s="3029"/>
    </row>
    <row r="12" spans="1:22" s="3033" customFormat="1" ht="13.15" customHeight="1">
      <c r="A12" s="3076" t="s">
        <v>3022</v>
      </c>
      <c r="B12" s="3465" t="s">
        <v>3023</v>
      </c>
      <c r="C12" s="3466"/>
      <c r="D12" s="3077">
        <f>ROUND(D13*1.2%*(1-30%),0)</f>
        <v>0</v>
      </c>
      <c r="E12" s="3078">
        <v>1.2E-2</v>
      </c>
      <c r="F12" s="3071" t="s">
        <v>3024</v>
      </c>
      <c r="G12" s="3072"/>
      <c r="H12" s="3028"/>
      <c r="I12" s="3029"/>
      <c r="J12" s="3455"/>
      <c r="K12" s="3457"/>
      <c r="L12" s="3063" t="s">
        <v>3025</v>
      </c>
      <c r="M12" s="3064"/>
      <c r="N12" s="3040"/>
      <c r="O12" s="3065"/>
      <c r="P12" s="3065"/>
      <c r="Q12" s="3066">
        <v>365</v>
      </c>
      <c r="R12" s="3067">
        <f t="shared" si="0"/>
        <v>0</v>
      </c>
      <c r="S12" s="3021"/>
      <c r="T12" s="3021"/>
      <c r="U12" s="3021"/>
      <c r="V12" s="3029"/>
    </row>
    <row r="13" spans="1:22" s="3033" customFormat="1" ht="13.15" customHeight="1">
      <c r="A13" s="3076"/>
      <c r="B13" s="3079"/>
      <c r="C13" s="3080" t="s">
        <v>3026</v>
      </c>
      <c r="D13" s="3081"/>
      <c r="E13" s="3082"/>
      <c r="F13" s="3071"/>
      <c r="G13" s="3072"/>
      <c r="H13" s="3028"/>
      <c r="I13" s="3029"/>
      <c r="J13" s="3455"/>
      <c r="K13" s="3457"/>
      <c r="L13" s="3063" t="s">
        <v>3027</v>
      </c>
      <c r="M13" s="3064"/>
      <c r="N13" s="3040"/>
      <c r="O13" s="3065"/>
      <c r="P13" s="3065"/>
      <c r="Q13" s="3066">
        <v>365</v>
      </c>
      <c r="R13" s="3067">
        <f t="shared" si="0"/>
        <v>0</v>
      </c>
      <c r="S13" s="3021"/>
      <c r="T13" s="3021"/>
      <c r="U13" s="3021"/>
      <c r="V13" s="3029"/>
    </row>
    <row r="14" spans="1:22" s="3033" customFormat="1" ht="13.15" customHeight="1">
      <c r="A14" s="3076" t="s">
        <v>3028</v>
      </c>
      <c r="B14" s="3465" t="s">
        <v>3029</v>
      </c>
      <c r="C14" s="3466"/>
      <c r="D14" s="3077">
        <f>ROUND(E14*B5/10000,0)</f>
        <v>0</v>
      </c>
      <c r="E14" s="3066"/>
      <c r="F14" s="3071" t="s">
        <v>3030</v>
      </c>
      <c r="G14" s="3072"/>
      <c r="H14" s="3028"/>
      <c r="I14" s="3029"/>
      <c r="J14" s="3455"/>
      <c r="K14" s="3458"/>
      <c r="L14" s="3083" t="s">
        <v>3031</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3032</v>
      </c>
      <c r="B15" s="3465" t="s">
        <v>3033</v>
      </c>
      <c r="C15" s="3466"/>
      <c r="D15" s="3077">
        <f>ROUND(D6*E15,0)</f>
        <v>0</v>
      </c>
      <c r="E15" s="3078">
        <v>5.5E-2</v>
      </c>
      <c r="F15" s="3071" t="s">
        <v>3034</v>
      </c>
      <c r="G15" s="3053"/>
      <c r="H15" s="3028"/>
      <c r="I15" s="3029"/>
      <c r="J15" s="3455">
        <v>2</v>
      </c>
      <c r="K15" s="3456" t="s">
        <v>3035</v>
      </c>
      <c r="L15" s="3063" t="s">
        <v>3036</v>
      </c>
      <c r="M15" s="3064" t="s">
        <v>3037</v>
      </c>
      <c r="N15" s="3064" t="s">
        <v>3038</v>
      </c>
      <c r="O15" s="3065" t="s">
        <v>3039</v>
      </c>
      <c r="P15" s="3065" t="s">
        <v>3001</v>
      </c>
      <c r="Q15" s="3040" t="s">
        <v>3040</v>
      </c>
      <c r="R15" s="3087" t="s">
        <v>3002</v>
      </c>
      <c r="S15" s="3021"/>
      <c r="T15" s="3021"/>
      <c r="U15" s="3021"/>
      <c r="V15" s="3029"/>
    </row>
    <row r="16" spans="1:22" s="3033" customFormat="1" ht="13.15" customHeight="1">
      <c r="A16" s="3076" t="s">
        <v>3041</v>
      </c>
      <c r="B16" s="3465" t="s">
        <v>3042</v>
      </c>
      <c r="C16" s="3466"/>
      <c r="D16" s="3088">
        <f>D6*E16</f>
        <v>0</v>
      </c>
      <c r="E16" s="3089"/>
      <c r="F16" s="3074" t="s">
        <v>3043</v>
      </c>
      <c r="G16" s="3053"/>
      <c r="H16" s="3028"/>
      <c r="I16" s="3029"/>
      <c r="J16" s="3455"/>
      <c r="K16" s="3457"/>
      <c r="L16" s="3063" t="s">
        <v>3044</v>
      </c>
      <c r="M16" s="3064"/>
      <c r="N16" s="3064"/>
      <c r="O16" s="3065"/>
      <c r="P16" s="3066">
        <v>365</v>
      </c>
      <c r="Q16" s="3040"/>
      <c r="R16" s="3087">
        <f>ROUND(M16*N16*O16*P16/10000,0)</f>
        <v>0</v>
      </c>
      <c r="S16" s="3021"/>
      <c r="T16" s="3021"/>
      <c r="U16" s="3021"/>
      <c r="V16" s="3029"/>
    </row>
    <row r="17" spans="1:22" s="3033" customFormat="1" ht="13.15" customHeight="1" thickBot="1">
      <c r="A17" s="3090">
        <v>4</v>
      </c>
      <c r="B17" s="3467" t="s">
        <v>3045</v>
      </c>
      <c r="C17" s="3468"/>
      <c r="D17" s="3091">
        <f>ROUND(D6*E17,0)</f>
        <v>0</v>
      </c>
      <c r="E17" s="3092"/>
      <c r="F17" s="3093" t="s">
        <v>3046</v>
      </c>
      <c r="G17" s="3053"/>
      <c r="H17" s="3028"/>
      <c r="I17" s="3029"/>
      <c r="J17" s="3455"/>
      <c r="K17" s="3457"/>
      <c r="L17" s="3063" t="s">
        <v>3047</v>
      </c>
      <c r="M17" s="3064"/>
      <c r="N17" s="3064"/>
      <c r="O17" s="3065"/>
      <c r="P17" s="3066">
        <v>365</v>
      </c>
      <c r="Q17" s="3040"/>
      <c r="R17" s="3087">
        <f>ROUND(M17*N17*O17*P17/10000,0)</f>
        <v>0</v>
      </c>
      <c r="S17" s="3021"/>
      <c r="T17" s="3021"/>
      <c r="U17" s="3021"/>
      <c r="V17" s="3029"/>
    </row>
    <row r="18" spans="1:22" s="3033" customFormat="1" ht="13.15" customHeight="1" thickBot="1">
      <c r="A18" s="3056" t="s">
        <v>3048</v>
      </c>
      <c r="B18" s="3057"/>
      <c r="C18" s="3057"/>
      <c r="D18" s="3094">
        <f>ROUND(D6*E18,0)</f>
        <v>0</v>
      </c>
      <c r="E18" s="3095"/>
      <c r="F18" s="3096" t="s">
        <v>3049</v>
      </c>
      <c r="G18" s="3053"/>
      <c r="H18" s="3028"/>
      <c r="I18" s="3029"/>
      <c r="J18" s="3455"/>
      <c r="K18" s="3457"/>
      <c r="L18" s="3063" t="s">
        <v>3050</v>
      </c>
      <c r="M18" s="3064"/>
      <c r="N18" s="3064"/>
      <c r="O18" s="3065"/>
      <c r="P18" s="3066">
        <v>365</v>
      </c>
      <c r="Q18" s="3040"/>
      <c r="R18" s="3087">
        <f>ROUND(M18*N18*O18*P18/10000,0)</f>
        <v>0</v>
      </c>
      <c r="S18" s="3021"/>
      <c r="T18" s="3021"/>
      <c r="U18" s="3021"/>
      <c r="V18" s="3029"/>
    </row>
    <row r="19" spans="1:22" s="3033" customFormat="1" ht="13.15" customHeight="1" thickBot="1">
      <c r="A19" s="3097" t="s">
        <v>3051</v>
      </c>
      <c r="B19" s="3051"/>
      <c r="C19" s="3051"/>
      <c r="D19" s="3051"/>
      <c r="E19" s="3051"/>
      <c r="F19" s="3052"/>
      <c r="G19" s="3072"/>
      <c r="H19" s="3028"/>
      <c r="I19" s="3029"/>
      <c r="J19" s="3455"/>
      <c r="K19" s="3458"/>
      <c r="L19" s="3083" t="s">
        <v>3031</v>
      </c>
      <c r="M19" s="3084"/>
      <c r="N19" s="3084">
        <f>SUM(N16:N18)</f>
        <v>0</v>
      </c>
      <c r="O19" s="3085"/>
      <c r="P19" s="3098" t="s">
        <v>3095</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55">
        <v>3</v>
      </c>
      <c r="K20" s="3456" t="s">
        <v>3052</v>
      </c>
      <c r="L20" s="3063" t="s">
        <v>3053</v>
      </c>
      <c r="M20" s="3064" t="s">
        <v>3054</v>
      </c>
      <c r="N20" s="3101" t="s">
        <v>3055</v>
      </c>
      <c r="O20" s="3065" t="s">
        <v>3056</v>
      </c>
      <c r="P20" s="3066" t="s">
        <v>3057</v>
      </c>
      <c r="Q20" s="3040" t="s">
        <v>3058</v>
      </c>
      <c r="R20" s="3087" t="s">
        <v>3059</v>
      </c>
      <c r="S20" s="3102"/>
      <c r="T20" s="3102"/>
      <c r="U20" s="3102"/>
      <c r="V20" s="3029"/>
    </row>
    <row r="21" spans="1:22" s="3033" customFormat="1" ht="13.15" customHeight="1">
      <c r="A21" s="3056"/>
      <c r="B21" s="3057"/>
      <c r="C21" s="3103" t="s">
        <v>3060</v>
      </c>
      <c r="D21" s="3104" t="s">
        <v>3061</v>
      </c>
      <c r="E21" s="3105" t="s">
        <v>3062</v>
      </c>
      <c r="F21" s="3100"/>
      <c r="G21" s="3072"/>
      <c r="H21" s="3028"/>
      <c r="I21" s="3029"/>
      <c r="J21" s="3455"/>
      <c r="K21" s="3457"/>
      <c r="L21" s="3063" t="s">
        <v>3063</v>
      </c>
      <c r="M21" s="3064"/>
      <c r="N21" s="3064"/>
      <c r="O21" s="3065"/>
      <c r="P21" s="3066">
        <v>365</v>
      </c>
      <c r="Q21" s="3040"/>
      <c r="R21" s="3106">
        <f>ROUND(M21*N21*O21*P21/10000,0)</f>
        <v>0</v>
      </c>
      <c r="S21" s="3102"/>
      <c r="T21" s="3102"/>
      <c r="U21" s="3102"/>
      <c r="V21" s="3029"/>
    </row>
    <row r="22" spans="1:22" s="3033" customFormat="1" ht="13.15" customHeight="1">
      <c r="A22" s="3056"/>
      <c r="B22" s="3057"/>
      <c r="C22" s="3107" t="s">
        <v>3064</v>
      </c>
      <c r="D22" s="3108" t="s">
        <v>3065</v>
      </c>
      <c r="E22" s="3109" t="s">
        <v>3066</v>
      </c>
      <c r="F22" s="3100"/>
      <c r="G22" s="3110"/>
      <c r="H22" s="3028"/>
      <c r="I22" s="3029"/>
      <c r="J22" s="3455"/>
      <c r="K22" s="3457"/>
      <c r="L22" s="3063" t="s">
        <v>3067</v>
      </c>
      <c r="M22" s="3064"/>
      <c r="N22" s="3064"/>
      <c r="O22" s="3065"/>
      <c r="P22" s="3066">
        <v>365</v>
      </c>
      <c r="Q22" s="3040"/>
      <c r="R22" s="3106">
        <f>ROUND(M22*N22*O22*P22/10000,0)</f>
        <v>0</v>
      </c>
      <c r="S22" s="3102"/>
      <c r="T22" s="3102"/>
      <c r="U22" s="3102"/>
      <c r="V22" s="3029"/>
    </row>
    <row r="23" spans="1:22" s="3033" customFormat="1" ht="13.15" customHeight="1">
      <c r="A23" s="3111">
        <v>1</v>
      </c>
      <c r="B23" s="3112" t="s">
        <v>3068</v>
      </c>
      <c r="C23" s="3113">
        <f>D6</f>
        <v>0</v>
      </c>
      <c r="D23" s="3114">
        <f>C23*(1+D24)</f>
        <v>0</v>
      </c>
      <c r="E23" s="3115">
        <f>D23*(1+E24)</f>
        <v>0</v>
      </c>
      <c r="F23" s="3116"/>
      <c r="G23" s="3117"/>
      <c r="H23" s="3028"/>
      <c r="I23" s="3029"/>
      <c r="J23" s="3455"/>
      <c r="K23" s="3457"/>
      <c r="L23" s="3063" t="s">
        <v>3069</v>
      </c>
      <c r="M23" s="3064"/>
      <c r="N23" s="3064"/>
      <c r="O23" s="3065"/>
      <c r="P23" s="3066">
        <v>365</v>
      </c>
      <c r="Q23" s="3040"/>
      <c r="R23" s="3106">
        <f>ROUND(M23*N23*O23*P23/10000,0)</f>
        <v>0</v>
      </c>
      <c r="S23" s="3021"/>
      <c r="T23" s="3021"/>
      <c r="U23" s="3021"/>
      <c r="V23" s="3029"/>
    </row>
    <row r="24" spans="1:22" s="3033" customFormat="1" ht="13.15" customHeight="1">
      <c r="A24" s="3118"/>
      <c r="B24" s="3119" t="s">
        <v>3070</v>
      </c>
      <c r="C24" s="3120"/>
      <c r="D24" s="3121"/>
      <c r="E24" s="3122"/>
      <c r="F24" s="3123"/>
      <c r="G24" s="3117"/>
      <c r="H24" s="3028"/>
      <c r="I24" s="3029"/>
      <c r="J24" s="3455"/>
      <c r="K24" s="3458"/>
      <c r="L24" s="3083" t="s">
        <v>3031</v>
      </c>
      <c r="M24" s="3084">
        <f>SUM(M21:M23)</f>
        <v>0</v>
      </c>
      <c r="N24" s="3084"/>
      <c r="O24" s="3085"/>
      <c r="P24" s="3098" t="s">
        <v>3095</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3071</v>
      </c>
      <c r="L25" s="3126"/>
      <c r="M25" s="3126"/>
      <c r="N25" s="3126"/>
      <c r="O25" s="3126"/>
      <c r="P25" s="3127"/>
      <c r="Q25" s="3128">
        <v>0</v>
      </c>
      <c r="R25" s="3099">
        <f>ROUND(R14*Q25,0)</f>
        <v>0</v>
      </c>
      <c r="S25" s="3021"/>
      <c r="T25" s="3021"/>
      <c r="U25" s="3021"/>
      <c r="V25" s="3129"/>
    </row>
    <row r="26" spans="1:22" s="3130" customFormat="1" ht="13.15" customHeight="1">
      <c r="A26" s="3111">
        <v>2</v>
      </c>
      <c r="B26" s="3112" t="s">
        <v>3072</v>
      </c>
      <c r="C26" s="3113">
        <f>D7</f>
        <v>0</v>
      </c>
      <c r="D26" s="3114">
        <f>D23*D27</f>
        <v>0</v>
      </c>
      <c r="E26" s="3115">
        <f>E23*E27</f>
        <v>0</v>
      </c>
      <c r="F26" s="3116"/>
      <c r="G26" s="3117"/>
      <c r="H26" s="3028"/>
      <c r="I26" s="3029"/>
      <c r="J26" s="3459">
        <v>5</v>
      </c>
      <c r="K26" s="3131" t="s">
        <v>3073</v>
      </c>
      <c r="L26" s="3132"/>
      <c r="M26" s="3133"/>
      <c r="N26" s="3134" t="s">
        <v>3074</v>
      </c>
      <c r="O26" s="3134" t="s">
        <v>3075</v>
      </c>
      <c r="P26" s="3135" t="s">
        <v>3076</v>
      </c>
      <c r="Q26" s="3135" t="s">
        <v>3077</v>
      </c>
      <c r="R26" s="3038" t="s">
        <v>3002</v>
      </c>
      <c r="S26" s="3136"/>
      <c r="T26" s="3136"/>
      <c r="U26" s="3136"/>
      <c r="V26" s="3129"/>
    </row>
    <row r="27" spans="1:22" s="3033" customFormat="1" ht="13.15" customHeight="1">
      <c r="A27" s="3118"/>
      <c r="B27" s="3119" t="s">
        <v>3078</v>
      </c>
      <c r="C27" s="3137" t="e">
        <f>E7</f>
        <v>#DIV/0!</v>
      </c>
      <c r="D27" s="3121"/>
      <c r="E27" s="3122"/>
      <c r="F27" s="3123"/>
      <c r="G27" s="3117"/>
      <c r="H27" s="3138"/>
      <c r="I27" s="3129"/>
      <c r="J27" s="3460"/>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3079</v>
      </c>
      <c r="F28" s="3123"/>
      <c r="G28" s="3110"/>
      <c r="H28" s="3138"/>
      <c r="I28" s="3129"/>
      <c r="J28" s="3144">
        <v>6</v>
      </c>
      <c r="K28" s="3145" t="s">
        <v>3080</v>
      </c>
      <c r="L28" s="3146" t="s">
        <v>3081</v>
      </c>
      <c r="M28" s="3147"/>
      <c r="N28" s="3146" t="s">
        <v>3082</v>
      </c>
      <c r="O28" s="3148"/>
      <c r="P28" s="3146" t="s">
        <v>3083</v>
      </c>
      <c r="Q28" s="3149">
        <v>1.4999999999999999E-2</v>
      </c>
      <c r="R28" s="3150"/>
      <c r="S28" s="3102"/>
      <c r="T28" s="3102"/>
      <c r="U28" s="3102"/>
      <c r="V28" s="3129"/>
    </row>
    <row r="29" spans="1:22" s="3130" customFormat="1" ht="13.15" customHeight="1">
      <c r="A29" s="3111">
        <v>3</v>
      </c>
      <c r="B29" s="3112" t="s">
        <v>3084</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3078</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3085</v>
      </c>
      <c r="K31" s="3019"/>
      <c r="L31" s="3019"/>
      <c r="M31" s="3019"/>
      <c r="N31" s="3019"/>
      <c r="O31" s="3019"/>
      <c r="P31" s="3019"/>
      <c r="Q31" s="3019"/>
      <c r="R31" s="3020"/>
      <c r="S31" s="3102"/>
      <c r="T31" s="3021"/>
      <c r="U31" s="3021"/>
      <c r="V31" s="3129"/>
    </row>
    <row r="32" spans="1:22" s="3130" customFormat="1" ht="13.15" customHeight="1">
      <c r="A32" s="3111">
        <v>4</v>
      </c>
      <c r="B32" s="3112" t="s">
        <v>3086</v>
      </c>
      <c r="C32" s="3113">
        <f>C23-C26-C29</f>
        <v>0</v>
      </c>
      <c r="D32" s="3114">
        <f>D23-D26-D29</f>
        <v>0</v>
      </c>
      <c r="E32" s="3115">
        <f>E23-E26-E29</f>
        <v>0</v>
      </c>
      <c r="F32" s="3116"/>
      <c r="G32" s="3110"/>
      <c r="H32" s="3028"/>
      <c r="I32" s="3029"/>
      <c r="J32" s="3461" t="s">
        <v>2978</v>
      </c>
      <c r="K32" s="3462"/>
      <c r="L32" s="3030" t="s">
        <v>2979</v>
      </c>
      <c r="M32" s="3030" t="s">
        <v>2980</v>
      </c>
      <c r="N32" s="3030" t="s">
        <v>2981</v>
      </c>
      <c r="O32" s="3030" t="s">
        <v>2982</v>
      </c>
      <c r="P32" s="3030" t="s">
        <v>2983</v>
      </c>
      <c r="Q32" s="3031" t="s">
        <v>2984</v>
      </c>
      <c r="R32" s="3153" t="s">
        <v>2985</v>
      </c>
      <c r="S32" s="3102"/>
      <c r="T32" s="3021"/>
      <c r="U32" s="3021"/>
      <c r="V32" s="3129"/>
    </row>
    <row r="33" spans="1:23" s="3033" customFormat="1" ht="13.15" customHeight="1">
      <c r="A33" s="3111"/>
      <c r="B33" s="3112"/>
      <c r="C33" s="3113"/>
      <c r="D33" s="3154"/>
      <c r="E33" s="3155"/>
      <c r="F33" s="3116"/>
      <c r="G33" s="3110"/>
      <c r="H33" s="3138"/>
      <c r="I33" s="3129"/>
      <c r="J33" s="3463" t="s">
        <v>2988</v>
      </c>
      <c r="K33" s="3464"/>
      <c r="L33" s="3036"/>
      <c r="M33" s="3036"/>
      <c r="N33" s="3036"/>
      <c r="O33" s="3036"/>
      <c r="P33" s="3036"/>
      <c r="Q33" s="3037"/>
      <c r="R33" s="3156">
        <f>SUM(L33:Q33)</f>
        <v>0</v>
      </c>
      <c r="S33" s="3102"/>
      <c r="T33" s="3021"/>
      <c r="U33" s="3021"/>
      <c r="V33" s="3029"/>
    </row>
    <row r="34" spans="1:23" s="3033" customFormat="1" ht="13.15" customHeight="1">
      <c r="A34" s="3111">
        <v>5</v>
      </c>
      <c r="B34" s="3112" t="s">
        <v>3087</v>
      </c>
      <c r="C34" s="3157"/>
      <c r="D34" s="3158"/>
      <c r="E34" s="3159"/>
      <c r="F34" s="3116"/>
      <c r="G34" s="3110"/>
      <c r="H34" s="3138"/>
      <c r="I34" s="3129"/>
      <c r="J34" s="3463" t="s">
        <v>2990</v>
      </c>
      <c r="K34" s="3464"/>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3088</v>
      </c>
      <c r="C35" s="3161"/>
      <c r="D35" s="3162"/>
      <c r="E35" s="3163"/>
      <c r="F35" s="3116"/>
      <c r="G35" s="3164"/>
      <c r="H35" s="3028"/>
      <c r="I35" s="3129"/>
      <c r="J35" s="3047" t="s">
        <v>2992</v>
      </c>
      <c r="K35" s="3048"/>
      <c r="L35" s="3048"/>
      <c r="M35" s="3049"/>
      <c r="N35" s="3049"/>
      <c r="O35" s="3049"/>
      <c r="P35" s="3049"/>
      <c r="Q35" s="3049"/>
      <c r="R35" s="3165">
        <f>R40+R41+R43</f>
        <v>0</v>
      </c>
      <c r="S35" s="3102"/>
      <c r="T35" s="3021" t="s">
        <v>2993</v>
      </c>
      <c r="U35" s="3021"/>
      <c r="V35" s="3029"/>
    </row>
    <row r="36" spans="1:23" s="3033" customFormat="1" ht="13.15" customHeight="1" thickBot="1">
      <c r="A36" s="3111">
        <v>7</v>
      </c>
      <c r="B36" s="3166" t="s">
        <v>3089</v>
      </c>
      <c r="C36" s="3167"/>
      <c r="D36" s="3168"/>
      <c r="E36" s="3169"/>
      <c r="F36" s="3170">
        <f>C36+D36+E36</f>
        <v>0</v>
      </c>
      <c r="G36" s="3110"/>
      <c r="H36" s="3028"/>
      <c r="I36" s="3029"/>
      <c r="J36" s="3455">
        <v>1</v>
      </c>
      <c r="K36" s="3456" t="s">
        <v>3090</v>
      </c>
      <c r="L36" s="3054"/>
      <c r="M36" s="3055"/>
      <c r="N36" s="3055"/>
      <c r="O36" s="3055"/>
      <c r="P36" s="3055"/>
      <c r="Q36" s="3055"/>
      <c r="R36" s="3038" t="s">
        <v>3002</v>
      </c>
      <c r="S36" s="3102"/>
      <c r="T36" s="3021" t="s">
        <v>3003</v>
      </c>
      <c r="U36" s="3021"/>
      <c r="V36" s="3029"/>
    </row>
    <row r="37" spans="1:23" s="3033" customFormat="1" ht="13.15" customHeight="1">
      <c r="A37" s="3111"/>
      <c r="B37" s="3112"/>
      <c r="C37" s="3112"/>
      <c r="D37" s="3112"/>
      <c r="E37" s="3112"/>
      <c r="F37" s="3116"/>
      <c r="G37" s="3110"/>
      <c r="H37" s="3028"/>
      <c r="I37" s="3029"/>
      <c r="J37" s="3455"/>
      <c r="K37" s="3457"/>
      <c r="L37" s="3063"/>
      <c r="M37" s="3064"/>
      <c r="N37" s="3040"/>
      <c r="O37" s="3065"/>
      <c r="P37" s="3065"/>
      <c r="Q37" s="3066"/>
      <c r="R37" s="3067"/>
      <c r="S37" s="3102"/>
      <c r="T37" s="3021" t="s">
        <v>3006</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55"/>
      <c r="K38" s="3457"/>
      <c r="L38" s="3063"/>
      <c r="M38" s="3064"/>
      <c r="N38" s="3040"/>
      <c r="O38" s="3065"/>
      <c r="P38" s="3065"/>
      <c r="Q38" s="3066"/>
      <c r="R38" s="3067"/>
      <c r="S38" s="3102"/>
      <c r="T38" s="3021" t="s">
        <v>3013</v>
      </c>
      <c r="U38" s="3021"/>
      <c r="V38" s="3029"/>
    </row>
    <row r="39" spans="1:23" s="3033" customFormat="1" ht="13.15" customHeight="1">
      <c r="A39" s="3111">
        <v>9</v>
      </c>
      <c r="B39" s="3112" t="s">
        <v>3091</v>
      </c>
      <c r="C39" s="3077" t="e">
        <f>C38</f>
        <v>#DIV/0!</v>
      </c>
      <c r="D39" s="3112">
        <f>D38/(1+D34)^C36</f>
        <v>0</v>
      </c>
      <c r="E39" s="3112">
        <f>E38/(1+E34)^(C36+D36)</f>
        <v>0</v>
      </c>
      <c r="F39" s="3116"/>
      <c r="G39" s="3171"/>
      <c r="H39" s="3028"/>
      <c r="I39" s="3029"/>
      <c r="J39" s="3455"/>
      <c r="K39" s="3457"/>
      <c r="L39" s="3063"/>
      <c r="M39" s="3064"/>
      <c r="N39" s="3040"/>
      <c r="O39" s="3065"/>
      <c r="P39" s="3065"/>
      <c r="Q39" s="3066"/>
      <c r="R39" s="3067"/>
      <c r="S39" s="3102"/>
      <c r="T39" s="3021"/>
      <c r="U39" s="3021"/>
      <c r="V39" s="3029"/>
    </row>
    <row r="40" spans="1:23" s="3033" customFormat="1" ht="13.15" customHeight="1">
      <c r="A40" s="3172">
        <v>10</v>
      </c>
      <c r="B40" s="3112" t="s">
        <v>3092</v>
      </c>
      <c r="C40" s="3173" t="e">
        <f>C39+D39+E39</f>
        <v>#DIV/0!</v>
      </c>
      <c r="D40" s="3174"/>
      <c r="E40" s="3174"/>
      <c r="F40" s="3175"/>
      <c r="G40" s="3110"/>
      <c r="H40" s="3028"/>
      <c r="I40" s="3029"/>
      <c r="J40" s="3455"/>
      <c r="K40" s="3458"/>
      <c r="L40" s="3083" t="s">
        <v>3031</v>
      </c>
      <c r="M40" s="3084"/>
      <c r="N40" s="3084"/>
      <c r="O40" s="3085"/>
      <c r="P40" s="3085"/>
      <c r="Q40" s="3086"/>
      <c r="R40" s="3032">
        <f>SUM(R37:R39)</f>
        <v>0</v>
      </c>
      <c r="S40" s="3102"/>
      <c r="T40" s="3021"/>
      <c r="U40" s="3021"/>
      <c r="V40" s="3029"/>
    </row>
    <row r="41" spans="1:23" s="3033" customFormat="1" ht="13.15" customHeight="1" thickBot="1">
      <c r="A41" s="3176">
        <v>11</v>
      </c>
      <c r="B41" s="3177" t="s">
        <v>3093</v>
      </c>
      <c r="C41" s="3177" t="e">
        <f>ROUND(C40*10000/B4,0)</f>
        <v>#DIV/0!</v>
      </c>
      <c r="D41" s="3178"/>
      <c r="E41" s="3178"/>
      <c r="F41" s="3179"/>
      <c r="G41" s="3180"/>
      <c r="H41" s="3028"/>
      <c r="I41" s="3029"/>
      <c r="J41" s="3124">
        <v>2</v>
      </c>
      <c r="K41" s="3125" t="s">
        <v>3071</v>
      </c>
      <c r="L41" s="3126"/>
      <c r="M41" s="3126"/>
      <c r="N41" s="3126"/>
      <c r="O41" s="3126"/>
      <c r="P41" s="3127"/>
      <c r="Q41" s="3128"/>
      <c r="R41" s="3099">
        <f>ROUND(R40*Q41,0)</f>
        <v>0</v>
      </c>
      <c r="S41" s="3102"/>
      <c r="T41" s="3021"/>
      <c r="U41" s="3136"/>
      <c r="V41" s="3029"/>
    </row>
    <row r="42" spans="1:23" s="3033" customFormat="1" ht="13.15" customHeight="1">
      <c r="G42" s="3180"/>
      <c r="H42" s="3028"/>
      <c r="I42" s="3029"/>
      <c r="J42" s="3459">
        <v>3</v>
      </c>
      <c r="K42" s="3131" t="s">
        <v>3073</v>
      </c>
      <c r="L42" s="3132"/>
      <c r="M42" s="3133"/>
      <c r="N42" s="3134" t="s">
        <v>3074</v>
      </c>
      <c r="O42" s="3134" t="s">
        <v>3075</v>
      </c>
      <c r="P42" s="3135" t="s">
        <v>3076</v>
      </c>
      <c r="Q42" s="3135" t="s">
        <v>3077</v>
      </c>
      <c r="R42" s="3038" t="s">
        <v>3002</v>
      </c>
      <c r="S42" s="3136"/>
      <c r="T42" s="3136"/>
      <c r="U42" s="3021"/>
      <c r="V42" s="3029"/>
    </row>
    <row r="43" spans="1:23" ht="13.15" customHeight="1">
      <c r="A43" s="3033"/>
      <c r="B43" s="3033"/>
      <c r="C43" s="3033"/>
      <c r="D43" s="3033"/>
      <c r="E43" s="3033"/>
      <c r="F43" s="3033"/>
      <c r="I43" s="3016"/>
      <c r="J43" s="3460"/>
      <c r="K43" s="3139"/>
      <c r="L43" s="3140"/>
      <c r="M43" s="3141"/>
      <c r="N43" s="3064"/>
      <c r="O43" s="3064"/>
      <c r="P43" s="3064"/>
      <c r="Q43" s="3128"/>
      <c r="R43" s="3099">
        <f>ROUND(O43*N43*P43*(1-Q43)/10000,0)</f>
        <v>0</v>
      </c>
      <c r="S43" s="3102"/>
      <c r="T43" s="3021"/>
      <c r="V43" s="3182"/>
      <c r="W43" s="3183"/>
    </row>
    <row r="44" spans="1:23" ht="13.15" customHeight="1" thickBot="1">
      <c r="J44" s="3144">
        <v>6</v>
      </c>
      <c r="K44" s="3145" t="s">
        <v>3080</v>
      </c>
      <c r="L44" s="3184" t="s">
        <v>3081</v>
      </c>
      <c r="M44" s="3147"/>
      <c r="N44" s="3184" t="s">
        <v>3082</v>
      </c>
      <c r="O44" s="3147"/>
      <c r="P44" s="3184" t="s">
        <v>3083</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9"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2271</v>
      </c>
      <c r="B1" s="2024"/>
      <c r="C1" s="2024"/>
      <c r="D1" s="2024"/>
      <c r="E1" s="2025"/>
      <c r="F1" s="2885"/>
      <c r="G1" s="1644"/>
      <c r="H1" s="1644"/>
      <c r="I1" s="1644"/>
      <c r="J1" s="1644"/>
      <c r="K1" s="1644"/>
      <c r="L1" s="1644"/>
      <c r="M1" s="1644"/>
      <c r="N1" s="1644"/>
      <c r="O1" s="1644"/>
      <c r="P1" s="1644"/>
      <c r="Q1" s="1644"/>
      <c r="R1" s="1644"/>
      <c r="S1" s="1644"/>
    </row>
    <row r="2" spans="1:22" ht="15.75">
      <c r="A2" s="2026" t="s">
        <v>2072</v>
      </c>
      <c r="B2" s="2027">
        <f ca="1">SUMIF(B6:B13,"&lt;&gt;#ref!",B6:B13)</f>
        <v>1283</v>
      </c>
      <c r="C2" s="2028" t="s">
        <v>2264</v>
      </c>
      <c r="D2" s="2029" t="s">
        <v>2265</v>
      </c>
      <c r="E2" s="2782">
        <f>SUM(E6:E13)</f>
        <v>2555.66</v>
      </c>
      <c r="F2" s="2885"/>
      <c r="G2" s="1644"/>
      <c r="H2" s="1644"/>
      <c r="I2" s="1644"/>
      <c r="J2" s="1644"/>
      <c r="K2" s="1644"/>
      <c r="L2" s="1644"/>
      <c r="M2" s="1644"/>
      <c r="N2" s="1644"/>
      <c r="O2" s="1644"/>
      <c r="P2" s="1644"/>
      <c r="Q2" s="1644"/>
      <c r="R2" s="1644"/>
      <c r="S2" s="1644"/>
    </row>
    <row r="3" spans="1:22" ht="15.75">
      <c r="A3" s="2026" t="s">
        <v>1300</v>
      </c>
      <c r="B3" s="2776">
        <f ca="1">ROUND(B2*10000/E2,0)</f>
        <v>5020</v>
      </c>
      <c r="C3" s="2028" t="s">
        <v>2272</v>
      </c>
      <c r="D3" s="2887"/>
      <c r="E3" s="2889"/>
      <c r="F3" s="2885"/>
      <c r="G3" s="1644"/>
      <c r="H3" s="1644"/>
      <c r="I3" s="1644"/>
      <c r="J3" s="1644"/>
      <c r="K3" s="1644"/>
      <c r="L3" s="1644"/>
      <c r="M3" s="1644"/>
      <c r="N3" s="1644"/>
      <c r="O3" s="1644"/>
      <c r="P3" s="1644"/>
      <c r="Q3" s="1644"/>
      <c r="R3" s="1644"/>
      <c r="S3" s="1644"/>
    </row>
    <row r="4" spans="1:22" ht="15.75">
      <c r="A4" s="2890"/>
      <c r="B4" s="2887"/>
      <c r="C4" s="2887"/>
      <c r="D4" s="2887"/>
      <c r="E4" s="2889"/>
      <c r="F4" s="2885"/>
      <c r="G4" s="1644"/>
      <c r="H4" s="1644"/>
      <c r="I4" s="1644"/>
      <c r="J4" s="1644"/>
      <c r="K4" s="1644"/>
      <c r="L4" s="1644"/>
      <c r="M4" s="1644"/>
      <c r="N4" s="1644"/>
      <c r="O4" s="1644"/>
      <c r="P4" s="1644"/>
      <c r="Q4" s="1644"/>
      <c r="R4" s="1644"/>
      <c r="S4" s="1644"/>
    </row>
    <row r="5" spans="1:22" ht="15">
      <c r="A5" s="2778" t="s">
        <v>2266</v>
      </c>
      <c r="B5" s="3474" t="s">
        <v>2267</v>
      </c>
      <c r="C5" s="3475"/>
      <c r="D5" s="2886"/>
      <c r="E5" s="2030" t="s">
        <v>2268</v>
      </c>
      <c r="F5" s="2031" t="s">
        <v>2269</v>
      </c>
      <c r="G5" s="1644"/>
      <c r="H5" s="1644"/>
      <c r="I5" s="1644"/>
      <c r="J5" s="1644"/>
      <c r="K5" s="1644"/>
      <c r="L5" s="1644"/>
      <c r="M5" s="1644"/>
      <c r="N5" s="1644"/>
      <c r="O5" s="1644"/>
      <c r="P5" s="1644"/>
      <c r="Q5" s="1644"/>
      <c r="R5" s="1644"/>
      <c r="S5" s="1644"/>
    </row>
    <row r="6" spans="1:22">
      <c r="A6" s="2779" t="str">
        <f>'数据-取费表'!AN6</f>
        <v>收益法</v>
      </c>
      <c r="B6" s="2777">
        <f ca="1">IF(F6="是",'数据-取费表'!AO6,0)</f>
        <v>1283</v>
      </c>
      <c r="C6" s="2028" t="s">
        <v>2264</v>
      </c>
      <c r="D6" s="2887"/>
      <c r="E6" s="2781">
        <f>IF(OR(A6=0,F6="否"),0,'数据-取费表'!K6+'数据-取费表'!S6)</f>
        <v>2555.66</v>
      </c>
      <c r="F6" s="2032" t="s">
        <v>2270</v>
      </c>
      <c r="G6" s="1644"/>
      <c r="H6" s="1644"/>
      <c r="I6" s="1644"/>
      <c r="J6" s="1644"/>
      <c r="K6" s="1644"/>
      <c r="L6" s="1644"/>
      <c r="M6" s="1644"/>
      <c r="N6" s="1644"/>
      <c r="O6" s="1644"/>
      <c r="P6" s="1644"/>
      <c r="Q6" s="1644"/>
      <c r="R6" s="1644"/>
      <c r="S6" s="1644"/>
    </row>
    <row r="7" spans="1:22">
      <c r="A7" s="2779">
        <f>'数据-取费表'!AN7</f>
        <v>0</v>
      </c>
      <c r="B7" s="2777" t="e">
        <f ca="1">IF(F7="是",'数据-取费表'!AO7,0)</f>
        <v>#REF!</v>
      </c>
      <c r="C7" s="2028" t="s">
        <v>2264</v>
      </c>
      <c r="D7" s="2887"/>
      <c r="E7" s="2781">
        <f>IF(OR(A7=0,F7="否"),0,'数据-取费表'!K7+'数据-取费表'!S7)</f>
        <v>0</v>
      </c>
      <c r="F7" s="2032" t="s">
        <v>2270</v>
      </c>
      <c r="G7" s="1644"/>
      <c r="H7" s="1644"/>
      <c r="I7" s="1644"/>
      <c r="J7" s="1644"/>
      <c r="K7" s="1644"/>
      <c r="L7" s="1644"/>
      <c r="M7" s="1644"/>
      <c r="N7" s="1644"/>
      <c r="O7" s="1644"/>
      <c r="P7" s="1644"/>
      <c r="Q7" s="1644"/>
      <c r="R7" s="1644"/>
      <c r="S7" s="1644"/>
    </row>
    <row r="8" spans="1:22">
      <c r="A8" s="2779">
        <f>'数据-取费表'!AN8</f>
        <v>0</v>
      </c>
      <c r="B8" s="2777" t="e">
        <f ca="1">IF(F8="是",'数据-取费表'!AO8,0)</f>
        <v>#REF!</v>
      </c>
      <c r="C8" s="2028" t="s">
        <v>2264</v>
      </c>
      <c r="D8" s="2887"/>
      <c r="E8" s="2781">
        <f>IF(OR(A8=0,F8="否"),0,'数据-取费表'!K8+'数据-取费表'!S8)</f>
        <v>0</v>
      </c>
      <c r="F8" s="2032" t="s">
        <v>2270</v>
      </c>
      <c r="G8" s="1644"/>
      <c r="H8" s="1644"/>
      <c r="I8" s="1644"/>
      <c r="J8" s="1644"/>
      <c r="K8" s="1644"/>
      <c r="L8" s="1644"/>
      <c r="M8" s="1644"/>
      <c r="N8" s="1644"/>
      <c r="O8" s="1644"/>
      <c r="P8" s="1644"/>
      <c r="Q8" s="1644"/>
      <c r="R8" s="1644"/>
      <c r="S8" s="1644"/>
    </row>
    <row r="9" spans="1:22">
      <c r="A9" s="2779">
        <f>'数据-取费表'!AN9</f>
        <v>0</v>
      </c>
      <c r="B9" s="2777" t="e">
        <f ca="1">IF(F9="是",'数据-取费表'!AO9,0)</f>
        <v>#REF!</v>
      </c>
      <c r="C9" s="2028" t="s">
        <v>2264</v>
      </c>
      <c r="D9" s="2887"/>
      <c r="E9" s="2781">
        <f>IF(OR(A9=0,F9="否"),0,'数据-取费表'!K9+'数据-取费表'!S9)</f>
        <v>0</v>
      </c>
      <c r="F9" s="2032" t="s">
        <v>2270</v>
      </c>
      <c r="G9" s="1644"/>
      <c r="H9" s="1644"/>
      <c r="I9" s="1644"/>
      <c r="J9" s="1644"/>
      <c r="K9" s="1644"/>
      <c r="L9" s="1644"/>
      <c r="M9" s="1644"/>
      <c r="N9" s="1644"/>
      <c r="O9" s="1644"/>
      <c r="P9" s="1644"/>
      <c r="Q9" s="1644"/>
      <c r="R9" s="1644"/>
      <c r="S9" s="1644"/>
    </row>
    <row r="10" spans="1:22">
      <c r="A10" s="2779">
        <f>'数据-取费表'!AN10</f>
        <v>0</v>
      </c>
      <c r="B10" s="2777" t="e">
        <f ca="1">IF(F10="是",'数据-取费表'!AO10,0)</f>
        <v>#REF!</v>
      </c>
      <c r="C10" s="2028" t="s">
        <v>2264</v>
      </c>
      <c r="D10" s="2887"/>
      <c r="E10" s="2781">
        <f>IF(OR(A10=0,F10="否"),0,'数据-取费表'!K10+'数据-取费表'!S10)</f>
        <v>0</v>
      </c>
      <c r="F10" s="2032" t="s">
        <v>2270</v>
      </c>
      <c r="G10" s="1644"/>
      <c r="H10" s="1644"/>
      <c r="I10" s="1644"/>
      <c r="J10" s="1644"/>
      <c r="K10" s="1644"/>
      <c r="L10" s="1644"/>
      <c r="M10" s="1644"/>
      <c r="N10" s="1644"/>
      <c r="O10" s="1644"/>
      <c r="P10" s="1644"/>
      <c r="Q10" s="1644"/>
      <c r="R10" s="1644"/>
      <c r="S10" s="1644"/>
    </row>
    <row r="11" spans="1:22">
      <c r="A11" s="2779">
        <f>'数据-取费表'!AN11</f>
        <v>0</v>
      </c>
      <c r="B11" s="2777" t="e">
        <f ca="1">IF(F11="是",'数据-取费表'!AO11,0)</f>
        <v>#REF!</v>
      </c>
      <c r="C11" s="2028" t="s">
        <v>2264</v>
      </c>
      <c r="D11" s="2887"/>
      <c r="E11" s="2781">
        <f>IF(OR(A11=0,F11="否"),0,'数据-取费表'!K11+'数据-取费表'!S11)</f>
        <v>0</v>
      </c>
      <c r="F11" s="2032" t="s">
        <v>2270</v>
      </c>
      <c r="G11" s="1644"/>
      <c r="H11" s="1644"/>
      <c r="I11" s="1644"/>
      <c r="J11" s="1644"/>
      <c r="K11" s="1644"/>
      <c r="L11" s="1644"/>
      <c r="M11" s="1644"/>
      <c r="N11" s="1644"/>
      <c r="O11" s="1644"/>
      <c r="P11" s="1644"/>
      <c r="Q11" s="1644"/>
      <c r="R11" s="1644"/>
      <c r="S11" s="1644"/>
    </row>
    <row r="12" spans="1:22">
      <c r="A12" s="2779">
        <f>'数据-取费表'!AN12</f>
        <v>0</v>
      </c>
      <c r="B12" s="2777" t="e">
        <f ca="1">IF(F12="是",'数据-取费表'!AO12,0)</f>
        <v>#REF!</v>
      </c>
      <c r="C12" s="2028" t="s">
        <v>2264</v>
      </c>
      <c r="D12" s="2887"/>
      <c r="E12" s="2781">
        <f>IF(OR(A12=0,F12="否"),0,'数据-取费表'!K12+'数据-取费表'!S12)</f>
        <v>0</v>
      </c>
      <c r="F12" s="2032" t="s">
        <v>2270</v>
      </c>
      <c r="G12" s="1644"/>
      <c r="H12" s="1644"/>
      <c r="I12" s="1644"/>
      <c r="J12" s="1644"/>
      <c r="K12" s="1644"/>
      <c r="L12" s="1644"/>
      <c r="M12" s="1644"/>
      <c r="N12" s="1644"/>
      <c r="O12" s="1644"/>
      <c r="P12" s="1644"/>
      <c r="Q12" s="1644"/>
      <c r="R12" s="1644"/>
      <c r="S12" s="1644"/>
    </row>
    <row r="13" spans="1:22" ht="15" thickBot="1">
      <c r="A13" s="2780">
        <f>'数据-取费表'!AN13</f>
        <v>0</v>
      </c>
      <c r="B13" s="2777" t="e">
        <f ca="1">IF(F13="是",'数据-取费表'!AO13,0)</f>
        <v>#REF!</v>
      </c>
      <c r="C13" s="2033" t="s">
        <v>2264</v>
      </c>
      <c r="D13" s="2888"/>
      <c r="E13" s="2781">
        <f>IF(OR(A13=0,F13="否"),0,'数据-取费表'!K13+'数据-取费表'!S13)</f>
        <v>0</v>
      </c>
      <c r="F13" s="2032" t="s">
        <v>2270</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3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2273</v>
      </c>
      <c r="B1" s="2034" t="s">
        <v>2274</v>
      </c>
      <c r="C1" s="1378" t="s">
        <v>2275</v>
      </c>
      <c r="D1" s="1365"/>
      <c r="E1" s="2514"/>
      <c r="F1" s="2035" t="s">
        <v>2276</v>
      </c>
      <c r="G1" s="1375" t="s">
        <v>2277</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2278</v>
      </c>
      <c r="F2" s="2039"/>
      <c r="G2" s="1038"/>
      <c r="H2" s="1038"/>
      <c r="I2" s="1038"/>
      <c r="J2" s="1038"/>
      <c r="K2" s="2040"/>
      <c r="L2" s="2891"/>
      <c r="M2" s="2892"/>
      <c r="N2" s="2892"/>
      <c r="O2" s="2892"/>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2279</v>
      </c>
      <c r="D3" s="359">
        <f>IF(D1="",'数据-汇总表'!E3,SUMIF('数据-汇总表'!$C19:$C33,D1,'数据-汇总表'!$E19:$E33))</f>
        <v>2555.66</v>
      </c>
      <c r="E3" s="1038"/>
      <c r="F3" s="2044"/>
      <c r="G3" s="1038"/>
      <c r="H3" s="1038"/>
      <c r="I3" s="1038"/>
      <c r="J3" s="1038"/>
      <c r="K3" s="2040"/>
      <c r="L3" s="2891"/>
      <c r="M3" s="2892"/>
      <c r="N3" s="2892"/>
      <c r="O3" s="2892"/>
      <c r="P3" s="2041"/>
      <c r="Q3" s="2042"/>
      <c r="R3" s="2042"/>
      <c r="S3" s="2042"/>
      <c r="T3" s="2042"/>
      <c r="U3" s="2042"/>
      <c r="V3" s="2042"/>
      <c r="W3" s="2042"/>
      <c r="X3" s="2042"/>
      <c r="Y3" s="2042"/>
      <c r="Z3" s="2042"/>
      <c r="AA3" s="2042"/>
      <c r="AB3" s="2042"/>
      <c r="AC3" s="1192"/>
    </row>
    <row r="4" spans="1:29" ht="15">
      <c r="A4" s="361" t="s">
        <v>2280</v>
      </c>
      <c r="B4" s="362"/>
      <c r="C4" s="3392" t="s">
        <v>2281</v>
      </c>
      <c r="D4" s="3393"/>
      <c r="E4" s="3394" t="s">
        <v>2282</v>
      </c>
      <c r="F4" s="3395"/>
      <c r="G4" s="3392" t="s">
        <v>2283</v>
      </c>
      <c r="H4" s="3393"/>
      <c r="I4" s="3392" t="s">
        <v>2284</v>
      </c>
      <c r="J4" s="3393"/>
      <c r="K4" s="2045" t="s">
        <v>2285</v>
      </c>
      <c r="L4" s="2893"/>
      <c r="M4" s="2894"/>
      <c r="N4" s="2894"/>
      <c r="O4" s="2894"/>
      <c r="P4" s="3396" t="s">
        <v>2286</v>
      </c>
      <c r="Q4" s="3397"/>
      <c r="R4" s="3402" t="s">
        <v>2282</v>
      </c>
      <c r="S4" s="3403"/>
      <c r="T4" s="3402" t="s">
        <v>2283</v>
      </c>
      <c r="U4" s="3403"/>
      <c r="V4" s="3408" t="s">
        <v>2284</v>
      </c>
      <c r="W4" s="3408"/>
      <c r="X4" s="1509"/>
      <c r="Y4" s="3402" t="s">
        <v>2286</v>
      </c>
      <c r="Z4" s="3403"/>
      <c r="AA4" s="3389" t="s">
        <v>2282</v>
      </c>
      <c r="AB4" s="3389" t="s">
        <v>2283</v>
      </c>
      <c r="AC4" s="3389" t="s">
        <v>2284</v>
      </c>
    </row>
    <row r="5" spans="1:29" ht="15">
      <c r="A5" s="364"/>
      <c r="B5" s="365"/>
      <c r="C5" s="3416" t="s">
        <v>2287</v>
      </c>
      <c r="D5" s="3412"/>
      <c r="E5" s="3482" t="s">
        <v>2288</v>
      </c>
      <c r="F5" s="3420"/>
      <c r="G5" s="3416" t="s">
        <v>2289</v>
      </c>
      <c r="H5" s="3412"/>
      <c r="I5" s="3416" t="s">
        <v>2290</v>
      </c>
      <c r="J5" s="3412"/>
      <c r="K5" s="2046"/>
      <c r="L5" s="2893"/>
      <c r="M5" s="2894"/>
      <c r="N5" s="2894"/>
      <c r="O5" s="2894"/>
      <c r="P5" s="3398"/>
      <c r="Q5" s="3399"/>
      <c r="R5" s="3404"/>
      <c r="S5" s="3405"/>
      <c r="T5" s="3404"/>
      <c r="U5" s="3405"/>
      <c r="V5" s="3408"/>
      <c r="W5" s="3408"/>
      <c r="X5" s="1509"/>
      <c r="Y5" s="3404"/>
      <c r="Z5" s="3405"/>
      <c r="AA5" s="3390"/>
      <c r="AB5" s="3390"/>
      <c r="AC5" s="3390"/>
    </row>
    <row r="6" spans="1:29" ht="15.75" thickBot="1">
      <c r="A6" s="366"/>
      <c r="B6" s="367"/>
      <c r="C6" s="3409" t="s">
        <v>2291</v>
      </c>
      <c r="D6" s="3410"/>
      <c r="E6" s="3417" t="s">
        <v>2291</v>
      </c>
      <c r="F6" s="3418"/>
      <c r="G6" s="3409" t="s">
        <v>2291</v>
      </c>
      <c r="H6" s="3410"/>
      <c r="I6" s="3409" t="s">
        <v>2291</v>
      </c>
      <c r="J6" s="3410"/>
      <c r="K6" s="2046" t="s">
        <v>2292</v>
      </c>
      <c r="L6" s="2893"/>
      <c r="M6" s="2894"/>
      <c r="N6" s="2894"/>
      <c r="O6" s="2894"/>
      <c r="P6" s="3400"/>
      <c r="Q6" s="3401"/>
      <c r="R6" s="3404"/>
      <c r="S6" s="3405"/>
      <c r="T6" s="3406"/>
      <c r="U6" s="3407"/>
      <c r="V6" s="3408"/>
      <c r="W6" s="3408"/>
      <c r="X6" s="1509"/>
      <c r="Y6" s="3406"/>
      <c r="Z6" s="3407"/>
      <c r="AA6" s="3391"/>
      <c r="AB6" s="3391"/>
      <c r="AC6" s="3391"/>
    </row>
    <row r="7" spans="1:29" s="113" customFormat="1" ht="15.75" thickBot="1">
      <c r="A7" s="368" t="s">
        <v>2293</v>
      </c>
      <c r="B7" s="369"/>
      <c r="C7" s="370">
        <f>'数据-取费表'!B2</f>
        <v>44628</v>
      </c>
      <c r="D7" s="371">
        <v>100</v>
      </c>
      <c r="E7" s="372"/>
      <c r="F7" s="373">
        <f>SUMIF(58:58,YEAR(E7)&amp;"-"&amp;MONTH(E7),59:59)</f>
        <v>0</v>
      </c>
      <c r="G7" s="372"/>
      <c r="H7" s="371">
        <f>SUMIF(58:58,YEAR(G7)&amp;"-"&amp;MONTH(G7),59:59)</f>
        <v>0</v>
      </c>
      <c r="I7" s="372"/>
      <c r="J7" s="371">
        <f>SUMIF(58:58,YEAR(I7)&amp;"-"&amp;MONTH(I7),59:59)</f>
        <v>0</v>
      </c>
      <c r="K7" s="2047"/>
      <c r="L7" s="2895"/>
      <c r="M7" s="2896"/>
      <c r="N7" s="2896"/>
      <c r="O7" s="2896"/>
      <c r="P7" s="3413" t="s">
        <v>2294</v>
      </c>
      <c r="Q7" s="3415"/>
      <c r="R7" s="710" t="s">
        <v>23</v>
      </c>
      <c r="S7" s="711">
        <f t="shared" ref="S7:S15" si="0">F7</f>
        <v>0</v>
      </c>
      <c r="T7" s="710" t="s">
        <v>23</v>
      </c>
      <c r="U7" s="711">
        <f t="shared" ref="U7:U15" si="1">H7</f>
        <v>0</v>
      </c>
      <c r="V7" s="710" t="s">
        <v>23</v>
      </c>
      <c r="W7" s="711">
        <f t="shared" ref="W7:W15" si="2">J7</f>
        <v>0</v>
      </c>
      <c r="X7" s="712"/>
      <c r="Y7" s="3413" t="s">
        <v>2294</v>
      </c>
      <c r="Z7" s="3414"/>
      <c r="AA7" s="713" t="e">
        <f>D7/F7</f>
        <v>#DIV/0!</v>
      </c>
      <c r="AB7" s="713" t="e">
        <f>D7/H7</f>
        <v>#DIV/0!</v>
      </c>
      <c r="AC7" s="713" t="e">
        <f>D7/J7</f>
        <v>#DIV/0!</v>
      </c>
    </row>
    <row r="8" spans="1:29" s="113" customFormat="1" ht="15.75" thickBot="1">
      <c r="A8" s="368" t="s">
        <v>2295</v>
      </c>
      <c r="B8" s="369"/>
      <c r="C8" s="374" t="s">
        <v>2296</v>
      </c>
      <c r="D8" s="371">
        <v>100</v>
      </c>
      <c r="E8" s="2048"/>
      <c r="F8" s="373">
        <f>SUMIF(61:61,E8,62:62)-SUMIF(61:61,C8,62:62)+100</f>
        <v>0</v>
      </c>
      <c r="G8" s="374"/>
      <c r="H8" s="371">
        <f>SUMIF(61:61,G8,62:62)-SUMIF(61:61,C8,62:62)+100</f>
        <v>0</v>
      </c>
      <c r="I8" s="2048"/>
      <c r="J8" s="371">
        <f>SUMIF(61:61,I8,62:62)-SUMIF(61:61,C8,62:62)+100</f>
        <v>0</v>
      </c>
      <c r="K8" s="2047"/>
      <c r="L8" s="2895"/>
      <c r="M8" s="2896"/>
      <c r="N8" s="2896"/>
      <c r="O8" s="2896"/>
      <c r="P8" s="3413" t="s">
        <v>2297</v>
      </c>
      <c r="Q8" s="3414"/>
      <c r="R8" s="710" t="s">
        <v>23</v>
      </c>
      <c r="S8" s="711">
        <f t="shared" si="0"/>
        <v>0</v>
      </c>
      <c r="T8" s="710" t="s">
        <v>23</v>
      </c>
      <c r="U8" s="711">
        <f t="shared" si="1"/>
        <v>0</v>
      </c>
      <c r="V8" s="710" t="s">
        <v>23</v>
      </c>
      <c r="W8" s="711">
        <f t="shared" si="2"/>
        <v>0</v>
      </c>
      <c r="X8" s="712"/>
      <c r="Y8" s="3413" t="s">
        <v>2297</v>
      </c>
      <c r="Z8" s="3414"/>
      <c r="AA8" s="713" t="e">
        <f t="shared" ref="AA8:AA19" si="3">D8/F8</f>
        <v>#DIV/0!</v>
      </c>
      <c r="AB8" s="713" t="e">
        <f t="shared" ref="AB8:AB19" si="4">D8/H8</f>
        <v>#DIV/0!</v>
      </c>
      <c r="AC8" s="713" t="e">
        <f t="shared" ref="AC8:AC19" si="5">D8/J8</f>
        <v>#DIV/0!</v>
      </c>
    </row>
    <row r="9" spans="1:29" s="113" customFormat="1">
      <c r="A9" s="375" t="s">
        <v>2298</v>
      </c>
      <c r="B9" s="67" t="s">
        <v>2299</v>
      </c>
      <c r="C9" s="376"/>
      <c r="D9" s="131">
        <v>100</v>
      </c>
      <c r="E9" s="377"/>
      <c r="F9" s="378">
        <f>SUMIF(63:63,E9,64:64)-SUMIF(63:63,C9,64:64)+100</f>
        <v>100</v>
      </c>
      <c r="G9" s="379"/>
      <c r="H9" s="131">
        <f>SUMIF(63:63,G9,64:64)-SUMIF(63:63,C9,64:64)+100</f>
        <v>100</v>
      </c>
      <c r="I9" s="379"/>
      <c r="J9" s="131">
        <f>SUMIF(63:63,I9,64:64)-SUMIF(63:63,C9,64:64)+100</f>
        <v>100</v>
      </c>
      <c r="K9" s="2047"/>
      <c r="L9" s="2895"/>
      <c r="M9" s="2896"/>
      <c r="N9" s="2896"/>
      <c r="O9" s="2896"/>
      <c r="P9" s="3481"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713">
        <f t="shared" si="5"/>
        <v>1</v>
      </c>
    </row>
    <row r="10" spans="1:29" s="386" customFormat="1" ht="27">
      <c r="A10" s="380"/>
      <c r="B10" s="381" t="s">
        <v>2302</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81"/>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713">
        <f t="shared" si="5"/>
        <v>1</v>
      </c>
    </row>
    <row r="11" spans="1:29" ht="15">
      <c r="A11" s="387"/>
      <c r="B11" s="381" t="s">
        <v>2303</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81"/>
      <c r="Q11" s="1497" t="str">
        <f t="shared" si="6"/>
        <v>容积率</v>
      </c>
      <c r="R11" s="710" t="s">
        <v>21</v>
      </c>
      <c r="S11" s="711" t="e">
        <f t="shared" si="0"/>
        <v>#N/A</v>
      </c>
      <c r="T11" s="710" t="s">
        <v>21</v>
      </c>
      <c r="U11" s="711" t="e">
        <f t="shared" si="1"/>
        <v>#N/A</v>
      </c>
      <c r="V11" s="710" t="s">
        <v>21</v>
      </c>
      <c r="W11" s="711" t="e">
        <f t="shared" si="2"/>
        <v>#N/A</v>
      </c>
      <c r="X11" s="712"/>
      <c r="Y11" s="3291"/>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895"/>
      <c r="M12" s="2896"/>
      <c r="N12" s="2896"/>
      <c r="O12" s="2896"/>
      <c r="P12" s="3481"/>
      <c r="Q12" s="1497">
        <f t="shared" si="6"/>
        <v>111</v>
      </c>
      <c r="R12" s="710" t="s">
        <v>21</v>
      </c>
      <c r="S12" s="711">
        <f t="shared" si="0"/>
        <v>100</v>
      </c>
      <c r="T12" s="710" t="s">
        <v>21</v>
      </c>
      <c r="U12" s="711">
        <f t="shared" si="1"/>
        <v>100</v>
      </c>
      <c r="V12" s="710" t="s">
        <v>21</v>
      </c>
      <c r="W12" s="711">
        <f t="shared" si="2"/>
        <v>100</v>
      </c>
      <c r="X12" s="712"/>
      <c r="Y12" s="329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00"/>
      <c r="M13" s="2894"/>
      <c r="N13" s="2894"/>
      <c r="O13" s="2894"/>
      <c r="P13" s="3481"/>
      <c r="Q13" s="1497">
        <f t="shared" si="6"/>
        <v>111</v>
      </c>
      <c r="R13" s="710" t="s">
        <v>21</v>
      </c>
      <c r="S13" s="711">
        <f t="shared" si="0"/>
        <v>100</v>
      </c>
      <c r="T13" s="710" t="s">
        <v>21</v>
      </c>
      <c r="U13" s="711">
        <f t="shared" si="1"/>
        <v>100</v>
      </c>
      <c r="V13" s="710" t="s">
        <v>21</v>
      </c>
      <c r="W13" s="711">
        <f t="shared" si="2"/>
        <v>100</v>
      </c>
      <c r="X13" s="712"/>
      <c r="Y13" s="3291"/>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00"/>
      <c r="M14" s="2894"/>
      <c r="N14" s="2894"/>
      <c r="O14" s="2894"/>
      <c r="P14" s="3481"/>
      <c r="Q14" s="1497">
        <f t="shared" si="6"/>
        <v>111</v>
      </c>
      <c r="R14" s="710" t="s">
        <v>21</v>
      </c>
      <c r="S14" s="711">
        <f t="shared" si="0"/>
        <v>100</v>
      </c>
      <c r="T14" s="710" t="s">
        <v>21</v>
      </c>
      <c r="U14" s="711">
        <f t="shared" si="1"/>
        <v>100</v>
      </c>
      <c r="V14" s="710" t="s">
        <v>21</v>
      </c>
      <c r="W14" s="711">
        <f t="shared" si="2"/>
        <v>100</v>
      </c>
      <c r="X14" s="712"/>
      <c r="Y14" s="3291"/>
      <c r="Z14" s="55">
        <f t="shared" si="7"/>
        <v>111</v>
      </c>
      <c r="AA14" s="713">
        <f t="shared" si="3"/>
        <v>1</v>
      </c>
      <c r="AB14" s="713">
        <f t="shared" si="4"/>
        <v>1</v>
      </c>
      <c r="AC14" s="713">
        <f t="shared" si="5"/>
        <v>1</v>
      </c>
    </row>
    <row r="15" spans="1:29" ht="15">
      <c r="A15" s="399" t="s">
        <v>2304</v>
      </c>
      <c r="B15" s="65" t="s">
        <v>1883</v>
      </c>
      <c r="C15" s="205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79" t="s">
        <v>2305</v>
      </c>
      <c r="Q15" s="1506" t="str">
        <f t="shared" si="6"/>
        <v>居住社区成熟度</v>
      </c>
      <c r="R15" s="714" t="s">
        <v>21</v>
      </c>
      <c r="S15" s="715">
        <f t="shared" si="0"/>
        <v>100</v>
      </c>
      <c r="T15" s="714" t="s">
        <v>21</v>
      </c>
      <c r="U15" s="715">
        <f t="shared" si="1"/>
        <v>100</v>
      </c>
      <c r="V15" s="714" t="s">
        <v>21</v>
      </c>
      <c r="W15" s="715">
        <f t="shared" si="2"/>
        <v>100</v>
      </c>
      <c r="X15" s="1509"/>
      <c r="Y15" s="3384" t="s">
        <v>2305</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00"/>
      <c r="M16" s="2894"/>
      <c r="N16" s="2894"/>
      <c r="O16" s="2894"/>
      <c r="P16" s="3480"/>
      <c r="Q16" s="1506"/>
      <c r="R16" s="714"/>
      <c r="S16" s="715"/>
      <c r="T16" s="714"/>
      <c r="U16" s="715"/>
      <c r="V16" s="714"/>
      <c r="W16" s="715"/>
      <c r="X16" s="1509"/>
      <c r="Y16" s="3385"/>
      <c r="Z16" s="1510"/>
      <c r="AA16" s="1507">
        <v>1</v>
      </c>
      <c r="AB16" s="1507">
        <v>1</v>
      </c>
      <c r="AC16" s="1507">
        <v>1</v>
      </c>
    </row>
    <row r="17" spans="1:29" ht="15">
      <c r="A17" s="387"/>
      <c r="B17" s="410" t="s">
        <v>1885</v>
      </c>
      <c r="C17" s="2056">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80"/>
      <c r="Q17" s="1506" t="str">
        <f>B17</f>
        <v>交通便捷度</v>
      </c>
      <c r="R17" s="714" t="s">
        <v>21</v>
      </c>
      <c r="S17" s="715">
        <f>F17</f>
        <v>100</v>
      </c>
      <c r="T17" s="714" t="s">
        <v>21</v>
      </c>
      <c r="U17" s="715">
        <f>H17</f>
        <v>100</v>
      </c>
      <c r="V17" s="714" t="s">
        <v>21</v>
      </c>
      <c r="W17" s="715">
        <f>J17</f>
        <v>100</v>
      </c>
      <c r="X17" s="1509"/>
      <c r="Y17" s="3385"/>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00"/>
      <c r="M18" s="2894"/>
      <c r="N18" s="2894"/>
      <c r="O18" s="2894"/>
      <c r="P18" s="3480"/>
      <c r="Q18" s="1506"/>
      <c r="R18" s="714"/>
      <c r="S18" s="715"/>
      <c r="T18" s="714"/>
      <c r="U18" s="715"/>
      <c r="V18" s="714"/>
      <c r="W18" s="715"/>
      <c r="X18" s="1509"/>
      <c r="Y18" s="3385"/>
      <c r="Z18" s="1510"/>
      <c r="AA18" s="1507">
        <v>1</v>
      </c>
      <c r="AB18" s="1507">
        <v>1</v>
      </c>
      <c r="AC18" s="1507">
        <v>1</v>
      </c>
    </row>
    <row r="19" spans="1:29" ht="15">
      <c r="A19" s="387"/>
      <c r="B19" s="410" t="s">
        <v>1884</v>
      </c>
      <c r="C19" s="2056">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80"/>
      <c r="Q19" s="1506" t="str">
        <f>B19</f>
        <v>公共配套设施</v>
      </c>
      <c r="R19" s="714" t="s">
        <v>21</v>
      </c>
      <c r="S19" s="715">
        <f>F19</f>
        <v>100</v>
      </c>
      <c r="T19" s="714" t="s">
        <v>21</v>
      </c>
      <c r="U19" s="715">
        <f>H19</f>
        <v>100</v>
      </c>
      <c r="V19" s="714" t="s">
        <v>21</v>
      </c>
      <c r="W19" s="715">
        <f>J19</f>
        <v>100</v>
      </c>
      <c r="X19" s="1509"/>
      <c r="Y19" s="3385"/>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00"/>
      <c r="M20" s="2894"/>
      <c r="N20" s="2894"/>
      <c r="O20" s="2894"/>
      <c r="P20" s="3480"/>
      <c r="Q20" s="1506"/>
      <c r="R20" s="714"/>
      <c r="S20" s="715"/>
      <c r="T20" s="714"/>
      <c r="U20" s="715"/>
      <c r="V20" s="714"/>
      <c r="W20" s="715"/>
      <c r="X20" s="1509"/>
      <c r="Y20" s="3385"/>
      <c r="Z20" s="1510"/>
      <c r="AA20" s="1507">
        <v>1</v>
      </c>
      <c r="AB20" s="1507">
        <v>1</v>
      </c>
      <c r="AC20" s="1507">
        <v>1</v>
      </c>
    </row>
    <row r="21" spans="1:29" ht="15">
      <c r="A21" s="387"/>
      <c r="B21" s="1265" t="s">
        <v>1886</v>
      </c>
      <c r="C21" s="2056">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80"/>
      <c r="Q21" s="1506" t="str">
        <f>B21</f>
        <v>基础设施水平</v>
      </c>
      <c r="R21" s="714" t="s">
        <v>17</v>
      </c>
      <c r="S21" s="715">
        <f>F21</f>
        <v>100</v>
      </c>
      <c r="T21" s="714" t="s">
        <v>17</v>
      </c>
      <c r="U21" s="715">
        <f>H21</f>
        <v>100</v>
      </c>
      <c r="V21" s="714" t="s">
        <v>17</v>
      </c>
      <c r="W21" s="715">
        <f>J21</f>
        <v>100</v>
      </c>
      <c r="X21" s="1509"/>
      <c r="Y21" s="338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00"/>
      <c r="M22" s="2894"/>
      <c r="N22" s="2894"/>
      <c r="O22" s="2894"/>
      <c r="P22" s="3480"/>
      <c r="Q22" s="1506"/>
      <c r="R22" s="714"/>
      <c r="S22" s="715"/>
      <c r="T22" s="714"/>
      <c r="U22" s="715"/>
      <c r="V22" s="714"/>
      <c r="W22" s="715"/>
      <c r="X22" s="1509"/>
      <c r="Y22" s="3385"/>
      <c r="Z22" s="1510"/>
      <c r="AA22" s="1507">
        <v>1</v>
      </c>
      <c r="AB22" s="1507">
        <v>1</v>
      </c>
      <c r="AC22" s="1507">
        <v>1</v>
      </c>
    </row>
    <row r="23" spans="1:29" ht="15">
      <c r="A23" s="387"/>
      <c r="B23" s="410" t="s">
        <v>1887</v>
      </c>
      <c r="C23" s="2056">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80"/>
      <c r="Q23" s="1506" t="str">
        <f>B23</f>
        <v>自然及人文环境</v>
      </c>
      <c r="R23" s="714" t="s">
        <v>21</v>
      </c>
      <c r="S23" s="715">
        <f>F23</f>
        <v>100</v>
      </c>
      <c r="T23" s="714" t="s">
        <v>21</v>
      </c>
      <c r="U23" s="715">
        <f>H23</f>
        <v>100</v>
      </c>
      <c r="V23" s="714" t="s">
        <v>21</v>
      </c>
      <c r="W23" s="715">
        <f>J23</f>
        <v>100</v>
      </c>
      <c r="X23" s="1509"/>
      <c r="Y23" s="3385"/>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00"/>
      <c r="M24" s="2894"/>
      <c r="N24" s="2894"/>
      <c r="O24" s="2894"/>
      <c r="P24" s="3480"/>
      <c r="Q24" s="1506"/>
      <c r="R24" s="714"/>
      <c r="S24" s="715"/>
      <c r="T24" s="714"/>
      <c r="U24" s="715"/>
      <c r="V24" s="714"/>
      <c r="W24" s="715"/>
      <c r="X24" s="1509"/>
      <c r="Y24" s="3385"/>
      <c r="Z24" s="1510"/>
      <c r="AA24" s="1507">
        <v>1</v>
      </c>
      <c r="AB24" s="1507">
        <v>1</v>
      </c>
      <c r="AC24" s="1507">
        <v>1</v>
      </c>
    </row>
    <row r="25" spans="1:29" ht="15">
      <c r="A25" s="387"/>
      <c r="B25" s="381" t="s">
        <v>2306</v>
      </c>
      <c r="C25" s="419"/>
      <c r="D25" s="394">
        <v>100</v>
      </c>
      <c r="E25" s="2062"/>
      <c r="F25" s="394">
        <f>SUMIF(86:86,E25,87:87)-SUMIF(86:86,C25,87:87)+100</f>
        <v>100</v>
      </c>
      <c r="G25" s="2063"/>
      <c r="H25" s="394">
        <f>SUMIF(86:86,G25,87:87)-SUMIF(86:86,C25,87:87)+100</f>
        <v>100</v>
      </c>
      <c r="I25" s="2063"/>
      <c r="J25" s="394">
        <f>SUMIF(86:86,I25,87:87)-SUMIF(86:86,C25,87:87)+100</f>
        <v>100</v>
      </c>
      <c r="K25" s="385"/>
      <c r="L25" s="2900"/>
      <c r="M25" s="2894"/>
      <c r="N25" s="2894"/>
      <c r="O25" s="2894"/>
      <c r="P25" s="3480"/>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385"/>
      <c r="Z25" s="1510" t="str">
        <f>Q25</f>
        <v>楼层-1</v>
      </c>
      <c r="AA25" s="1507">
        <f t="shared" ref="AA25:AA46" si="15">D25/F25</f>
        <v>1</v>
      </c>
      <c r="AB25" s="1507">
        <f t="shared" ref="AB25:AB46" si="16">D25/H25</f>
        <v>1</v>
      </c>
      <c r="AC25" s="1507">
        <f t="shared" ref="AC25:AC46" si="17">D25/J25</f>
        <v>1</v>
      </c>
    </row>
    <row r="26" spans="1:29" ht="15">
      <c r="A26" s="387"/>
      <c r="B26" s="381" t="s">
        <v>2307</v>
      </c>
      <c r="C26" s="419"/>
      <c r="D26" s="394">
        <v>100</v>
      </c>
      <c r="E26" s="2062"/>
      <c r="F26" s="394">
        <f>SUMIF(88:88,E26,89:89)-SUMIF(88:88,C26,89:89)+100</f>
        <v>100</v>
      </c>
      <c r="G26" s="2063"/>
      <c r="H26" s="394">
        <f>SUMIF(88:88,G26,89:89)-SUMIF(88:88,C26,89:89)+100</f>
        <v>100</v>
      </c>
      <c r="I26" s="2063"/>
      <c r="J26" s="394">
        <f>SUMIF(88:88,I26,89:89)-SUMIF(88:88,C26,89:89)+100</f>
        <v>100</v>
      </c>
      <c r="K26" s="385"/>
      <c r="L26" s="2900"/>
      <c r="M26" s="2894"/>
      <c r="N26" s="2894"/>
      <c r="O26" s="2894"/>
      <c r="P26" s="3480"/>
      <c r="Q26" s="1506" t="str">
        <f t="shared" si="11"/>
        <v>朝向</v>
      </c>
      <c r="R26" s="714" t="s">
        <v>21</v>
      </c>
      <c r="S26" s="715">
        <f t="shared" si="12"/>
        <v>100</v>
      </c>
      <c r="T26" s="714" t="s">
        <v>21</v>
      </c>
      <c r="U26" s="715">
        <f t="shared" si="13"/>
        <v>100</v>
      </c>
      <c r="V26" s="714" t="s">
        <v>21</v>
      </c>
      <c r="W26" s="715">
        <f t="shared" si="14"/>
        <v>100</v>
      </c>
      <c r="X26" s="1509"/>
      <c r="Y26" s="3385"/>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895"/>
      <c r="M27" s="2896"/>
      <c r="N27" s="2896"/>
      <c r="O27" s="2896"/>
      <c r="P27" s="3480"/>
      <c r="Q27" s="1497">
        <f t="shared" si="11"/>
        <v>111</v>
      </c>
      <c r="R27" s="710" t="s">
        <v>21</v>
      </c>
      <c r="S27" s="711">
        <f t="shared" si="12"/>
        <v>100</v>
      </c>
      <c r="T27" s="710" t="s">
        <v>21</v>
      </c>
      <c r="U27" s="711">
        <f t="shared" si="13"/>
        <v>100</v>
      </c>
      <c r="V27" s="710" t="s">
        <v>21</v>
      </c>
      <c r="W27" s="711">
        <f t="shared" si="14"/>
        <v>100</v>
      </c>
      <c r="X27" s="712"/>
      <c r="Y27" s="3385"/>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00"/>
      <c r="M28" s="2894"/>
      <c r="N28" s="2894"/>
      <c r="O28" s="2894"/>
      <c r="P28" s="3480"/>
      <c r="Q28" s="1506">
        <f t="shared" si="11"/>
        <v>111</v>
      </c>
      <c r="R28" s="714" t="s">
        <v>21</v>
      </c>
      <c r="S28" s="715">
        <f t="shared" si="12"/>
        <v>100</v>
      </c>
      <c r="T28" s="714" t="s">
        <v>21</v>
      </c>
      <c r="U28" s="715">
        <f t="shared" si="13"/>
        <v>100</v>
      </c>
      <c r="V28" s="714" t="s">
        <v>21</v>
      </c>
      <c r="W28" s="715">
        <f t="shared" si="14"/>
        <v>100</v>
      </c>
      <c r="X28" s="1509"/>
      <c r="Y28" s="3385"/>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00"/>
      <c r="M29" s="2894"/>
      <c r="N29" s="2894"/>
      <c r="O29" s="2894"/>
      <c r="P29" s="3480"/>
      <c r="Q29" s="1506">
        <f t="shared" si="11"/>
        <v>111</v>
      </c>
      <c r="R29" s="714" t="s">
        <v>21</v>
      </c>
      <c r="S29" s="715">
        <f t="shared" si="12"/>
        <v>100</v>
      </c>
      <c r="T29" s="714" t="s">
        <v>21</v>
      </c>
      <c r="U29" s="715">
        <f t="shared" si="13"/>
        <v>100</v>
      </c>
      <c r="V29" s="714" t="s">
        <v>21</v>
      </c>
      <c r="W29" s="715">
        <f t="shared" si="14"/>
        <v>100</v>
      </c>
      <c r="X29" s="1509"/>
      <c r="Y29" s="3385"/>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00"/>
      <c r="M30" s="2894"/>
      <c r="N30" s="2894"/>
      <c r="O30" s="2894"/>
      <c r="P30" s="3480"/>
      <c r="Q30" s="1506">
        <f t="shared" si="11"/>
        <v>111</v>
      </c>
      <c r="R30" s="714" t="s">
        <v>21</v>
      </c>
      <c r="S30" s="715">
        <f t="shared" si="12"/>
        <v>100</v>
      </c>
      <c r="T30" s="714" t="s">
        <v>21</v>
      </c>
      <c r="U30" s="715">
        <f t="shared" si="13"/>
        <v>100</v>
      </c>
      <c r="V30" s="714" t="s">
        <v>21</v>
      </c>
      <c r="W30" s="715">
        <f t="shared" si="14"/>
        <v>100</v>
      </c>
      <c r="X30" s="1509"/>
      <c r="Y30" s="3385"/>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00"/>
      <c r="M31" s="2894"/>
      <c r="N31" s="2894"/>
      <c r="O31" s="2894"/>
      <c r="P31" s="3480"/>
      <c r="Q31" s="1506">
        <f t="shared" si="11"/>
        <v>111</v>
      </c>
      <c r="R31" s="714" t="s">
        <v>21</v>
      </c>
      <c r="S31" s="715">
        <f t="shared" si="12"/>
        <v>100</v>
      </c>
      <c r="T31" s="714" t="s">
        <v>21</v>
      </c>
      <c r="U31" s="715">
        <f t="shared" si="13"/>
        <v>100</v>
      </c>
      <c r="V31" s="714" t="s">
        <v>21</v>
      </c>
      <c r="W31" s="715">
        <f t="shared" si="14"/>
        <v>100</v>
      </c>
      <c r="X31" s="1509"/>
      <c r="Y31" s="3385"/>
      <c r="Z31" s="1510">
        <f t="shared" si="18"/>
        <v>111</v>
      </c>
      <c r="AA31" s="1507">
        <f t="shared" si="15"/>
        <v>1</v>
      </c>
      <c r="AB31" s="1507">
        <f t="shared" si="16"/>
        <v>1</v>
      </c>
      <c r="AC31" s="1507">
        <f t="shared" si="17"/>
        <v>1</v>
      </c>
    </row>
    <row r="32" spans="1:29" ht="15">
      <c r="A32" s="399" t="s">
        <v>2308</v>
      </c>
      <c r="B32" s="67" t="s">
        <v>2309</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00"/>
      <c r="M32" s="2894"/>
      <c r="N32" s="2894"/>
      <c r="O32" s="2894"/>
      <c r="P32" s="3476" t="s">
        <v>2310</v>
      </c>
      <c r="Q32" s="1506" t="str">
        <f t="shared" si="11"/>
        <v>建筑类型</v>
      </c>
      <c r="R32" s="714" t="s">
        <v>21</v>
      </c>
      <c r="S32" s="715">
        <f t="shared" si="12"/>
        <v>100</v>
      </c>
      <c r="T32" s="714" t="s">
        <v>21</v>
      </c>
      <c r="U32" s="715">
        <f t="shared" si="13"/>
        <v>100</v>
      </c>
      <c r="V32" s="714" t="s">
        <v>21</v>
      </c>
      <c r="W32" s="715">
        <f t="shared" si="14"/>
        <v>100</v>
      </c>
      <c r="X32" s="1509"/>
      <c r="Y32" s="3387" t="s">
        <v>2310</v>
      </c>
      <c r="Z32" s="1510" t="str">
        <f t="shared" si="18"/>
        <v>建筑类型</v>
      </c>
      <c r="AA32" s="1507">
        <f t="shared" si="15"/>
        <v>1</v>
      </c>
      <c r="AB32" s="1507">
        <f t="shared" si="16"/>
        <v>1</v>
      </c>
      <c r="AC32" s="1507">
        <f t="shared" si="17"/>
        <v>1</v>
      </c>
    </row>
    <row r="33" spans="1:29" s="430" customFormat="1" ht="15">
      <c r="A33" s="427"/>
      <c r="B33" s="381" t="s">
        <v>2311</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899"/>
      <c r="M33" s="2901"/>
      <c r="N33" s="2901"/>
      <c r="O33" s="2901"/>
      <c r="P33" s="3477"/>
      <c r="Q33" s="716" t="str">
        <f t="shared" si="11"/>
        <v>项目建筑规模</v>
      </c>
      <c r="R33" s="717" t="s">
        <v>21</v>
      </c>
      <c r="S33" s="718" t="e">
        <f t="shared" si="12"/>
        <v>#N/A</v>
      </c>
      <c r="T33" s="717" t="s">
        <v>21</v>
      </c>
      <c r="U33" s="718" t="e">
        <f t="shared" si="13"/>
        <v>#N/A</v>
      </c>
      <c r="V33" s="717" t="s">
        <v>21</v>
      </c>
      <c r="W33" s="718" t="e">
        <f t="shared" si="14"/>
        <v>#N/A</v>
      </c>
      <c r="X33" s="719"/>
      <c r="Y33" s="3387"/>
      <c r="Z33" s="720" t="str">
        <f t="shared" si="18"/>
        <v>项目建筑规模</v>
      </c>
      <c r="AA33" s="1507" t="e">
        <f t="shared" si="15"/>
        <v>#N/A</v>
      </c>
      <c r="AB33" s="1507" t="e">
        <f t="shared" si="16"/>
        <v>#N/A</v>
      </c>
      <c r="AC33" s="1507" t="e">
        <f t="shared" si="17"/>
        <v>#N/A</v>
      </c>
    </row>
    <row r="34" spans="1:29" ht="15">
      <c r="A34" s="431"/>
      <c r="B34" s="381" t="s">
        <v>2312</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00"/>
      <c r="M34" s="2894"/>
      <c r="N34" s="2894"/>
      <c r="O34" s="2894"/>
      <c r="P34" s="3477"/>
      <c r="Q34" s="1506" t="str">
        <f t="shared" si="11"/>
        <v>建筑结构</v>
      </c>
      <c r="R34" s="714" t="s">
        <v>21</v>
      </c>
      <c r="S34" s="715">
        <f t="shared" si="12"/>
        <v>100</v>
      </c>
      <c r="T34" s="714" t="s">
        <v>21</v>
      </c>
      <c r="U34" s="715">
        <f t="shared" si="13"/>
        <v>100</v>
      </c>
      <c r="V34" s="714" t="s">
        <v>21</v>
      </c>
      <c r="W34" s="715">
        <f t="shared" si="14"/>
        <v>100</v>
      </c>
      <c r="X34" s="1509"/>
      <c r="Y34" s="3387"/>
      <c r="Z34" s="1510" t="str">
        <f t="shared" si="18"/>
        <v>建筑结构</v>
      </c>
      <c r="AA34" s="1507">
        <f t="shared" si="15"/>
        <v>1</v>
      </c>
      <c r="AB34" s="1507">
        <f t="shared" si="16"/>
        <v>1</v>
      </c>
      <c r="AC34" s="1507">
        <f t="shared" si="17"/>
        <v>1</v>
      </c>
    </row>
    <row r="35" spans="1:29" ht="15">
      <c r="A35" s="431"/>
      <c r="B35" s="381" t="s">
        <v>2313</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00"/>
      <c r="M35" s="2894"/>
      <c r="N35" s="2894"/>
      <c r="O35" s="2894"/>
      <c r="P35" s="3477"/>
      <c r="Q35" s="1506" t="str">
        <f t="shared" si="11"/>
        <v>建筑品质</v>
      </c>
      <c r="R35" s="714" t="s">
        <v>21</v>
      </c>
      <c r="S35" s="715">
        <f t="shared" si="12"/>
        <v>100</v>
      </c>
      <c r="T35" s="714" t="s">
        <v>21</v>
      </c>
      <c r="U35" s="715">
        <f t="shared" si="13"/>
        <v>100</v>
      </c>
      <c r="V35" s="714" t="s">
        <v>21</v>
      </c>
      <c r="W35" s="715">
        <f t="shared" si="14"/>
        <v>100</v>
      </c>
      <c r="X35" s="1509"/>
      <c r="Y35" s="3387"/>
      <c r="Z35" s="1510" t="str">
        <f t="shared" si="18"/>
        <v>建筑品质</v>
      </c>
      <c r="AA35" s="1507">
        <f t="shared" si="15"/>
        <v>1</v>
      </c>
      <c r="AB35" s="1507">
        <f t="shared" si="16"/>
        <v>1</v>
      </c>
      <c r="AC35" s="1507">
        <f t="shared" si="17"/>
        <v>1</v>
      </c>
    </row>
    <row r="36" spans="1:29" ht="15">
      <c r="A36" s="431"/>
      <c r="B36" s="381" t="s">
        <v>2314</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00"/>
      <c r="M36" s="2894"/>
      <c r="N36" s="2894"/>
      <c r="O36" s="2894"/>
      <c r="P36" s="3477"/>
      <c r="Q36" s="1506" t="str">
        <f t="shared" si="11"/>
        <v>公共部分装修</v>
      </c>
      <c r="R36" s="714" t="s">
        <v>21</v>
      </c>
      <c r="S36" s="715">
        <f t="shared" si="12"/>
        <v>100</v>
      </c>
      <c r="T36" s="714" t="s">
        <v>21</v>
      </c>
      <c r="U36" s="715">
        <f t="shared" si="13"/>
        <v>100</v>
      </c>
      <c r="V36" s="714" t="s">
        <v>21</v>
      </c>
      <c r="W36" s="715">
        <f t="shared" si="14"/>
        <v>100</v>
      </c>
      <c r="X36" s="1509"/>
      <c r="Y36" s="3387"/>
      <c r="Z36" s="1510" t="str">
        <f t="shared" si="18"/>
        <v>公共部分装修</v>
      </c>
      <c r="AA36" s="1507">
        <f t="shared" si="15"/>
        <v>1</v>
      </c>
      <c r="AB36" s="1507">
        <f t="shared" si="16"/>
        <v>1</v>
      </c>
      <c r="AC36" s="1507">
        <f t="shared" si="17"/>
        <v>1</v>
      </c>
    </row>
    <row r="37" spans="1:29" s="113" customFormat="1" ht="15">
      <c r="A37" s="432"/>
      <c r="B37" s="381" t="s">
        <v>2315</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77"/>
      <c r="Q37" s="1497" t="str">
        <f t="shared" si="11"/>
        <v>成新度</v>
      </c>
      <c r="R37" s="710" t="s">
        <v>21</v>
      </c>
      <c r="S37" s="711" t="e">
        <f t="shared" si="12"/>
        <v>#N/A</v>
      </c>
      <c r="T37" s="710" t="s">
        <v>21</v>
      </c>
      <c r="U37" s="711" t="e">
        <f t="shared" si="13"/>
        <v>#N/A</v>
      </c>
      <c r="V37" s="710" t="s">
        <v>21</v>
      </c>
      <c r="W37" s="711" t="e">
        <f t="shared" si="14"/>
        <v>#N/A</v>
      </c>
      <c r="X37" s="712"/>
      <c r="Y37" s="3387"/>
      <c r="Z37" s="55" t="str">
        <f t="shared" si="18"/>
        <v>成新度</v>
      </c>
      <c r="AA37" s="713" t="e">
        <f t="shared" si="15"/>
        <v>#N/A</v>
      </c>
      <c r="AB37" s="713" t="e">
        <f t="shared" si="16"/>
        <v>#N/A</v>
      </c>
      <c r="AC37" s="713" t="e">
        <f t="shared" si="17"/>
        <v>#N/A</v>
      </c>
    </row>
    <row r="38" spans="1:29" ht="15">
      <c r="A38" s="431"/>
      <c r="B38" s="381" t="s">
        <v>2316</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00"/>
      <c r="M38" s="2894"/>
      <c r="N38" s="2894"/>
      <c r="O38" s="2894"/>
      <c r="P38" s="3477" t="s">
        <v>2310</v>
      </c>
      <c r="Q38" s="1506" t="str">
        <f t="shared" si="11"/>
        <v>物业管理</v>
      </c>
      <c r="R38" s="714" t="s">
        <v>21</v>
      </c>
      <c r="S38" s="715">
        <f t="shared" si="12"/>
        <v>100</v>
      </c>
      <c r="T38" s="714" t="s">
        <v>21</v>
      </c>
      <c r="U38" s="715">
        <f t="shared" si="13"/>
        <v>100</v>
      </c>
      <c r="V38" s="714" t="s">
        <v>21</v>
      </c>
      <c r="W38" s="715">
        <f t="shared" si="14"/>
        <v>100</v>
      </c>
      <c r="X38" s="1509"/>
      <c r="Y38" s="3387" t="s">
        <v>2310</v>
      </c>
      <c r="Z38" s="1510" t="str">
        <f t="shared" si="18"/>
        <v>物业管理</v>
      </c>
      <c r="AA38" s="1507">
        <f t="shared" si="15"/>
        <v>1</v>
      </c>
      <c r="AB38" s="1507">
        <f t="shared" si="16"/>
        <v>1</v>
      </c>
      <c r="AC38" s="1507">
        <f t="shared" si="17"/>
        <v>1</v>
      </c>
    </row>
    <row r="39" spans="1:29" ht="15">
      <c r="A39" s="431"/>
      <c r="B39" s="381" t="s">
        <v>2317</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00"/>
      <c r="M39" s="2894"/>
      <c r="N39" s="2894"/>
      <c r="O39" s="2894"/>
      <c r="P39" s="3477"/>
      <c r="Q39" s="1506" t="str">
        <f t="shared" si="11"/>
        <v>市政基础设施</v>
      </c>
      <c r="R39" s="714" t="s">
        <v>21</v>
      </c>
      <c r="S39" s="715">
        <f t="shared" si="12"/>
        <v>100</v>
      </c>
      <c r="T39" s="714" t="s">
        <v>21</v>
      </c>
      <c r="U39" s="715">
        <f t="shared" si="13"/>
        <v>100</v>
      </c>
      <c r="V39" s="714" t="s">
        <v>21</v>
      </c>
      <c r="W39" s="715">
        <f t="shared" si="14"/>
        <v>100</v>
      </c>
      <c r="X39" s="1509"/>
      <c r="Y39" s="3387"/>
      <c r="Z39" s="1510" t="str">
        <f t="shared" si="18"/>
        <v>市政基础设施</v>
      </c>
      <c r="AA39" s="1507">
        <f t="shared" si="15"/>
        <v>1</v>
      </c>
      <c r="AB39" s="1507">
        <f t="shared" si="16"/>
        <v>1</v>
      </c>
      <c r="AC39" s="1507">
        <f t="shared" si="17"/>
        <v>1</v>
      </c>
    </row>
    <row r="40" spans="1:29" ht="15">
      <c r="A40" s="431"/>
      <c r="B40" s="381" t="s">
        <v>2318</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00"/>
      <c r="M40" s="2894"/>
      <c r="N40" s="2894"/>
      <c r="O40" s="2894"/>
      <c r="P40" s="3477"/>
      <c r="Q40" s="1506" t="str">
        <f t="shared" si="11"/>
        <v>房型</v>
      </c>
      <c r="R40" s="714" t="s">
        <v>21</v>
      </c>
      <c r="S40" s="715">
        <f t="shared" si="12"/>
        <v>100</v>
      </c>
      <c r="T40" s="714" t="s">
        <v>21</v>
      </c>
      <c r="U40" s="715">
        <f t="shared" si="13"/>
        <v>100</v>
      </c>
      <c r="V40" s="714" t="s">
        <v>21</v>
      </c>
      <c r="W40" s="715">
        <f t="shared" si="14"/>
        <v>100</v>
      </c>
      <c r="X40" s="1509"/>
      <c r="Y40" s="3387"/>
      <c r="Z40" s="1510" t="str">
        <f t="shared" si="18"/>
        <v>房型</v>
      </c>
      <c r="AA40" s="1507">
        <f t="shared" si="15"/>
        <v>1</v>
      </c>
      <c r="AB40" s="1507">
        <f t="shared" si="16"/>
        <v>1</v>
      </c>
      <c r="AC40" s="1507">
        <f t="shared" si="17"/>
        <v>1</v>
      </c>
    </row>
    <row r="41" spans="1:29" s="430" customFormat="1" ht="28.5">
      <c r="A41" s="427"/>
      <c r="B41" s="381" t="s">
        <v>2319</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899"/>
      <c r="M41" s="2901"/>
      <c r="N41" s="2901"/>
      <c r="O41" s="2901"/>
      <c r="P41" s="3477"/>
      <c r="Q41" s="716" t="str">
        <f t="shared" si="11"/>
        <v>单套/主力户型建筑面积</v>
      </c>
      <c r="R41" s="717" t="s">
        <v>21</v>
      </c>
      <c r="S41" s="718">
        <f t="shared" si="12"/>
        <v>100</v>
      </c>
      <c r="T41" s="717" t="s">
        <v>21</v>
      </c>
      <c r="U41" s="718">
        <f t="shared" si="13"/>
        <v>100</v>
      </c>
      <c r="V41" s="717" t="s">
        <v>21</v>
      </c>
      <c r="W41" s="718">
        <f t="shared" si="14"/>
        <v>100</v>
      </c>
      <c r="X41" s="719"/>
      <c r="Y41" s="3387"/>
      <c r="Z41" s="720" t="str">
        <f t="shared" si="18"/>
        <v>单套/主力户型建筑面积</v>
      </c>
      <c r="AA41" s="1507">
        <f t="shared" si="15"/>
        <v>1</v>
      </c>
      <c r="AB41" s="1507">
        <f t="shared" si="16"/>
        <v>1</v>
      </c>
      <c r="AC41" s="1507">
        <f t="shared" si="17"/>
        <v>1</v>
      </c>
    </row>
    <row r="42" spans="1:29" ht="15">
      <c r="A42" s="431"/>
      <c r="B42" s="381" t="s">
        <v>2320</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00"/>
      <c r="M42" s="2894"/>
      <c r="N42" s="2894"/>
      <c r="O42" s="2894"/>
      <c r="P42" s="3477"/>
      <c r="Q42" s="1506" t="str">
        <f t="shared" si="11"/>
        <v>内部装修</v>
      </c>
      <c r="R42" s="714" t="s">
        <v>21</v>
      </c>
      <c r="S42" s="715">
        <f t="shared" si="12"/>
        <v>100</v>
      </c>
      <c r="T42" s="714" t="s">
        <v>21</v>
      </c>
      <c r="U42" s="715">
        <f t="shared" si="13"/>
        <v>100</v>
      </c>
      <c r="V42" s="714" t="s">
        <v>21</v>
      </c>
      <c r="W42" s="715">
        <f t="shared" si="14"/>
        <v>100</v>
      </c>
      <c r="X42" s="1509"/>
      <c r="Y42" s="3387"/>
      <c r="Z42" s="1510" t="str">
        <f t="shared" si="18"/>
        <v>内部装修</v>
      </c>
      <c r="AA42" s="1507">
        <f t="shared" si="15"/>
        <v>1</v>
      </c>
      <c r="AB42" s="1507">
        <f t="shared" si="16"/>
        <v>1</v>
      </c>
      <c r="AC42" s="1507">
        <f t="shared" si="17"/>
        <v>1</v>
      </c>
    </row>
    <row r="43" spans="1:29" ht="15">
      <c r="A43" s="431"/>
      <c r="B43" s="381" t="s">
        <v>2321</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00"/>
      <c r="M43" s="2894"/>
      <c r="N43" s="2894"/>
      <c r="O43" s="2894"/>
      <c r="P43" s="3477"/>
      <c r="Q43" s="1506" t="str">
        <f t="shared" si="11"/>
        <v>内部装修维护情况</v>
      </c>
      <c r="R43" s="714" t="s">
        <v>21</v>
      </c>
      <c r="S43" s="715">
        <f t="shared" si="12"/>
        <v>100</v>
      </c>
      <c r="T43" s="714" t="s">
        <v>21</v>
      </c>
      <c r="U43" s="715">
        <f t="shared" si="13"/>
        <v>100</v>
      </c>
      <c r="V43" s="714" t="s">
        <v>21</v>
      </c>
      <c r="W43" s="715">
        <f t="shared" si="14"/>
        <v>100</v>
      </c>
      <c r="X43" s="1509"/>
      <c r="Y43" s="3387"/>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895"/>
      <c r="M44" s="2896"/>
      <c r="N44" s="2896"/>
      <c r="O44" s="2896"/>
      <c r="P44" s="3477"/>
      <c r="Q44" s="1497">
        <f t="shared" si="11"/>
        <v>111</v>
      </c>
      <c r="R44" s="710" t="s">
        <v>21</v>
      </c>
      <c r="S44" s="711">
        <f t="shared" si="12"/>
        <v>100</v>
      </c>
      <c r="T44" s="710" t="s">
        <v>21</v>
      </c>
      <c r="U44" s="711">
        <f t="shared" si="13"/>
        <v>100</v>
      </c>
      <c r="V44" s="710" t="s">
        <v>21</v>
      </c>
      <c r="W44" s="711">
        <f t="shared" si="14"/>
        <v>100</v>
      </c>
      <c r="X44" s="712"/>
      <c r="Y44" s="3387"/>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00"/>
      <c r="M45" s="2894"/>
      <c r="N45" s="2894"/>
      <c r="O45" s="2894"/>
      <c r="P45" s="3477"/>
      <c r="Q45" s="1506">
        <f t="shared" si="11"/>
        <v>111</v>
      </c>
      <c r="R45" s="714" t="s">
        <v>21</v>
      </c>
      <c r="S45" s="715">
        <f t="shared" si="12"/>
        <v>100</v>
      </c>
      <c r="T45" s="714" t="s">
        <v>21</v>
      </c>
      <c r="U45" s="715">
        <f t="shared" si="13"/>
        <v>100</v>
      </c>
      <c r="V45" s="714" t="s">
        <v>21</v>
      </c>
      <c r="W45" s="715">
        <f t="shared" si="14"/>
        <v>100</v>
      </c>
      <c r="X45" s="1509"/>
      <c r="Y45" s="3387"/>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00"/>
      <c r="M46" s="2894"/>
      <c r="N46" s="2894"/>
      <c r="O46" s="2894"/>
      <c r="P46" s="3478"/>
      <c r="Q46" s="1506">
        <f t="shared" si="11"/>
        <v>111</v>
      </c>
      <c r="R46" s="714" t="s">
        <v>20</v>
      </c>
      <c r="S46" s="715">
        <f t="shared" si="12"/>
        <v>100</v>
      </c>
      <c r="T46" s="714" t="s">
        <v>20</v>
      </c>
      <c r="U46" s="715">
        <f t="shared" si="13"/>
        <v>100</v>
      </c>
      <c r="V46" s="714" t="s">
        <v>20</v>
      </c>
      <c r="W46" s="715">
        <f t="shared" si="14"/>
        <v>100</v>
      </c>
      <c r="X46" s="1509"/>
      <c r="Y46" s="3388"/>
      <c r="Z46" s="1510">
        <f t="shared" si="18"/>
        <v>111</v>
      </c>
      <c r="AA46" s="1507">
        <f t="shared" si="15"/>
        <v>1</v>
      </c>
      <c r="AB46" s="1507">
        <f t="shared" si="16"/>
        <v>1</v>
      </c>
      <c r="AC46" s="1507">
        <f t="shared" si="17"/>
        <v>1</v>
      </c>
    </row>
    <row r="47" spans="1:29" ht="15">
      <c r="A47" s="438" t="s">
        <v>2322</v>
      </c>
      <c r="B47" s="439"/>
      <c r="C47" s="1288" t="s">
        <v>19</v>
      </c>
      <c r="D47" s="1289"/>
      <c r="E47" s="1290"/>
      <c r="F47" s="1291"/>
      <c r="G47" s="1292"/>
      <c r="H47" s="1293"/>
      <c r="I47" s="1290"/>
      <c r="J47" s="1293"/>
      <c r="K47" s="2070"/>
      <c r="L47" s="2902"/>
      <c r="M47" s="2903"/>
      <c r="N47" s="2894"/>
      <c r="O47" s="2903"/>
      <c r="P47" s="3379" t="str">
        <f>A47</f>
        <v>成交单价（元/平方米）</v>
      </c>
      <c r="Q47" s="3379"/>
      <c r="R47" s="3380">
        <f>E47</f>
        <v>0</v>
      </c>
      <c r="S47" s="3380"/>
      <c r="T47" s="3380">
        <f>G47</f>
        <v>0</v>
      </c>
      <c r="U47" s="3380"/>
      <c r="V47" s="3380">
        <f>I47</f>
        <v>0</v>
      </c>
      <c r="W47" s="3380"/>
      <c r="X47" s="699"/>
      <c r="Y47" s="721"/>
      <c r="Z47" s="699"/>
      <c r="AA47" s="699"/>
      <c r="AB47" s="699"/>
      <c r="AC47" s="699"/>
    </row>
    <row r="48" spans="1:29" ht="15.75" thickBot="1">
      <c r="A48" s="445" t="s">
        <v>2323</v>
      </c>
      <c r="B48" s="446"/>
      <c r="C48" s="1294" t="e">
        <f>R49</f>
        <v>#DIV/0!</v>
      </c>
      <c r="D48" s="2508" t="s">
        <v>2803</v>
      </c>
      <c r="E48" s="1295" t="e">
        <f>R48</f>
        <v>#DIV/0!</v>
      </c>
      <c r="F48" s="2509"/>
      <c r="G48" s="1294" t="e">
        <f>T48</f>
        <v>#DIV/0!</v>
      </c>
      <c r="H48" s="2509"/>
      <c r="I48" s="1295" t="e">
        <f>V48</f>
        <v>#DIV/0!</v>
      </c>
      <c r="J48" s="2509"/>
      <c r="K48" s="2510">
        <f>F48+H48+J48</f>
        <v>0</v>
      </c>
      <c r="L48" s="2902"/>
      <c r="M48" s="2903"/>
      <c r="N48" s="2903"/>
      <c r="O48" s="2903"/>
      <c r="P48" s="3379" t="str">
        <f>A48</f>
        <v>比较价值（元/平方米）</v>
      </c>
      <c r="Q48" s="3379"/>
      <c r="R48" s="3380" t="e">
        <f>IF(F1="售价",ROUND(PRODUCT(R47,AA7:AA46),0),ROUND(PRODUCT(R47,AA7:AA46),1))</f>
        <v>#DIV/0!</v>
      </c>
      <c r="S48" s="3380"/>
      <c r="T48" s="3380" t="e">
        <f>IF(F1="售价",ROUND(PRODUCT(T47,AB7:AB46),0),ROUND(PRODUCT(T47,AB7:AB46),1))</f>
        <v>#DIV/0!</v>
      </c>
      <c r="U48" s="3380"/>
      <c r="V48" s="3380" t="e">
        <f>IF(F1="售价",ROUND(PRODUCT(V47,AC7:AC46),0),ROUND(PRODUCT(V47,AC7:AC46),1))</f>
        <v>#DIV/0!</v>
      </c>
      <c r="W48" s="3380"/>
      <c r="X48" s="699"/>
      <c r="Y48" s="699"/>
      <c r="Z48" s="699"/>
      <c r="AA48" s="699"/>
      <c r="AB48" s="699"/>
      <c r="AC48" s="699"/>
    </row>
    <row r="49" spans="1:29" ht="15.75" thickBot="1">
      <c r="A49" s="449" t="s">
        <v>2324</v>
      </c>
      <c r="B49" s="450"/>
      <c r="C49" s="1296" t="e">
        <f>R49</f>
        <v>#DIV/0!</v>
      </c>
      <c r="D49" s="1297"/>
      <c r="E49" s="1297"/>
      <c r="F49" s="1297"/>
      <c r="G49" s="1297"/>
      <c r="H49" s="1297"/>
      <c r="I49" s="1297"/>
      <c r="J49" s="1297"/>
      <c r="K49" s="2071"/>
      <c r="L49" s="2902"/>
      <c r="M49" s="2903"/>
      <c r="N49" s="2903"/>
      <c r="O49" s="2903"/>
      <c r="P49" s="3381" t="str">
        <f>A49</f>
        <v>估价对象XX用房的比较价值（楼面单价，元/平方米）</v>
      </c>
      <c r="Q49" s="3382"/>
      <c r="R49" s="3383" t="e">
        <f>IF(F1="售价",ROUND(IF(D48="简单平均",AVERAGE(R48:V48),R48*F48+T48*H48+V48*J48),0),ROUND(IF(D48="简单平均",AVERAGE(R48:V48),R48*F48+T48*H48+V48*J48),1))</f>
        <v>#DIV/0!</v>
      </c>
      <c r="S49" s="3383"/>
      <c r="T49" s="3383"/>
      <c r="U49" s="3383"/>
      <c r="V49" s="3383"/>
      <c r="W49" s="3383"/>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2325</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2326</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2327</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73"/>
    </row>
    <row r="55" spans="1:29" s="459" customFormat="1">
      <c r="A55" s="2906"/>
      <c r="B55" s="2909"/>
      <c r="C55" s="2910"/>
      <c r="D55" s="2906"/>
      <c r="E55" s="2906"/>
      <c r="F55" s="2906"/>
      <c r="G55" s="2906"/>
      <c r="H55" s="2906"/>
      <c r="I55" s="2906"/>
      <c r="J55" s="2906"/>
      <c r="K55" s="2911"/>
      <c r="L55" s="2905"/>
      <c r="M55" s="2906"/>
      <c r="N55" s="2906"/>
      <c r="O55" s="2906"/>
      <c r="P55" s="2073"/>
    </row>
    <row r="56" spans="1:29">
      <c r="A56" s="2903"/>
      <c r="B56" s="2909"/>
      <c r="C56" s="2910"/>
      <c r="D56" s="2903"/>
      <c r="E56" s="2903"/>
      <c r="F56" s="2903"/>
      <c r="G56" s="2903"/>
      <c r="H56" s="2903"/>
      <c r="I56" s="2903"/>
      <c r="J56" s="2903"/>
      <c r="K56" s="2908"/>
      <c r="L56" s="2904"/>
      <c r="M56" s="2903"/>
      <c r="N56" s="2903"/>
      <c r="O56" s="2903"/>
    </row>
    <row r="57" spans="1:29" ht="21.75" thickBot="1">
      <c r="A57" s="703" t="s">
        <v>2328</v>
      </c>
      <c r="B57" s="699"/>
      <c r="C57" s="704"/>
      <c r="D57" s="704"/>
      <c r="E57" s="704"/>
      <c r="F57" s="705"/>
      <c r="G57" s="705"/>
      <c r="H57" s="704"/>
      <c r="I57" s="704"/>
      <c r="J57" s="704"/>
      <c r="K57" s="1072"/>
      <c r="L57" s="1073"/>
      <c r="M57" s="1071"/>
      <c r="N57" s="1071"/>
      <c r="O57" s="1071"/>
      <c r="P57" s="2074"/>
      <c r="Q57" s="461"/>
    </row>
    <row r="58" spans="1:29" s="465" customFormat="1" ht="15">
      <c r="A58" s="462" t="s">
        <v>2329</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2330</v>
      </c>
      <c r="B60" s="473"/>
      <c r="C60" s="474"/>
      <c r="D60" s="475"/>
      <c r="E60" s="475"/>
      <c r="F60" s="475"/>
      <c r="G60" s="475"/>
      <c r="H60" s="475"/>
      <c r="I60" s="475"/>
      <c r="J60" s="475"/>
      <c r="K60" s="475"/>
      <c r="L60" s="475"/>
      <c r="M60" s="476"/>
      <c r="N60" s="475"/>
      <c r="O60" s="476"/>
      <c r="P60" s="2076"/>
      <c r="Q60" s="461"/>
    </row>
    <row r="61" spans="1:29" s="113" customFormat="1" ht="15">
      <c r="A61" s="478" t="s">
        <v>2331</v>
      </c>
      <c r="B61" s="467"/>
      <c r="C61" s="479" t="s">
        <v>2332</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2333</v>
      </c>
      <c r="B63" s="485" t="s">
        <v>2299</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2302</v>
      </c>
      <c r="C65" s="496" t="s">
        <v>2334</v>
      </c>
      <c r="D65" s="496" t="s">
        <v>2335</v>
      </c>
      <c r="E65" s="496" t="s">
        <v>2336</v>
      </c>
      <c r="F65" s="496" t="s">
        <v>2337</v>
      </c>
      <c r="G65" s="496" t="s">
        <v>2338</v>
      </c>
      <c r="H65" s="496" t="s">
        <v>2339</v>
      </c>
      <c r="I65" s="496" t="s">
        <v>2340</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2303</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2304</v>
      </c>
      <c r="B76" s="485" t="s">
        <v>2341</v>
      </c>
      <c r="C76" s="530" t="s">
        <v>2342</v>
      </c>
      <c r="D76" s="530" t="s">
        <v>2343</v>
      </c>
      <c r="E76" s="530" t="s">
        <v>2344</v>
      </c>
      <c r="F76" s="530" t="s">
        <v>2345</v>
      </c>
      <c r="G76" s="530" t="s">
        <v>2346</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2347</v>
      </c>
      <c r="C78" s="535" t="s">
        <v>2342</v>
      </c>
      <c r="D78" s="535" t="s">
        <v>2343</v>
      </c>
      <c r="E78" s="535" t="s">
        <v>2344</v>
      </c>
      <c r="F78" s="535" t="s">
        <v>2345</v>
      </c>
      <c r="G78" s="535" t="s">
        <v>2346</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2348</v>
      </c>
      <c r="C80" s="535" t="s">
        <v>2342</v>
      </c>
      <c r="D80" s="535" t="s">
        <v>2343</v>
      </c>
      <c r="E80" s="535" t="s">
        <v>2344</v>
      </c>
      <c r="F80" s="535" t="s">
        <v>2345</v>
      </c>
      <c r="G80" s="535" t="s">
        <v>2346</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2349</v>
      </c>
      <c r="D82" s="496" t="s">
        <v>2350</v>
      </c>
      <c r="E82" s="496" t="s">
        <v>2351</v>
      </c>
      <c r="F82" s="496" t="s">
        <v>2352</v>
      </c>
      <c r="G82" s="496" t="s">
        <v>2353</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2354</v>
      </c>
      <c r="C84" s="535" t="s">
        <v>2342</v>
      </c>
      <c r="D84" s="535" t="s">
        <v>2343</v>
      </c>
      <c r="E84" s="535" t="s">
        <v>2344</v>
      </c>
      <c r="F84" s="535" t="s">
        <v>2345</v>
      </c>
      <c r="G84" s="535" t="s">
        <v>2346</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2355</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2356</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2308</v>
      </c>
      <c r="B100" s="485" t="s">
        <v>2357</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2358</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2359</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2360</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2361</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2362</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2363</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2364</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2319</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2365</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2366</v>
      </c>
      <c r="C124" s="535" t="s">
        <v>2342</v>
      </c>
      <c r="D124" s="535" t="s">
        <v>2343</v>
      </c>
      <c r="E124" s="535" t="s">
        <v>2344</v>
      </c>
      <c r="F124" s="535" t="s">
        <v>2345</v>
      </c>
      <c r="G124" s="535" t="s">
        <v>2346</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2367</v>
      </c>
    </row>
    <row r="137" spans="1:17" ht="15">
      <c r="B137" s="2086" t="s">
        <v>2368</v>
      </c>
      <c r="C137" s="2087"/>
      <c r="D137" s="2087"/>
      <c r="E137" s="2087"/>
      <c r="F137" s="2087"/>
      <c r="G137" s="2088"/>
      <c r="H137" s="2089"/>
      <c r="I137" s="2090" t="s">
        <v>2369</v>
      </c>
      <c r="J137" s="2087"/>
      <c r="K137" s="2091"/>
    </row>
    <row r="138" spans="1:17" ht="15">
      <c r="B138" s="2092"/>
      <c r="C138" s="142" t="s">
        <v>2370</v>
      </c>
      <c r="D138" s="142" t="s">
        <v>2371</v>
      </c>
      <c r="E138" s="2093" t="s">
        <v>2372</v>
      </c>
      <c r="F138" s="2094" t="s">
        <v>2373</v>
      </c>
      <c r="G138" s="142" t="s">
        <v>2371</v>
      </c>
      <c r="H138" s="143" t="s">
        <v>2372</v>
      </c>
      <c r="I138" s="2095"/>
      <c r="J138" s="142" t="s">
        <v>2374</v>
      </c>
      <c r="K138" s="143" t="s">
        <v>2375</v>
      </c>
    </row>
    <row r="139" spans="1:17" ht="15">
      <c r="B139" s="998">
        <v>6</v>
      </c>
      <c r="C139" s="999">
        <v>96</v>
      </c>
      <c r="D139" s="2096" t="s">
        <v>2376</v>
      </c>
      <c r="E139" s="1000">
        <v>100</v>
      </c>
      <c r="F139" s="1001">
        <v>102.5</v>
      </c>
      <c r="G139" s="2096" t="s">
        <v>2376</v>
      </c>
      <c r="H139" s="1002">
        <v>105</v>
      </c>
      <c r="I139" s="2097" t="s">
        <v>2377</v>
      </c>
      <c r="J139" s="999">
        <v>20</v>
      </c>
      <c r="K139" s="1003">
        <f>C145/(J139-2)</f>
        <v>4.0555555555555553E-3</v>
      </c>
    </row>
    <row r="140" spans="1:17" ht="15">
      <c r="B140" s="1004">
        <v>5</v>
      </c>
      <c r="C140" s="1005">
        <v>100</v>
      </c>
      <c r="D140" s="1005"/>
      <c r="E140" s="1006"/>
      <c r="F140" s="1007">
        <v>102</v>
      </c>
      <c r="G140" s="1005"/>
      <c r="H140" s="1008"/>
      <c r="I140" s="2098" t="s">
        <v>2378</v>
      </c>
      <c r="J140" s="277">
        <f>ROUNDUP((J139-1)/2,0)</f>
        <v>10</v>
      </c>
      <c r="K140" s="1009">
        <v>100</v>
      </c>
    </row>
    <row r="141" spans="1:17" ht="15">
      <c r="B141" s="1004">
        <v>4</v>
      </c>
      <c r="C141" s="1005">
        <v>102</v>
      </c>
      <c r="D141" s="1005"/>
      <c r="E141" s="1006"/>
      <c r="F141" s="1007">
        <v>101.5</v>
      </c>
      <c r="G141" s="1005"/>
      <c r="H141" s="1008"/>
      <c r="I141" s="2098" t="s">
        <v>2379</v>
      </c>
      <c r="J141" s="277">
        <v>1</v>
      </c>
      <c r="K141" s="1010">
        <f>ROUND(100+(J141-J140)*K139*100,1)</f>
        <v>96.4</v>
      </c>
    </row>
    <row r="142" spans="1:17" ht="15">
      <c r="B142" s="1004">
        <v>3</v>
      </c>
      <c r="C142" s="1005">
        <v>103</v>
      </c>
      <c r="D142" s="1005"/>
      <c r="E142" s="1006"/>
      <c r="F142" s="1007">
        <v>101</v>
      </c>
      <c r="G142" s="1005"/>
      <c r="H142" s="1008"/>
      <c r="I142" s="2098" t="s">
        <v>2380</v>
      </c>
      <c r="J142" s="277">
        <f>J139</f>
        <v>20</v>
      </c>
      <c r="K142" s="1011">
        <v>95</v>
      </c>
    </row>
    <row r="143" spans="1:17" ht="15">
      <c r="B143" s="1004">
        <v>2</v>
      </c>
      <c r="C143" s="1005">
        <v>100</v>
      </c>
      <c r="D143" s="1005"/>
      <c r="E143" s="1006"/>
      <c r="F143" s="1007">
        <v>100.5</v>
      </c>
      <c r="G143" s="1005"/>
      <c r="H143" s="1008"/>
      <c r="I143" s="2098" t="s">
        <v>2381</v>
      </c>
      <c r="J143" s="1005">
        <v>15</v>
      </c>
      <c r="K143" s="1010">
        <f>ROUND(100+(J143-J140)*K139*100,1)</f>
        <v>102</v>
      </c>
    </row>
    <row r="144" spans="1:17" ht="15">
      <c r="B144" s="1004">
        <v>1</v>
      </c>
      <c r="C144" s="1005">
        <v>98</v>
      </c>
      <c r="D144" s="2099" t="s">
        <v>2382</v>
      </c>
      <c r="E144" s="1006">
        <v>102</v>
      </c>
      <c r="F144" s="1012">
        <v>100</v>
      </c>
      <c r="G144" s="2099" t="s">
        <v>2382</v>
      </c>
      <c r="H144" s="1008">
        <v>105</v>
      </c>
      <c r="I144" s="2098" t="s">
        <v>2381</v>
      </c>
      <c r="J144" s="1005">
        <v>18</v>
      </c>
      <c r="K144" s="1010">
        <f>ROUND(100+(J144-J140)*K139*100,1)</f>
        <v>103.2</v>
      </c>
    </row>
    <row r="145" spans="2:11" ht="15.75" thickBot="1">
      <c r="B145" s="2100" t="s">
        <v>2383</v>
      </c>
      <c r="C145" s="1013">
        <f>ROUND(MAX(C139:C144)/MIN(C139:C144)-1,3)</f>
        <v>7.2999999999999995E-2</v>
      </c>
      <c r="D145" s="1014"/>
      <c r="E145" s="1014"/>
      <c r="F145" s="2101" t="s">
        <v>2384</v>
      </c>
      <c r="G145" s="2102"/>
      <c r="H145" s="2103"/>
      <c r="I145" s="2104" t="s">
        <v>2381</v>
      </c>
      <c r="J145" s="1015">
        <v>8</v>
      </c>
      <c r="K145" s="1016">
        <f>ROUND(100+(J145-J140)*K139*100,1)</f>
        <v>99.2</v>
      </c>
    </row>
    <row r="147" spans="2:11">
      <c r="B147" s="2085" t="s">
        <v>2385</v>
      </c>
    </row>
    <row r="148" spans="2:11">
      <c r="B148" s="2085" t="s">
        <v>2386</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2273</v>
      </c>
      <c r="B1" s="2034" t="s">
        <v>2387</v>
      </c>
      <c r="C1" s="1378" t="s">
        <v>2275</v>
      </c>
      <c r="D1" s="1365"/>
      <c r="E1" s="2513"/>
      <c r="F1" s="2035"/>
      <c r="G1" s="1375" t="s">
        <v>2388</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2072</v>
      </c>
      <c r="B2" s="1298" t="e">
        <f ca="1">IF(C2="——",ROUND(C49*D3/10000,0),ROUND(C49*D3/10000,0)-D2)</f>
        <v>#DIV/0!</v>
      </c>
      <c r="C2" s="2037"/>
      <c r="D2" s="1247" t="e">
        <f ca="1">SUMIF(INDIRECT("'"&amp;F2&amp;"'"&amp;"!A:A"),"承租人权益价值",INDIRECT("'"&amp;F2&amp;"'"&amp;"!c:c"))</f>
        <v>#REF!</v>
      </c>
      <c r="E2" s="2038" t="s">
        <v>2073</v>
      </c>
      <c r="F2" s="2039"/>
      <c r="G2" s="1039"/>
      <c r="H2" s="1039"/>
      <c r="I2" s="1039"/>
      <c r="J2" s="1039"/>
      <c r="K2" s="1039"/>
      <c r="L2" s="2912"/>
      <c r="M2" s="2913"/>
      <c r="N2" s="2913"/>
      <c r="O2" s="2913"/>
      <c r="P2" s="2108"/>
      <c r="Q2" s="1043"/>
      <c r="R2" s="1043"/>
      <c r="S2" s="1043"/>
      <c r="T2" s="1043"/>
      <c r="U2" s="1043"/>
      <c r="V2" s="1043"/>
      <c r="W2" s="1043"/>
      <c r="X2" s="1043"/>
      <c r="Y2" s="1043"/>
      <c r="Z2" s="1043"/>
      <c r="AA2" s="1043"/>
      <c r="AB2" s="1043"/>
      <c r="AC2" s="2109"/>
    </row>
    <row r="3" spans="1:29" s="358" customFormat="1" ht="28.5" customHeight="1" thickBot="1">
      <c r="A3" s="209" t="s">
        <v>2074</v>
      </c>
      <c r="B3" s="566" t="e">
        <f ca="1">IF(C2="——",C49,ROUND(B2*10000/D3,0))</f>
        <v>#DIV/0!</v>
      </c>
      <c r="C3" s="360" t="s">
        <v>2389</v>
      </c>
      <c r="D3" s="359">
        <f>IF(D1="",'数据-汇总表'!E3,SUMIF('数据-汇总表'!$C19:$C33,D1,'数据-汇总表'!$E19:$E33))</f>
        <v>2555.66</v>
      </c>
      <c r="E3" s="2110"/>
      <c r="F3" s="1040"/>
      <c r="G3" s="1039"/>
      <c r="H3" s="1039"/>
      <c r="I3" s="1039"/>
      <c r="J3" s="1039"/>
      <c r="K3" s="1041"/>
      <c r="L3" s="2912"/>
      <c r="M3" s="2913"/>
      <c r="N3" s="2913"/>
      <c r="O3" s="2913"/>
      <c r="P3" s="2108"/>
      <c r="Q3" s="1043"/>
      <c r="R3" s="1043"/>
      <c r="S3" s="1043"/>
      <c r="T3" s="1043"/>
      <c r="U3" s="1043"/>
      <c r="V3" s="1043"/>
      <c r="W3" s="1043"/>
      <c r="X3" s="1043"/>
      <c r="Y3" s="1043"/>
      <c r="Z3" s="1043"/>
      <c r="AA3" s="1043"/>
      <c r="AB3" s="1043"/>
      <c r="AC3" s="2110"/>
    </row>
    <row r="4" spans="1:29" ht="15">
      <c r="A4" s="361" t="s">
        <v>2390</v>
      </c>
      <c r="B4" s="362"/>
      <c r="C4" s="3392" t="s">
        <v>2391</v>
      </c>
      <c r="D4" s="3393"/>
      <c r="E4" s="3394" t="s">
        <v>2392</v>
      </c>
      <c r="F4" s="3395"/>
      <c r="G4" s="3392" t="s">
        <v>2393</v>
      </c>
      <c r="H4" s="3393"/>
      <c r="I4" s="3392" t="s">
        <v>2394</v>
      </c>
      <c r="J4" s="3393"/>
      <c r="K4" s="567" t="s">
        <v>2395</v>
      </c>
      <c r="L4" s="2893"/>
      <c r="M4" s="2894"/>
      <c r="N4" s="2894"/>
      <c r="O4" s="2894"/>
      <c r="P4" s="3396" t="s">
        <v>2396</v>
      </c>
      <c r="Q4" s="3397"/>
      <c r="R4" s="3402" t="s">
        <v>2392</v>
      </c>
      <c r="S4" s="3403"/>
      <c r="T4" s="3402" t="s">
        <v>2393</v>
      </c>
      <c r="U4" s="3403"/>
      <c r="V4" s="3408" t="s">
        <v>2394</v>
      </c>
      <c r="W4" s="3408"/>
      <c r="X4" s="1509"/>
      <c r="Y4" s="3402" t="s">
        <v>2396</v>
      </c>
      <c r="Z4" s="3403"/>
      <c r="AA4" s="3389" t="s">
        <v>2392</v>
      </c>
      <c r="AB4" s="3408" t="s">
        <v>2393</v>
      </c>
      <c r="AC4" s="3389" t="s">
        <v>2394</v>
      </c>
    </row>
    <row r="5" spans="1:29" ht="15">
      <c r="A5" s="364"/>
      <c r="B5" s="365"/>
      <c r="C5" s="3416" t="s">
        <v>2287</v>
      </c>
      <c r="D5" s="3412"/>
      <c r="E5" s="3482" t="s">
        <v>2288</v>
      </c>
      <c r="F5" s="3420"/>
      <c r="G5" s="3416" t="s">
        <v>2289</v>
      </c>
      <c r="H5" s="3412"/>
      <c r="I5" s="3416" t="s">
        <v>2290</v>
      </c>
      <c r="J5" s="3412"/>
      <c r="K5" s="567"/>
      <c r="L5" s="2893"/>
      <c r="M5" s="2894"/>
      <c r="N5" s="2894"/>
      <c r="O5" s="2894"/>
      <c r="P5" s="3398"/>
      <c r="Q5" s="3399"/>
      <c r="R5" s="3404"/>
      <c r="S5" s="3405"/>
      <c r="T5" s="3404"/>
      <c r="U5" s="3405"/>
      <c r="V5" s="3408"/>
      <c r="W5" s="3408"/>
      <c r="X5" s="1509"/>
      <c r="Y5" s="3404"/>
      <c r="Z5" s="3405"/>
      <c r="AA5" s="3390"/>
      <c r="AB5" s="3408"/>
      <c r="AC5" s="3390"/>
    </row>
    <row r="6" spans="1:29" ht="15.75" thickBot="1">
      <c r="A6" s="366"/>
      <c r="B6" s="367"/>
      <c r="C6" s="3409" t="s">
        <v>2291</v>
      </c>
      <c r="D6" s="3410"/>
      <c r="E6" s="3417" t="s">
        <v>2291</v>
      </c>
      <c r="F6" s="3418"/>
      <c r="G6" s="3409" t="s">
        <v>2291</v>
      </c>
      <c r="H6" s="3410"/>
      <c r="I6" s="3409" t="s">
        <v>2291</v>
      </c>
      <c r="J6" s="3410"/>
      <c r="K6" s="567" t="s">
        <v>2292</v>
      </c>
      <c r="L6" s="2893"/>
      <c r="M6" s="2894"/>
      <c r="N6" s="2894"/>
      <c r="O6" s="2894"/>
      <c r="P6" s="3400"/>
      <c r="Q6" s="3401"/>
      <c r="R6" s="3404"/>
      <c r="S6" s="3405"/>
      <c r="T6" s="3406"/>
      <c r="U6" s="3407"/>
      <c r="V6" s="3408"/>
      <c r="W6" s="3408"/>
      <c r="X6" s="1509"/>
      <c r="Y6" s="3406"/>
      <c r="Z6" s="3407"/>
      <c r="AA6" s="3391"/>
      <c r="AB6" s="3408"/>
      <c r="AC6" s="3391"/>
    </row>
    <row r="7" spans="1:29" s="113" customFormat="1" ht="15.75" thickBot="1">
      <c r="A7" s="368" t="s">
        <v>2293</v>
      </c>
      <c r="B7" s="369"/>
      <c r="C7" s="370">
        <f>'数据-取费表'!B2</f>
        <v>44628</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13" t="s">
        <v>2294</v>
      </c>
      <c r="Q7" s="3415"/>
      <c r="R7" s="710" t="s">
        <v>17</v>
      </c>
      <c r="S7" s="711">
        <f t="shared" ref="S7:S15" si="0">F7</f>
        <v>0</v>
      </c>
      <c r="T7" s="710" t="s">
        <v>17</v>
      </c>
      <c r="U7" s="711">
        <f t="shared" ref="U7:U15" si="1">H7</f>
        <v>0</v>
      </c>
      <c r="V7" s="710" t="s">
        <v>17</v>
      </c>
      <c r="W7" s="711">
        <f t="shared" ref="W7:W15" si="2">J7</f>
        <v>0</v>
      </c>
      <c r="X7" s="712"/>
      <c r="Y7" s="3413" t="s">
        <v>2294</v>
      </c>
      <c r="Z7" s="3414"/>
      <c r="AA7" s="713" t="e">
        <f>D7/F7</f>
        <v>#DIV/0!</v>
      </c>
      <c r="AB7" s="713" t="e">
        <f>D7/H7</f>
        <v>#DIV/0!</v>
      </c>
      <c r="AC7" s="713" t="e">
        <f>D7/J7</f>
        <v>#DIV/0!</v>
      </c>
    </row>
    <row r="8" spans="1:29" s="113" customFormat="1" ht="15.75" thickBot="1">
      <c r="A8" s="368" t="s">
        <v>2295</v>
      </c>
      <c r="B8" s="369"/>
      <c r="C8" s="374" t="s">
        <v>2397</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13" t="s">
        <v>2297</v>
      </c>
      <c r="Q8" s="3414"/>
      <c r="R8" s="710" t="s">
        <v>17</v>
      </c>
      <c r="S8" s="711">
        <f t="shared" si="0"/>
        <v>0</v>
      </c>
      <c r="T8" s="710" t="s">
        <v>17</v>
      </c>
      <c r="U8" s="711">
        <f t="shared" si="1"/>
        <v>0</v>
      </c>
      <c r="V8" s="710" t="s">
        <v>17</v>
      </c>
      <c r="W8" s="711">
        <f t="shared" si="2"/>
        <v>0</v>
      </c>
      <c r="X8" s="712"/>
      <c r="Y8" s="3413" t="s">
        <v>2297</v>
      </c>
      <c r="Z8" s="3414"/>
      <c r="AA8" s="713" t="e">
        <f t="shared" ref="AA8:AA46" si="3">D8/F8</f>
        <v>#DIV/0!</v>
      </c>
      <c r="AB8" s="713" t="e">
        <f t="shared" ref="AB8:AB46" si="4">D8/H8</f>
        <v>#DIV/0!</v>
      </c>
      <c r="AC8" s="713" t="e">
        <f t="shared" ref="AC8:AC46" si="5">D8/J8</f>
        <v>#DIV/0!</v>
      </c>
    </row>
    <row r="9" spans="1:29" s="113" customFormat="1">
      <c r="A9" s="375" t="s">
        <v>2298</v>
      </c>
      <c r="B9" s="67" t="s">
        <v>2299</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81"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713">
        <f t="shared" si="5"/>
        <v>1</v>
      </c>
    </row>
    <row r="10" spans="1:29" s="386" customFormat="1" ht="27">
      <c r="A10" s="380"/>
      <c r="B10" s="381" t="s">
        <v>2302</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81"/>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713">
        <f t="shared" si="5"/>
        <v>1</v>
      </c>
    </row>
    <row r="11" spans="1:29" ht="15">
      <c r="A11" s="387"/>
      <c r="B11" s="381" t="s">
        <v>2303</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81"/>
      <c r="Q11" s="1497" t="str">
        <f t="shared" si="6"/>
        <v>容积率</v>
      </c>
      <c r="R11" s="710" t="s">
        <v>17</v>
      </c>
      <c r="S11" s="711" t="e">
        <f t="shared" si="0"/>
        <v>#N/A</v>
      </c>
      <c r="T11" s="710" t="s">
        <v>17</v>
      </c>
      <c r="U11" s="711" t="e">
        <f t="shared" si="1"/>
        <v>#N/A</v>
      </c>
      <c r="V11" s="710" t="s">
        <v>17</v>
      </c>
      <c r="W11" s="711" t="e">
        <f t="shared" si="2"/>
        <v>#N/A</v>
      </c>
      <c r="X11" s="712"/>
      <c r="Y11" s="3291"/>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81"/>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81"/>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81"/>
      <c r="Q14" s="1497">
        <f t="shared" si="6"/>
        <v>111</v>
      </c>
      <c r="R14" s="710" t="s">
        <v>17</v>
      </c>
      <c r="S14" s="711">
        <f t="shared" si="0"/>
        <v>100</v>
      </c>
      <c r="T14" s="710" t="s">
        <v>17</v>
      </c>
      <c r="U14" s="711">
        <f t="shared" si="1"/>
        <v>100</v>
      </c>
      <c r="V14" s="710" t="s">
        <v>17</v>
      </c>
      <c r="W14" s="711">
        <f t="shared" si="2"/>
        <v>100</v>
      </c>
      <c r="X14" s="712"/>
      <c r="Y14" s="3291"/>
      <c r="Z14" s="55">
        <f t="shared" si="7"/>
        <v>111</v>
      </c>
      <c r="AA14" s="713">
        <f t="shared" si="3"/>
        <v>1</v>
      </c>
      <c r="AB14" s="713">
        <f t="shared" si="4"/>
        <v>1</v>
      </c>
      <c r="AC14" s="713">
        <f t="shared" si="5"/>
        <v>1</v>
      </c>
    </row>
    <row r="15" spans="1:29" ht="15">
      <c r="A15" s="399" t="s">
        <v>2304</v>
      </c>
      <c r="B15" s="65" t="s">
        <v>2398</v>
      </c>
      <c r="C15" s="2052">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79" t="s">
        <v>2305</v>
      </c>
      <c r="Q15" s="1506" t="str">
        <f t="shared" si="6"/>
        <v>商业繁华度</v>
      </c>
      <c r="R15" s="714" t="s">
        <v>17</v>
      </c>
      <c r="S15" s="715">
        <f t="shared" si="0"/>
        <v>100</v>
      </c>
      <c r="T15" s="714" t="s">
        <v>17</v>
      </c>
      <c r="U15" s="715">
        <f t="shared" si="1"/>
        <v>100</v>
      </c>
      <c r="V15" s="714" t="s">
        <v>17</v>
      </c>
      <c r="W15" s="715">
        <f t="shared" si="2"/>
        <v>100</v>
      </c>
      <c r="X15" s="1509"/>
      <c r="Y15" s="3384" t="s">
        <v>2305</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00"/>
      <c r="M16" s="2894"/>
      <c r="N16" s="2894"/>
      <c r="O16" s="2894"/>
      <c r="P16" s="3480"/>
      <c r="Q16" s="1506"/>
      <c r="R16" s="714"/>
      <c r="S16" s="715"/>
      <c r="T16" s="714"/>
      <c r="U16" s="715"/>
      <c r="V16" s="714"/>
      <c r="W16" s="715"/>
      <c r="X16" s="1509"/>
      <c r="Y16" s="3385"/>
      <c r="Z16" s="1510"/>
      <c r="AA16" s="1507">
        <v>1</v>
      </c>
      <c r="AB16" s="1507">
        <v>1</v>
      </c>
      <c r="AC16" s="1507">
        <v>1</v>
      </c>
    </row>
    <row r="17" spans="1:29" ht="15">
      <c r="A17" s="387"/>
      <c r="B17" s="410" t="s">
        <v>1885</v>
      </c>
      <c r="C17" s="2056">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80"/>
      <c r="Q17" s="1506" t="str">
        <f>B17</f>
        <v>交通便捷度</v>
      </c>
      <c r="R17" s="714" t="s">
        <v>17</v>
      </c>
      <c r="S17" s="715">
        <f>F17</f>
        <v>100</v>
      </c>
      <c r="T17" s="714" t="s">
        <v>17</v>
      </c>
      <c r="U17" s="715">
        <f>H17</f>
        <v>100</v>
      </c>
      <c r="V17" s="714" t="s">
        <v>17</v>
      </c>
      <c r="W17" s="715">
        <f>J17</f>
        <v>100</v>
      </c>
      <c r="X17" s="1509"/>
      <c r="Y17" s="338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00"/>
      <c r="M18" s="2894"/>
      <c r="N18" s="2894"/>
      <c r="O18" s="2894"/>
      <c r="P18" s="3480"/>
      <c r="Q18" s="1506"/>
      <c r="R18" s="714"/>
      <c r="S18" s="715"/>
      <c r="T18" s="714"/>
      <c r="U18" s="715"/>
      <c r="V18" s="714"/>
      <c r="W18" s="715"/>
      <c r="X18" s="1509"/>
      <c r="Y18" s="3385"/>
      <c r="Z18" s="1510"/>
      <c r="AA18" s="1507">
        <v>1</v>
      </c>
      <c r="AB18" s="1507">
        <v>1</v>
      </c>
      <c r="AC18" s="1507">
        <v>1</v>
      </c>
    </row>
    <row r="19" spans="1:29" ht="15">
      <c r="A19" s="387"/>
      <c r="B19" s="410" t="s">
        <v>2399</v>
      </c>
      <c r="C19" s="2056">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80"/>
      <c r="Q19" s="1506" t="str">
        <f>B19</f>
        <v>公共配套设施</v>
      </c>
      <c r="R19" s="714" t="s">
        <v>17</v>
      </c>
      <c r="S19" s="715">
        <f>F19</f>
        <v>100</v>
      </c>
      <c r="T19" s="714" t="s">
        <v>17</v>
      </c>
      <c r="U19" s="715">
        <f>H19</f>
        <v>100</v>
      </c>
      <c r="V19" s="714" t="s">
        <v>17</v>
      </c>
      <c r="W19" s="715">
        <f>J19</f>
        <v>100</v>
      </c>
      <c r="X19" s="1509"/>
      <c r="Y19" s="338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00"/>
      <c r="M20" s="2894"/>
      <c r="N20" s="2894"/>
      <c r="O20" s="2894"/>
      <c r="P20" s="3480"/>
      <c r="Q20" s="1506"/>
      <c r="R20" s="714"/>
      <c r="S20" s="715"/>
      <c r="T20" s="714"/>
      <c r="U20" s="715"/>
      <c r="V20" s="714"/>
      <c r="W20" s="715"/>
      <c r="X20" s="1509"/>
      <c r="Y20" s="3385"/>
      <c r="Z20" s="1510"/>
      <c r="AA20" s="1507">
        <v>1</v>
      </c>
      <c r="AB20" s="1507">
        <v>1</v>
      </c>
      <c r="AC20" s="1507">
        <v>1</v>
      </c>
    </row>
    <row r="21" spans="1:29" ht="15">
      <c r="A21" s="387"/>
      <c r="B21" s="1265" t="s">
        <v>2400</v>
      </c>
      <c r="C21" s="2056">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80"/>
      <c r="Q21" s="1506" t="str">
        <f>B21</f>
        <v>基础设施水平</v>
      </c>
      <c r="R21" s="714" t="s">
        <v>17</v>
      </c>
      <c r="S21" s="715">
        <f>F21</f>
        <v>100</v>
      </c>
      <c r="T21" s="714" t="s">
        <v>17</v>
      </c>
      <c r="U21" s="715">
        <f>H21</f>
        <v>100</v>
      </c>
      <c r="V21" s="714" t="s">
        <v>17</v>
      </c>
      <c r="W21" s="715">
        <f>J21</f>
        <v>100</v>
      </c>
      <c r="X21" s="1509"/>
      <c r="Y21" s="338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00"/>
      <c r="M22" s="2894"/>
      <c r="N22" s="2894"/>
      <c r="O22" s="2894"/>
      <c r="P22" s="3480"/>
      <c r="Q22" s="1506"/>
      <c r="R22" s="714"/>
      <c r="S22" s="715"/>
      <c r="T22" s="714"/>
      <c r="U22" s="715"/>
      <c r="V22" s="714"/>
      <c r="W22" s="715"/>
      <c r="X22" s="1509"/>
      <c r="Y22" s="3385"/>
      <c r="Z22" s="1510"/>
      <c r="AA22" s="1507">
        <v>1</v>
      </c>
      <c r="AB22" s="1507">
        <v>1</v>
      </c>
      <c r="AC22" s="1507">
        <v>1</v>
      </c>
    </row>
    <row r="23" spans="1:29" ht="15">
      <c r="A23" s="387"/>
      <c r="B23" s="410" t="s">
        <v>1887</v>
      </c>
      <c r="C23" s="2111">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80"/>
      <c r="Q23" s="1506" t="str">
        <f>B23</f>
        <v>自然及人文环境</v>
      </c>
      <c r="R23" s="714" t="s">
        <v>17</v>
      </c>
      <c r="S23" s="715">
        <f>F23</f>
        <v>100</v>
      </c>
      <c r="T23" s="714" t="s">
        <v>17</v>
      </c>
      <c r="U23" s="715">
        <f>H23</f>
        <v>100</v>
      </c>
      <c r="V23" s="714" t="s">
        <v>17</v>
      </c>
      <c r="W23" s="715">
        <f>J23</f>
        <v>100</v>
      </c>
      <c r="X23" s="1509"/>
      <c r="Y23" s="3385"/>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00"/>
      <c r="M24" s="2894"/>
      <c r="N24" s="2894"/>
      <c r="O24" s="2894"/>
      <c r="P24" s="3480"/>
      <c r="Q24" s="1506"/>
      <c r="R24" s="714"/>
      <c r="S24" s="715"/>
      <c r="T24" s="714"/>
      <c r="U24" s="715"/>
      <c r="V24" s="714"/>
      <c r="W24" s="715"/>
      <c r="X24" s="1509"/>
      <c r="Y24" s="3385"/>
      <c r="Z24" s="1510"/>
      <c r="AA24" s="1507">
        <v>1</v>
      </c>
      <c r="AB24" s="1507">
        <v>1</v>
      </c>
      <c r="AC24" s="1507">
        <v>1</v>
      </c>
    </row>
    <row r="25" spans="1:29" ht="15">
      <c r="A25" s="387"/>
      <c r="B25" s="381" t="s">
        <v>2401</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80"/>
      <c r="Q25" s="1506" t="str">
        <f t="shared" ref="Q25:Q46" si="11">B25</f>
        <v>临街状况</v>
      </c>
      <c r="R25" s="714" t="s">
        <v>17</v>
      </c>
      <c r="S25" s="715">
        <f>F25</f>
        <v>100</v>
      </c>
      <c r="T25" s="714" t="s">
        <v>17</v>
      </c>
      <c r="U25" s="715">
        <f>H25</f>
        <v>100</v>
      </c>
      <c r="V25" s="714" t="s">
        <v>17</v>
      </c>
      <c r="W25" s="715">
        <f>J25</f>
        <v>100</v>
      </c>
      <c r="X25" s="1509"/>
      <c r="Y25" s="3385"/>
      <c r="Z25" s="1510" t="str">
        <f>Q25</f>
        <v>临街状况</v>
      </c>
      <c r="AA25" s="1507">
        <f t="shared" si="3"/>
        <v>1</v>
      </c>
      <c r="AB25" s="1507">
        <f t="shared" si="4"/>
        <v>1</v>
      </c>
      <c r="AC25" s="1507">
        <f t="shared" si="5"/>
        <v>1</v>
      </c>
    </row>
    <row r="26" spans="1:29" ht="15">
      <c r="A26" s="387"/>
      <c r="B26" s="1267" t="s">
        <v>2402</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80"/>
      <c r="Q26" s="1506" t="str">
        <f t="shared" si="11"/>
        <v>平面位置/可视性</v>
      </c>
      <c r="R26" s="714" t="s">
        <v>17</v>
      </c>
      <c r="S26" s="715">
        <f>F26</f>
        <v>100</v>
      </c>
      <c r="T26" s="714" t="s">
        <v>17</v>
      </c>
      <c r="U26" s="715">
        <f>H26</f>
        <v>100</v>
      </c>
      <c r="V26" s="714" t="s">
        <v>17</v>
      </c>
      <c r="W26" s="715">
        <f>J26</f>
        <v>100</v>
      </c>
      <c r="X26" s="1509"/>
      <c r="Y26" s="3385"/>
      <c r="Z26" s="1510" t="str">
        <f>Q26</f>
        <v>平面位置/可视性</v>
      </c>
      <c r="AA26" s="1507">
        <f t="shared" si="3"/>
        <v>1</v>
      </c>
      <c r="AB26" s="1507">
        <f t="shared" si="4"/>
        <v>1</v>
      </c>
      <c r="AC26" s="1507">
        <f t="shared" si="5"/>
        <v>1</v>
      </c>
    </row>
    <row r="27" spans="1:29" s="113" customFormat="1" ht="15">
      <c r="A27" s="390"/>
      <c r="B27" s="410" t="s">
        <v>2403</v>
      </c>
      <c r="C27" s="2112"/>
      <c r="D27" s="421">
        <v>100</v>
      </c>
      <c r="E27" s="2112"/>
      <c r="F27" s="423">
        <f>SUMIF(90:90,E27,91:91)-SUMIF(90:90,C27,91:91)+100</f>
        <v>100</v>
      </c>
      <c r="G27" s="2112"/>
      <c r="H27" s="421">
        <f>SUMIF(90:90,G27,91:91)-SUMIF(90:90,C27,91:91)+100</f>
        <v>100</v>
      </c>
      <c r="I27" s="2112"/>
      <c r="J27" s="421">
        <f>SUMIF(90:90,I27,91:91)-SUMIF(90:90,C27,91:91)+100</f>
        <v>100</v>
      </c>
      <c r="K27" s="569"/>
      <c r="L27" s="2895"/>
      <c r="M27" s="2896"/>
      <c r="N27" s="2896"/>
      <c r="O27" s="2896"/>
      <c r="P27" s="3480"/>
      <c r="Q27" s="1497" t="str">
        <f t="shared" si="11"/>
        <v>人流量</v>
      </c>
      <c r="R27" s="710" t="s">
        <v>17</v>
      </c>
      <c r="S27" s="711">
        <f>F27</f>
        <v>100</v>
      </c>
      <c r="T27" s="710" t="s">
        <v>17</v>
      </c>
      <c r="U27" s="711">
        <f>H27</f>
        <v>100</v>
      </c>
      <c r="V27" s="710" t="s">
        <v>17</v>
      </c>
      <c r="W27" s="711">
        <f>J27</f>
        <v>100</v>
      </c>
      <c r="X27" s="712"/>
      <c r="Y27" s="3385"/>
      <c r="Z27" s="55" t="str">
        <f>Q27</f>
        <v>人流量</v>
      </c>
      <c r="AA27" s="1507">
        <f>D27/F27</f>
        <v>1</v>
      </c>
      <c r="AB27" s="1507">
        <f>D27/H27</f>
        <v>1</v>
      </c>
      <c r="AC27" s="1507">
        <f>D27/J27</f>
        <v>1</v>
      </c>
    </row>
    <row r="28" spans="1:29" ht="15">
      <c r="A28" s="387"/>
      <c r="B28" s="381" t="s">
        <v>2404</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80"/>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38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80"/>
      <c r="Q29" s="1506">
        <f t="shared" si="11"/>
        <v>111</v>
      </c>
      <c r="R29" s="714" t="s">
        <v>17</v>
      </c>
      <c r="S29" s="715">
        <f t="shared" si="12"/>
        <v>100</v>
      </c>
      <c r="T29" s="714" t="s">
        <v>17</v>
      </c>
      <c r="U29" s="715">
        <f t="shared" si="13"/>
        <v>100</v>
      </c>
      <c r="V29" s="714" t="s">
        <v>17</v>
      </c>
      <c r="W29" s="715">
        <f t="shared" si="14"/>
        <v>100</v>
      </c>
      <c r="X29" s="1509"/>
      <c r="Y29" s="338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80"/>
      <c r="Q30" s="1506">
        <f t="shared" si="11"/>
        <v>111</v>
      </c>
      <c r="R30" s="714" t="s">
        <v>17</v>
      </c>
      <c r="S30" s="715">
        <f t="shared" si="12"/>
        <v>100</v>
      </c>
      <c r="T30" s="714" t="s">
        <v>17</v>
      </c>
      <c r="U30" s="715">
        <f t="shared" si="13"/>
        <v>100</v>
      </c>
      <c r="V30" s="714" t="s">
        <v>17</v>
      </c>
      <c r="W30" s="715">
        <f t="shared" si="14"/>
        <v>100</v>
      </c>
      <c r="X30" s="1509"/>
      <c r="Y30" s="3385"/>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80"/>
      <c r="Q31" s="1506">
        <f t="shared" si="11"/>
        <v>111</v>
      </c>
      <c r="R31" s="714" t="s">
        <v>17</v>
      </c>
      <c r="S31" s="715">
        <f t="shared" si="12"/>
        <v>100</v>
      </c>
      <c r="T31" s="714" t="s">
        <v>17</v>
      </c>
      <c r="U31" s="715">
        <f t="shared" si="13"/>
        <v>100</v>
      </c>
      <c r="V31" s="714" t="s">
        <v>17</v>
      </c>
      <c r="W31" s="715">
        <f t="shared" si="14"/>
        <v>100</v>
      </c>
      <c r="X31" s="1509"/>
      <c r="Y31" s="3385"/>
      <c r="Z31" s="1510">
        <f t="shared" si="15"/>
        <v>111</v>
      </c>
      <c r="AA31" s="1507">
        <f t="shared" si="3"/>
        <v>1</v>
      </c>
      <c r="AB31" s="1507">
        <f t="shared" si="4"/>
        <v>1</v>
      </c>
      <c r="AC31" s="1507">
        <f t="shared" si="5"/>
        <v>1</v>
      </c>
    </row>
    <row r="32" spans="1:29" ht="15">
      <c r="A32" s="399" t="s">
        <v>2308</v>
      </c>
      <c r="B32" s="67" t="s">
        <v>2405</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00"/>
      <c r="M32" s="2894"/>
      <c r="N32" s="2894"/>
      <c r="O32" s="2894"/>
      <c r="P32" s="3476" t="s">
        <v>2310</v>
      </c>
      <c r="Q32" s="1506" t="str">
        <f t="shared" si="11"/>
        <v>商业类型</v>
      </c>
      <c r="R32" s="714" t="s">
        <v>17</v>
      </c>
      <c r="S32" s="715">
        <f t="shared" si="12"/>
        <v>100</v>
      </c>
      <c r="T32" s="714" t="s">
        <v>17</v>
      </c>
      <c r="U32" s="715">
        <f t="shared" si="13"/>
        <v>100</v>
      </c>
      <c r="V32" s="714" t="s">
        <v>17</v>
      </c>
      <c r="W32" s="715">
        <f t="shared" si="14"/>
        <v>100</v>
      </c>
      <c r="X32" s="1509"/>
      <c r="Y32" s="3387" t="s">
        <v>2310</v>
      </c>
      <c r="Z32" s="1510" t="str">
        <f t="shared" si="15"/>
        <v>商业类型</v>
      </c>
      <c r="AA32" s="1507">
        <f t="shared" si="3"/>
        <v>1</v>
      </c>
      <c r="AB32" s="1507">
        <f t="shared" si="4"/>
        <v>1</v>
      </c>
      <c r="AC32" s="1507">
        <f t="shared" si="5"/>
        <v>1</v>
      </c>
    </row>
    <row r="33" spans="1:29" s="430" customFormat="1" ht="15">
      <c r="A33" s="427"/>
      <c r="B33" s="381" t="s">
        <v>2311</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77"/>
      <c r="Q33" s="716" t="str">
        <f t="shared" si="11"/>
        <v>项目建筑规模</v>
      </c>
      <c r="R33" s="717" t="s">
        <v>17</v>
      </c>
      <c r="S33" s="718" t="e">
        <f t="shared" si="12"/>
        <v>#N/A</v>
      </c>
      <c r="T33" s="717" t="s">
        <v>17</v>
      </c>
      <c r="U33" s="718" t="e">
        <f t="shared" si="13"/>
        <v>#N/A</v>
      </c>
      <c r="V33" s="717" t="s">
        <v>17</v>
      </c>
      <c r="W33" s="718" t="e">
        <f t="shared" si="14"/>
        <v>#N/A</v>
      </c>
      <c r="X33" s="719"/>
      <c r="Y33" s="3387"/>
      <c r="Z33" s="720" t="str">
        <f t="shared" si="15"/>
        <v>项目建筑规模</v>
      </c>
      <c r="AA33" s="1507" t="e">
        <f t="shared" si="3"/>
        <v>#N/A</v>
      </c>
      <c r="AB33" s="1507" t="e">
        <f t="shared" si="4"/>
        <v>#N/A</v>
      </c>
      <c r="AC33" s="1507" t="e">
        <f t="shared" si="5"/>
        <v>#N/A</v>
      </c>
    </row>
    <row r="34" spans="1:29" ht="15">
      <c r="A34" s="431"/>
      <c r="B34" s="381" t="s">
        <v>2312</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00"/>
      <c r="M34" s="2894"/>
      <c r="N34" s="2894"/>
      <c r="O34" s="2894"/>
      <c r="P34" s="3477"/>
      <c r="Q34" s="1506" t="str">
        <f t="shared" si="11"/>
        <v>建筑结构</v>
      </c>
      <c r="R34" s="714" t="s">
        <v>17</v>
      </c>
      <c r="S34" s="715">
        <f t="shared" si="12"/>
        <v>100</v>
      </c>
      <c r="T34" s="714" t="s">
        <v>17</v>
      </c>
      <c r="U34" s="715">
        <f t="shared" si="13"/>
        <v>100</v>
      </c>
      <c r="V34" s="714" t="s">
        <v>17</v>
      </c>
      <c r="W34" s="715">
        <f t="shared" si="14"/>
        <v>100</v>
      </c>
      <c r="X34" s="1509"/>
      <c r="Y34" s="3387"/>
      <c r="Z34" s="1510" t="str">
        <f t="shared" si="15"/>
        <v>建筑结构</v>
      </c>
      <c r="AA34" s="1507">
        <f t="shared" si="3"/>
        <v>1</v>
      </c>
      <c r="AB34" s="1507">
        <f t="shared" si="4"/>
        <v>1</v>
      </c>
      <c r="AC34" s="1507">
        <f t="shared" si="5"/>
        <v>1</v>
      </c>
    </row>
    <row r="35" spans="1:29" ht="15">
      <c r="A35" s="431"/>
      <c r="B35" s="381" t="s">
        <v>2406</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00"/>
      <c r="M35" s="2894"/>
      <c r="N35" s="2894"/>
      <c r="O35" s="2894"/>
      <c r="P35" s="3477"/>
      <c r="Q35" s="1506" t="str">
        <f t="shared" si="11"/>
        <v>公共部分装修</v>
      </c>
      <c r="R35" s="714" t="s">
        <v>17</v>
      </c>
      <c r="S35" s="715">
        <f t="shared" si="12"/>
        <v>100</v>
      </c>
      <c r="T35" s="714" t="s">
        <v>17</v>
      </c>
      <c r="U35" s="715">
        <f t="shared" si="13"/>
        <v>100</v>
      </c>
      <c r="V35" s="714" t="s">
        <v>17</v>
      </c>
      <c r="W35" s="715">
        <f t="shared" si="14"/>
        <v>100</v>
      </c>
      <c r="X35" s="1509"/>
      <c r="Y35" s="3387"/>
      <c r="Z35" s="1510" t="str">
        <f t="shared" si="15"/>
        <v>公共部分装修</v>
      </c>
      <c r="AA35" s="1507">
        <f t="shared" si="3"/>
        <v>1</v>
      </c>
      <c r="AB35" s="1507">
        <f t="shared" si="4"/>
        <v>1</v>
      </c>
      <c r="AC35" s="1507">
        <f t="shared" si="5"/>
        <v>1</v>
      </c>
    </row>
    <row r="36" spans="1:29" ht="15">
      <c r="A36" s="431"/>
      <c r="B36" s="381" t="s">
        <v>2407</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77"/>
      <c r="Q36" s="1506" t="str">
        <f t="shared" si="11"/>
        <v>成新度</v>
      </c>
      <c r="R36" s="714" t="s">
        <v>17</v>
      </c>
      <c r="S36" s="715" t="e">
        <f t="shared" si="12"/>
        <v>#N/A</v>
      </c>
      <c r="T36" s="714" t="s">
        <v>17</v>
      </c>
      <c r="U36" s="715" t="e">
        <f t="shared" si="13"/>
        <v>#N/A</v>
      </c>
      <c r="V36" s="714" t="s">
        <v>17</v>
      </c>
      <c r="W36" s="715" t="e">
        <f t="shared" si="14"/>
        <v>#N/A</v>
      </c>
      <c r="X36" s="1509"/>
      <c r="Y36" s="3387"/>
      <c r="Z36" s="1510" t="str">
        <f t="shared" si="15"/>
        <v>成新度</v>
      </c>
      <c r="AA36" s="1507" t="e">
        <f t="shared" si="3"/>
        <v>#N/A</v>
      </c>
      <c r="AB36" s="1507" t="e">
        <f t="shared" si="4"/>
        <v>#N/A</v>
      </c>
      <c r="AC36" s="1507" t="e">
        <f t="shared" si="5"/>
        <v>#N/A</v>
      </c>
    </row>
    <row r="37" spans="1:29" s="113" customFormat="1" ht="15">
      <c r="A37" s="432"/>
      <c r="B37" s="381" t="s">
        <v>2408</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895"/>
      <c r="M37" s="2896"/>
      <c r="N37" s="2896"/>
      <c r="O37" s="2896"/>
      <c r="P37" s="3477"/>
      <c r="Q37" s="1497" t="str">
        <f t="shared" si="11"/>
        <v>市政基础设施</v>
      </c>
      <c r="R37" s="710" t="s">
        <v>17</v>
      </c>
      <c r="S37" s="711">
        <f t="shared" si="12"/>
        <v>100</v>
      </c>
      <c r="T37" s="710" t="s">
        <v>17</v>
      </c>
      <c r="U37" s="711">
        <f t="shared" si="13"/>
        <v>100</v>
      </c>
      <c r="V37" s="710" t="s">
        <v>17</v>
      </c>
      <c r="W37" s="711">
        <f t="shared" si="14"/>
        <v>100</v>
      </c>
      <c r="X37" s="712"/>
      <c r="Y37" s="3387"/>
      <c r="Z37" s="55" t="str">
        <f t="shared" si="15"/>
        <v>市政基础设施</v>
      </c>
      <c r="AA37" s="713">
        <f t="shared" si="3"/>
        <v>1</v>
      </c>
      <c r="AB37" s="713">
        <f t="shared" si="4"/>
        <v>1</v>
      </c>
      <c r="AC37" s="713">
        <f t="shared" si="5"/>
        <v>1</v>
      </c>
    </row>
    <row r="38" spans="1:29" ht="15">
      <c r="A38" s="431"/>
      <c r="B38" s="381" t="s">
        <v>2409</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00"/>
      <c r="M38" s="2894"/>
      <c r="N38" s="2894"/>
      <c r="O38" s="2894"/>
      <c r="P38" s="3477" t="s">
        <v>2310</v>
      </c>
      <c r="Q38" s="1506" t="str">
        <f t="shared" si="11"/>
        <v>业态</v>
      </c>
      <c r="R38" s="714" t="s">
        <v>17</v>
      </c>
      <c r="S38" s="715">
        <f t="shared" si="12"/>
        <v>100</v>
      </c>
      <c r="T38" s="714" t="s">
        <v>17</v>
      </c>
      <c r="U38" s="715">
        <f t="shared" si="13"/>
        <v>100</v>
      </c>
      <c r="V38" s="714" t="s">
        <v>17</v>
      </c>
      <c r="W38" s="715">
        <f t="shared" si="14"/>
        <v>100</v>
      </c>
      <c r="X38" s="1509"/>
      <c r="Y38" s="3387" t="s">
        <v>2310</v>
      </c>
      <c r="Z38" s="1510" t="str">
        <f t="shared" si="15"/>
        <v>业态</v>
      </c>
      <c r="AA38" s="1507">
        <f t="shared" si="3"/>
        <v>1</v>
      </c>
      <c r="AB38" s="1507">
        <f t="shared" si="4"/>
        <v>1</v>
      </c>
      <c r="AC38" s="1507">
        <f t="shared" si="5"/>
        <v>1</v>
      </c>
    </row>
    <row r="39" spans="1:29" ht="15">
      <c r="A39" s="431"/>
      <c r="B39" s="381" t="s">
        <v>2410</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00"/>
      <c r="M39" s="2894"/>
      <c r="N39" s="2894"/>
      <c r="O39" s="2894"/>
      <c r="P39" s="3477"/>
      <c r="Q39" s="1506" t="str">
        <f t="shared" si="11"/>
        <v>层高</v>
      </c>
      <c r="R39" s="714" t="s">
        <v>17</v>
      </c>
      <c r="S39" s="715">
        <f t="shared" si="12"/>
        <v>100</v>
      </c>
      <c r="T39" s="714" t="s">
        <v>17</v>
      </c>
      <c r="U39" s="715">
        <f t="shared" si="13"/>
        <v>100</v>
      </c>
      <c r="V39" s="714" t="s">
        <v>17</v>
      </c>
      <c r="W39" s="715">
        <f t="shared" si="14"/>
        <v>100</v>
      </c>
      <c r="X39" s="1509"/>
      <c r="Y39" s="3387"/>
      <c r="Z39" s="1510" t="str">
        <f t="shared" si="15"/>
        <v>层高</v>
      </c>
      <c r="AA39" s="1507">
        <f t="shared" si="3"/>
        <v>1</v>
      </c>
      <c r="AB39" s="1507">
        <f t="shared" si="4"/>
        <v>1</v>
      </c>
      <c r="AC39" s="1507">
        <f t="shared" si="5"/>
        <v>1</v>
      </c>
    </row>
    <row r="40" spans="1:29" ht="15">
      <c r="A40" s="431"/>
      <c r="B40" s="381" t="s">
        <v>2411</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77"/>
      <c r="Q40" s="1506" t="str">
        <f t="shared" si="11"/>
        <v>单套建筑面积</v>
      </c>
      <c r="R40" s="714" t="s">
        <v>17</v>
      </c>
      <c r="S40" s="715">
        <f t="shared" si="12"/>
        <v>100</v>
      </c>
      <c r="T40" s="714" t="s">
        <v>17</v>
      </c>
      <c r="U40" s="715">
        <f t="shared" si="13"/>
        <v>100</v>
      </c>
      <c r="V40" s="714" t="s">
        <v>17</v>
      </c>
      <c r="W40" s="715">
        <f t="shared" si="14"/>
        <v>100</v>
      </c>
      <c r="X40" s="1509"/>
      <c r="Y40" s="3387"/>
      <c r="Z40" s="1510" t="str">
        <f t="shared" si="15"/>
        <v>单套建筑面积</v>
      </c>
      <c r="AA40" s="1507">
        <f t="shared" si="3"/>
        <v>1</v>
      </c>
      <c r="AB40" s="1507">
        <f t="shared" si="4"/>
        <v>1</v>
      </c>
      <c r="AC40" s="1507">
        <f t="shared" si="5"/>
        <v>1</v>
      </c>
    </row>
    <row r="41" spans="1:29" s="430" customFormat="1" ht="15">
      <c r="A41" s="427"/>
      <c r="B41" s="1508" t="s">
        <v>2412</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77"/>
      <c r="Q41" s="716" t="str">
        <f t="shared" si="11"/>
        <v>进深比</v>
      </c>
      <c r="R41" s="717" t="s">
        <v>17</v>
      </c>
      <c r="S41" s="718">
        <f t="shared" si="12"/>
        <v>100</v>
      </c>
      <c r="T41" s="717" t="s">
        <v>17</v>
      </c>
      <c r="U41" s="718">
        <f t="shared" si="13"/>
        <v>100</v>
      </c>
      <c r="V41" s="717" t="s">
        <v>17</v>
      </c>
      <c r="W41" s="718">
        <f t="shared" si="14"/>
        <v>100</v>
      </c>
      <c r="X41" s="719"/>
      <c r="Y41" s="3387"/>
      <c r="Z41" s="720" t="str">
        <f t="shared" si="15"/>
        <v>进深比</v>
      </c>
      <c r="AA41" s="1507">
        <f t="shared" si="3"/>
        <v>1</v>
      </c>
      <c r="AB41" s="1507">
        <f t="shared" si="4"/>
        <v>1</v>
      </c>
      <c r="AC41" s="1507">
        <f t="shared" si="5"/>
        <v>1</v>
      </c>
    </row>
    <row r="42" spans="1:29" ht="15">
      <c r="A42" s="431"/>
      <c r="B42" s="381" t="s">
        <v>2413</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00"/>
      <c r="M42" s="2894"/>
      <c r="N42" s="2894"/>
      <c r="O42" s="2894"/>
      <c r="P42" s="3477"/>
      <c r="Q42" s="1506" t="str">
        <f t="shared" si="11"/>
        <v>内部装修</v>
      </c>
      <c r="R42" s="714" t="s">
        <v>17</v>
      </c>
      <c r="S42" s="715">
        <f t="shared" si="12"/>
        <v>100</v>
      </c>
      <c r="T42" s="714" t="s">
        <v>17</v>
      </c>
      <c r="U42" s="715">
        <f t="shared" si="13"/>
        <v>100</v>
      </c>
      <c r="V42" s="714" t="s">
        <v>17</v>
      </c>
      <c r="W42" s="715">
        <f t="shared" si="14"/>
        <v>100</v>
      </c>
      <c r="X42" s="1509"/>
      <c r="Y42" s="3387"/>
      <c r="Z42" s="1510" t="str">
        <f t="shared" si="15"/>
        <v>内部装修</v>
      </c>
      <c r="AA42" s="1507">
        <f t="shared" si="3"/>
        <v>1</v>
      </c>
      <c r="AB42" s="1507">
        <f t="shared" si="4"/>
        <v>1</v>
      </c>
      <c r="AC42" s="1507">
        <f t="shared" si="5"/>
        <v>1</v>
      </c>
    </row>
    <row r="43" spans="1:29" ht="15">
      <c r="A43" s="431"/>
      <c r="B43" s="381" t="s">
        <v>2321</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00"/>
      <c r="M43" s="2894"/>
      <c r="N43" s="2894"/>
      <c r="O43" s="2894"/>
      <c r="P43" s="3477"/>
      <c r="Q43" s="1506" t="str">
        <f t="shared" si="11"/>
        <v>内部装修维护情况</v>
      </c>
      <c r="R43" s="714" t="s">
        <v>17</v>
      </c>
      <c r="S43" s="715">
        <f t="shared" si="12"/>
        <v>100</v>
      </c>
      <c r="T43" s="714" t="s">
        <v>17</v>
      </c>
      <c r="U43" s="715">
        <f t="shared" si="13"/>
        <v>100</v>
      </c>
      <c r="V43" s="714" t="s">
        <v>17</v>
      </c>
      <c r="W43" s="715">
        <f t="shared" si="14"/>
        <v>100</v>
      </c>
      <c r="X43" s="1509"/>
      <c r="Y43" s="3387"/>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77"/>
      <c r="Q44" s="1497">
        <f t="shared" si="11"/>
        <v>111</v>
      </c>
      <c r="R44" s="710" t="s">
        <v>17</v>
      </c>
      <c r="S44" s="711">
        <f t="shared" si="12"/>
        <v>100</v>
      </c>
      <c r="T44" s="710" t="s">
        <v>17</v>
      </c>
      <c r="U44" s="711">
        <f t="shared" si="13"/>
        <v>100</v>
      </c>
      <c r="V44" s="710" t="s">
        <v>17</v>
      </c>
      <c r="W44" s="711">
        <f t="shared" si="14"/>
        <v>100</v>
      </c>
      <c r="X44" s="712"/>
      <c r="Y44" s="3387"/>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77"/>
      <c r="Q45" s="1506">
        <f t="shared" si="11"/>
        <v>111</v>
      </c>
      <c r="R45" s="714" t="s">
        <v>17</v>
      </c>
      <c r="S45" s="715">
        <f t="shared" si="12"/>
        <v>100</v>
      </c>
      <c r="T45" s="714" t="s">
        <v>17</v>
      </c>
      <c r="U45" s="715">
        <f t="shared" si="13"/>
        <v>100</v>
      </c>
      <c r="V45" s="714" t="s">
        <v>17</v>
      </c>
      <c r="W45" s="715">
        <f t="shared" si="14"/>
        <v>100</v>
      </c>
      <c r="X45" s="1509"/>
      <c r="Y45" s="3387"/>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78"/>
      <c r="Q46" s="1506">
        <f t="shared" si="11"/>
        <v>111</v>
      </c>
      <c r="R46" s="714" t="s">
        <v>17</v>
      </c>
      <c r="S46" s="715">
        <f t="shared" si="12"/>
        <v>100</v>
      </c>
      <c r="T46" s="714" t="s">
        <v>17</v>
      </c>
      <c r="U46" s="715">
        <f t="shared" si="13"/>
        <v>100</v>
      </c>
      <c r="V46" s="714" t="s">
        <v>17</v>
      </c>
      <c r="W46" s="715">
        <f t="shared" si="14"/>
        <v>100</v>
      </c>
      <c r="X46" s="1509"/>
      <c r="Y46" s="3388"/>
      <c r="Z46" s="1510">
        <f t="shared" si="15"/>
        <v>111</v>
      </c>
      <c r="AA46" s="1507">
        <f t="shared" si="3"/>
        <v>1</v>
      </c>
      <c r="AB46" s="1507">
        <f t="shared" si="4"/>
        <v>1</v>
      </c>
      <c r="AC46" s="1507">
        <f t="shared" si="5"/>
        <v>1</v>
      </c>
    </row>
    <row r="47" spans="1:29" ht="15">
      <c r="A47" s="438" t="s">
        <v>2322</v>
      </c>
      <c r="B47" s="439"/>
      <c r="C47" s="1288" t="s">
        <v>1</v>
      </c>
      <c r="D47" s="1289"/>
      <c r="E47" s="1290"/>
      <c r="F47" s="1291"/>
      <c r="G47" s="1292"/>
      <c r="H47" s="1293"/>
      <c r="I47" s="1290"/>
      <c r="J47" s="1293"/>
      <c r="K47" s="723"/>
      <c r="L47" s="2902"/>
      <c r="M47" s="2903"/>
      <c r="N47" s="2894"/>
      <c r="O47" s="2903"/>
      <c r="P47" s="3379" t="str">
        <f>A47</f>
        <v>成交单价（元/平方米）</v>
      </c>
      <c r="Q47" s="3379"/>
      <c r="R47" s="3408">
        <f>E47</f>
        <v>0</v>
      </c>
      <c r="S47" s="3408"/>
      <c r="T47" s="3408">
        <f>G47</f>
        <v>0</v>
      </c>
      <c r="U47" s="3408"/>
      <c r="V47" s="3408">
        <f>I47</f>
        <v>0</v>
      </c>
      <c r="W47" s="3408"/>
      <c r="X47" s="699"/>
      <c r="Y47" s="721"/>
      <c r="Z47" s="699"/>
      <c r="AA47" s="699"/>
      <c r="AB47" s="699"/>
      <c r="AC47" s="699"/>
    </row>
    <row r="48" spans="1:29" ht="15.75" thickBot="1">
      <c r="A48" s="445" t="s">
        <v>2414</v>
      </c>
      <c r="B48" s="446"/>
      <c r="C48" s="1294" t="e">
        <f>R49</f>
        <v>#DIV/0!</v>
      </c>
      <c r="D48" s="2508" t="s">
        <v>2803</v>
      </c>
      <c r="E48" s="1295" t="e">
        <f>R48</f>
        <v>#DIV/0!</v>
      </c>
      <c r="F48" s="2509"/>
      <c r="G48" s="1294" t="e">
        <f>T48</f>
        <v>#DIV/0!</v>
      </c>
      <c r="H48" s="2509"/>
      <c r="I48" s="1295" t="e">
        <f>V48</f>
        <v>#DIV/0!</v>
      </c>
      <c r="J48" s="2509"/>
      <c r="K48" s="2511">
        <f>F48+H48+J48</f>
        <v>0</v>
      </c>
      <c r="L48" s="2902"/>
      <c r="M48" s="2903"/>
      <c r="N48" s="2894"/>
      <c r="O48" s="2903"/>
      <c r="P48" s="3379" t="str">
        <f>A48</f>
        <v>比较价值（元/平方米）</v>
      </c>
      <c r="Q48" s="3379"/>
      <c r="R48" s="3380" t="e">
        <f>IF(F1="售价",ROUND(PRODUCT(R47,AA7:AA46),0),ROUND(PRODUCT(R47,AA7:AA46),1))</f>
        <v>#DIV/0!</v>
      </c>
      <c r="S48" s="3380"/>
      <c r="T48" s="3380" t="e">
        <f>IF(F1="售价",ROUND(PRODUCT(T47,AB7:AB46),0),ROUND(PRODUCT(T47,AB7:AB46),1))</f>
        <v>#DIV/0!</v>
      </c>
      <c r="U48" s="3380"/>
      <c r="V48" s="3380" t="e">
        <f>IF(F1="售价",ROUND(PRODUCT(V47,AC7:AC46),0),ROUND(PRODUCT(V47,AC7:AC46),1))</f>
        <v>#DIV/0!</v>
      </c>
      <c r="W48" s="3380"/>
      <c r="X48" s="699"/>
      <c r="Y48" s="699"/>
      <c r="Z48" s="699"/>
      <c r="AA48" s="699"/>
      <c r="AB48" s="699"/>
      <c r="AC48" s="699"/>
    </row>
    <row r="49" spans="1:29" ht="15.75" thickBot="1">
      <c r="A49" s="449" t="s">
        <v>2415</v>
      </c>
      <c r="B49" s="450"/>
      <c r="C49" s="1297" t="e">
        <f>R49</f>
        <v>#DIV/0!</v>
      </c>
      <c r="D49" s="1297"/>
      <c r="E49" s="1297"/>
      <c r="F49" s="1297"/>
      <c r="G49" s="1297"/>
      <c r="H49" s="1297"/>
      <c r="I49" s="1297"/>
      <c r="J49" s="1297"/>
      <c r="K49" s="724"/>
      <c r="L49" s="2902"/>
      <c r="M49" s="2903"/>
      <c r="N49" s="2894"/>
      <c r="O49" s="2903"/>
      <c r="P49" s="3381" t="str">
        <f>A49</f>
        <v>估价对象XX用房的比较价值（楼面单价，元/平方米）</v>
      </c>
      <c r="Q49" s="3382"/>
      <c r="R49" s="3383" t="e">
        <f>IF(F1="售价",ROUND(IF(D48="简单平均",AVERAGE(R48:V48),R48*F48+T48*H48+V48*J48),0),ROUND(IF(D48="简单平均",AVERAGE(R48:V48),R48*F48+T48*H48+V48*J48),1))</f>
        <v>#DIV/0!</v>
      </c>
      <c r="S49" s="3383"/>
      <c r="T49" s="3383"/>
      <c r="U49" s="3383"/>
      <c r="V49" s="3383"/>
      <c r="W49" s="3383"/>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2416</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2417</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2418</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2419</v>
      </c>
      <c r="B57" s="699"/>
      <c r="C57" s="704"/>
      <c r="D57" s="704"/>
      <c r="E57" s="704"/>
      <c r="F57" s="705"/>
      <c r="G57" s="705"/>
      <c r="H57" s="704"/>
      <c r="I57" s="704"/>
      <c r="J57" s="704"/>
      <c r="K57" s="706"/>
      <c r="L57" s="1073"/>
      <c r="M57" s="1071"/>
      <c r="N57" s="1071"/>
      <c r="O57" s="1071"/>
      <c r="P57" s="2916"/>
      <c r="Q57" s="2917"/>
      <c r="R57" s="2903"/>
      <c r="S57" s="2903"/>
      <c r="T57" s="2903"/>
      <c r="U57" s="2903"/>
      <c r="V57" s="2903"/>
      <c r="W57" s="2903"/>
      <c r="X57" s="2903"/>
      <c r="Y57" s="2903"/>
      <c r="Z57" s="2903"/>
      <c r="AA57" s="2903"/>
      <c r="AB57" s="2903"/>
      <c r="AC57" s="2903"/>
    </row>
    <row r="58" spans="1:29" s="465" customFormat="1" ht="15">
      <c r="A58" s="462" t="s">
        <v>2293</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18"/>
      <c r="Q58" s="2919"/>
      <c r="R58" s="2919"/>
      <c r="S58" s="2919"/>
      <c r="T58" s="2919"/>
      <c r="U58" s="2919"/>
      <c r="V58" s="2919"/>
      <c r="W58" s="2919"/>
      <c r="X58" s="2919"/>
      <c r="Y58" s="2919"/>
      <c r="Z58" s="2919"/>
      <c r="AA58" s="2919"/>
      <c r="AB58" s="2919"/>
      <c r="AC58" s="2919"/>
    </row>
    <row r="59" spans="1:29" s="113" customFormat="1" ht="15">
      <c r="A59" s="466"/>
      <c r="B59" s="467"/>
      <c r="C59" s="1317">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2330</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2295</v>
      </c>
      <c r="B61" s="467"/>
      <c r="C61" s="479" t="s">
        <v>2397</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2333</v>
      </c>
      <c r="B63" s="485" t="s">
        <v>2299</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2302</v>
      </c>
      <c r="C65" s="496" t="s">
        <v>2334</v>
      </c>
      <c r="D65" s="496" t="s">
        <v>2335</v>
      </c>
      <c r="E65" s="496" t="s">
        <v>2336</v>
      </c>
      <c r="F65" s="496" t="s">
        <v>2337</v>
      </c>
      <c r="G65" s="496" t="s">
        <v>2338</v>
      </c>
      <c r="H65" s="496" t="s">
        <v>2339</v>
      </c>
      <c r="I65" s="496" t="s">
        <v>2340</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2303</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2304</v>
      </c>
      <c r="B76" s="485" t="s">
        <v>2341</v>
      </c>
      <c r="C76" s="530" t="s">
        <v>2342</v>
      </c>
      <c r="D76" s="530" t="s">
        <v>2343</v>
      </c>
      <c r="E76" s="530" t="s">
        <v>2344</v>
      </c>
      <c r="F76" s="530" t="s">
        <v>2345</v>
      </c>
      <c r="G76" s="530" t="s">
        <v>2346</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2347</v>
      </c>
      <c r="C78" s="535" t="s">
        <v>2342</v>
      </c>
      <c r="D78" s="535" t="s">
        <v>2343</v>
      </c>
      <c r="E78" s="535" t="s">
        <v>2344</v>
      </c>
      <c r="F78" s="535" t="s">
        <v>2345</v>
      </c>
      <c r="G78" s="535" t="s">
        <v>2346</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2348</v>
      </c>
      <c r="C80" s="535" t="s">
        <v>2342</v>
      </c>
      <c r="D80" s="535" t="s">
        <v>2343</v>
      </c>
      <c r="E80" s="535" t="s">
        <v>2344</v>
      </c>
      <c r="F80" s="535" t="s">
        <v>2345</v>
      </c>
      <c r="G80" s="535" t="s">
        <v>2346</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2400</v>
      </c>
      <c r="C82" s="616" t="s">
        <v>2420</v>
      </c>
      <c r="D82" s="616" t="s">
        <v>2421</v>
      </c>
      <c r="E82" s="616" t="s">
        <v>2422</v>
      </c>
      <c r="F82" s="616" t="s">
        <v>2423</v>
      </c>
      <c r="G82" s="616" t="s">
        <v>2424</v>
      </c>
      <c r="H82" s="496"/>
      <c r="I82" s="496"/>
      <c r="J82" s="496"/>
      <c r="K82" s="496"/>
      <c r="L82" s="496"/>
      <c r="M82" s="1263"/>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2354</v>
      </c>
      <c r="C84" s="535" t="s">
        <v>2342</v>
      </c>
      <c r="D84" s="535" t="s">
        <v>2343</v>
      </c>
      <c r="E84" s="535" t="s">
        <v>2344</v>
      </c>
      <c r="F84" s="535" t="s">
        <v>2345</v>
      </c>
      <c r="G84" s="535" t="s">
        <v>2346</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2425</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8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8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2308</v>
      </c>
      <c r="B100" s="485" t="s">
        <v>2426</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2358</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2359</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2361</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2363</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2427</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2428</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2429</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2430</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2365</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2366</v>
      </c>
      <c r="C124" s="535" t="s">
        <v>2342</v>
      </c>
      <c r="D124" s="535" t="s">
        <v>2343</v>
      </c>
      <c r="E124" s="535" t="s">
        <v>2344</v>
      </c>
      <c r="F124" s="535" t="s">
        <v>2345</v>
      </c>
      <c r="G124" s="535" t="s">
        <v>2346</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8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2273</v>
      </c>
      <c r="B1" s="2113" t="s">
        <v>2431</v>
      </c>
      <c r="C1" s="1364" t="s">
        <v>2275</v>
      </c>
      <c r="D1" s="1365"/>
      <c r="E1" s="1374"/>
      <c r="F1" s="2035"/>
      <c r="G1" s="1375" t="s">
        <v>2388</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2072</v>
      </c>
      <c r="B2" s="1298" t="e">
        <f ca="1">IF(C2="——",ROUND(C50*D3/10000,0),ROUND(C50*D3/10000,0)-D2)</f>
        <v>#DIV/0!</v>
      </c>
      <c r="C2" s="2037"/>
      <c r="D2" s="1247" t="e">
        <f ca="1">SUMIF(INDIRECT("'"&amp;F2&amp;"'"&amp;"!A:A"),"承租人权益价值",INDIRECT("'"&amp;F2&amp;"'"&amp;"!c:c"))</f>
        <v>#REF!</v>
      </c>
      <c r="E2" s="2038" t="s">
        <v>2073</v>
      </c>
      <c r="F2" s="2039"/>
      <c r="G2" s="1039"/>
      <c r="H2" s="1039"/>
      <c r="I2" s="1039"/>
      <c r="J2" s="1039"/>
      <c r="K2" s="1039"/>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2074</v>
      </c>
      <c r="B3" s="566" t="e">
        <f ca="1">IF(C2="——",C50,ROUND(B2*10000/D3,0))</f>
        <v>#DIV/0!</v>
      </c>
      <c r="C3" s="360" t="s">
        <v>2389</v>
      </c>
      <c r="D3" s="359">
        <f>IF(D1="",'数据-汇总表'!E3,SUMIF('数据-汇总表'!$C19:$C33,D1,'数据-汇总表'!$E19:$E33))</f>
        <v>2555.66</v>
      </c>
      <c r="E3" s="2110"/>
      <c r="F3" s="1040"/>
      <c r="G3" s="1039"/>
      <c r="H3" s="1039"/>
      <c r="I3" s="1039"/>
      <c r="J3" s="1039"/>
      <c r="K3" s="1041"/>
      <c r="L3" s="2912"/>
      <c r="M3" s="2913"/>
      <c r="N3" s="2913"/>
      <c r="O3" s="2913"/>
      <c r="P3" s="708"/>
      <c r="Q3" s="708"/>
      <c r="R3" s="708"/>
      <c r="S3" s="708"/>
      <c r="T3" s="708"/>
      <c r="U3" s="708"/>
      <c r="V3" s="708"/>
      <c r="W3" s="708"/>
      <c r="X3" s="708"/>
      <c r="Y3" s="708"/>
      <c r="Z3" s="708"/>
      <c r="AA3" s="708"/>
      <c r="AB3" s="708"/>
      <c r="AC3" s="709"/>
    </row>
    <row r="4" spans="1:29" ht="15">
      <c r="A4" s="361" t="s">
        <v>2390</v>
      </c>
      <c r="B4" s="362"/>
      <c r="C4" s="3392" t="s">
        <v>2391</v>
      </c>
      <c r="D4" s="3393"/>
      <c r="E4" s="3394" t="s">
        <v>2392</v>
      </c>
      <c r="F4" s="3395"/>
      <c r="G4" s="3392" t="s">
        <v>2393</v>
      </c>
      <c r="H4" s="3393"/>
      <c r="I4" s="3392" t="s">
        <v>2394</v>
      </c>
      <c r="J4" s="3393"/>
      <c r="K4" s="567" t="s">
        <v>2395</v>
      </c>
      <c r="L4" s="2893"/>
      <c r="M4" s="2894"/>
      <c r="N4" s="2894"/>
      <c r="O4" s="2894"/>
      <c r="P4" s="3489" t="s">
        <v>2396</v>
      </c>
      <c r="Q4" s="3490"/>
      <c r="R4" s="3493" t="s">
        <v>2392</v>
      </c>
      <c r="S4" s="3494"/>
      <c r="T4" s="3493" t="s">
        <v>2393</v>
      </c>
      <c r="U4" s="3494"/>
      <c r="V4" s="3495" t="s">
        <v>2394</v>
      </c>
      <c r="W4" s="3495"/>
      <c r="X4" s="2114"/>
      <c r="Y4" s="3493" t="s">
        <v>2396</v>
      </c>
      <c r="Z4" s="3494"/>
      <c r="AA4" s="3497" t="s">
        <v>2392</v>
      </c>
      <c r="AB4" s="3497" t="s">
        <v>2393</v>
      </c>
      <c r="AC4" s="3486" t="s">
        <v>2394</v>
      </c>
    </row>
    <row r="5" spans="1:29" ht="15">
      <c r="A5" s="364"/>
      <c r="B5" s="365"/>
      <c r="C5" s="3416" t="s">
        <v>2287</v>
      </c>
      <c r="D5" s="3412"/>
      <c r="E5" s="3482" t="s">
        <v>2288</v>
      </c>
      <c r="F5" s="3420"/>
      <c r="G5" s="3416" t="s">
        <v>2289</v>
      </c>
      <c r="H5" s="3412"/>
      <c r="I5" s="3416" t="s">
        <v>2290</v>
      </c>
      <c r="J5" s="3412"/>
      <c r="K5" s="567"/>
      <c r="L5" s="2893"/>
      <c r="M5" s="2894"/>
      <c r="N5" s="2894"/>
      <c r="O5" s="2894"/>
      <c r="P5" s="3491"/>
      <c r="Q5" s="3399"/>
      <c r="R5" s="3404"/>
      <c r="S5" s="3405"/>
      <c r="T5" s="3404"/>
      <c r="U5" s="3405"/>
      <c r="V5" s="3408"/>
      <c r="W5" s="3408"/>
      <c r="X5" s="1509"/>
      <c r="Y5" s="3404"/>
      <c r="Z5" s="3405"/>
      <c r="AA5" s="3390"/>
      <c r="AB5" s="3390"/>
      <c r="AC5" s="3487"/>
    </row>
    <row r="6" spans="1:29" ht="15.75" thickBot="1">
      <c r="A6" s="366"/>
      <c r="B6" s="367"/>
      <c r="C6" s="3409" t="s">
        <v>2291</v>
      </c>
      <c r="D6" s="3410"/>
      <c r="E6" s="3417" t="s">
        <v>2291</v>
      </c>
      <c r="F6" s="3418"/>
      <c r="G6" s="3409" t="s">
        <v>2291</v>
      </c>
      <c r="H6" s="3410"/>
      <c r="I6" s="3409" t="s">
        <v>2291</v>
      </c>
      <c r="J6" s="3410"/>
      <c r="K6" s="567" t="s">
        <v>2292</v>
      </c>
      <c r="L6" s="2893"/>
      <c r="M6" s="2894"/>
      <c r="N6" s="2894"/>
      <c r="O6" s="2894"/>
      <c r="P6" s="3492"/>
      <c r="Q6" s="3401"/>
      <c r="R6" s="3404"/>
      <c r="S6" s="3405"/>
      <c r="T6" s="3406"/>
      <c r="U6" s="3407"/>
      <c r="V6" s="3408"/>
      <c r="W6" s="3408"/>
      <c r="X6" s="1509"/>
      <c r="Y6" s="3406"/>
      <c r="Z6" s="3407"/>
      <c r="AA6" s="3391"/>
      <c r="AB6" s="3391"/>
      <c r="AC6" s="3488"/>
    </row>
    <row r="7" spans="1:29" s="113" customFormat="1" ht="15.75" thickBot="1">
      <c r="A7" s="368" t="s">
        <v>2293</v>
      </c>
      <c r="B7" s="369"/>
      <c r="C7" s="370">
        <f>'数据-取费表'!B2</f>
        <v>44628</v>
      </c>
      <c r="D7" s="371">
        <v>100</v>
      </c>
      <c r="E7" s="372"/>
      <c r="F7" s="373">
        <f>SUMIF(59:59,YEAR(E7)&amp;"-"&amp;MONTH(E7),60:60)</f>
        <v>0</v>
      </c>
      <c r="G7" s="372"/>
      <c r="H7" s="371">
        <f>SUMIF(59:59,YEAR(G7)&amp;"-"&amp;MONTH(G7),60:60)</f>
        <v>0</v>
      </c>
      <c r="I7" s="372"/>
      <c r="J7" s="371">
        <f>SUMIF(59:59,YEAR(I7)&amp;"-"&amp;MONTH(I7),60:60)</f>
        <v>0</v>
      </c>
      <c r="K7" s="568"/>
      <c r="L7" s="2895"/>
      <c r="M7" s="2896"/>
      <c r="N7" s="2896"/>
      <c r="O7" s="2896"/>
      <c r="P7" s="3496" t="s">
        <v>2294</v>
      </c>
      <c r="Q7" s="3415"/>
      <c r="R7" s="710" t="s">
        <v>17</v>
      </c>
      <c r="S7" s="711">
        <f t="shared" ref="S7:S15" si="0">F7</f>
        <v>0</v>
      </c>
      <c r="T7" s="710" t="s">
        <v>17</v>
      </c>
      <c r="U7" s="711">
        <f t="shared" ref="U7:U15" si="1">H7</f>
        <v>0</v>
      </c>
      <c r="V7" s="710" t="s">
        <v>17</v>
      </c>
      <c r="W7" s="711">
        <f t="shared" ref="W7:W15" si="2">J7</f>
        <v>0</v>
      </c>
      <c r="X7" s="712"/>
      <c r="Y7" s="3413" t="s">
        <v>2294</v>
      </c>
      <c r="Z7" s="3414"/>
      <c r="AA7" s="713" t="e">
        <f>D7/F7</f>
        <v>#DIV/0!</v>
      </c>
      <c r="AB7" s="713" t="e">
        <f>D7/H7</f>
        <v>#DIV/0!</v>
      </c>
      <c r="AC7" s="2115" t="e">
        <f>D7/J7</f>
        <v>#DIV/0!</v>
      </c>
    </row>
    <row r="8" spans="1:29" s="113" customFormat="1" ht="15.75" thickBot="1">
      <c r="A8" s="368" t="s">
        <v>2295</v>
      </c>
      <c r="B8" s="369"/>
      <c r="C8" s="374" t="s">
        <v>2397</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496" t="s">
        <v>2297</v>
      </c>
      <c r="Q8" s="3414"/>
      <c r="R8" s="710" t="s">
        <v>17</v>
      </c>
      <c r="S8" s="711">
        <f t="shared" si="0"/>
        <v>0</v>
      </c>
      <c r="T8" s="710" t="s">
        <v>17</v>
      </c>
      <c r="U8" s="711">
        <f t="shared" si="1"/>
        <v>0</v>
      </c>
      <c r="V8" s="710" t="s">
        <v>17</v>
      </c>
      <c r="W8" s="711">
        <f t="shared" si="2"/>
        <v>0</v>
      </c>
      <c r="X8" s="712"/>
      <c r="Y8" s="3413" t="s">
        <v>2297</v>
      </c>
      <c r="Z8" s="3414"/>
      <c r="AA8" s="713" t="e">
        <f t="shared" ref="AA8:AA47" si="3">D8/F8</f>
        <v>#DIV/0!</v>
      </c>
      <c r="AB8" s="713" t="e">
        <f t="shared" ref="AB8:AB47" si="4">D8/H8</f>
        <v>#DIV/0!</v>
      </c>
      <c r="AC8" s="2115" t="e">
        <f t="shared" ref="AC8:AC47" si="5">D8/J8</f>
        <v>#DIV/0!</v>
      </c>
    </row>
    <row r="9" spans="1:29" s="113" customFormat="1">
      <c r="A9" s="375" t="s">
        <v>2298</v>
      </c>
      <c r="B9" s="67" t="s">
        <v>2299</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81"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2115">
        <f t="shared" si="5"/>
        <v>1</v>
      </c>
    </row>
    <row r="10" spans="1:29" s="386" customFormat="1" ht="27">
      <c r="A10" s="380"/>
      <c r="B10" s="381" t="s">
        <v>2302</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81"/>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2115">
        <f t="shared" si="5"/>
        <v>1</v>
      </c>
    </row>
    <row r="11" spans="1:29" ht="15">
      <c r="A11" s="387"/>
      <c r="B11" s="381" t="s">
        <v>2303</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81"/>
      <c r="Q11" s="1497" t="str">
        <f t="shared" si="6"/>
        <v>容积率</v>
      </c>
      <c r="R11" s="710" t="s">
        <v>17</v>
      </c>
      <c r="S11" s="711" t="e">
        <f t="shared" si="0"/>
        <v>#N/A</v>
      </c>
      <c r="T11" s="710" t="s">
        <v>17</v>
      </c>
      <c r="U11" s="711" t="e">
        <f t="shared" si="1"/>
        <v>#N/A</v>
      </c>
      <c r="V11" s="710" t="s">
        <v>17</v>
      </c>
      <c r="W11" s="711" t="e">
        <f t="shared" si="2"/>
        <v>#N/A</v>
      </c>
      <c r="X11" s="712"/>
      <c r="Y11" s="3291"/>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895"/>
      <c r="M12" s="2896"/>
      <c r="N12" s="2896"/>
      <c r="O12" s="2896"/>
      <c r="P12" s="3481"/>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00"/>
      <c r="M13" s="2894"/>
      <c r="N13" s="2894"/>
      <c r="O13" s="2894"/>
      <c r="P13" s="3481"/>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00"/>
      <c r="M14" s="2894"/>
      <c r="N14" s="2894"/>
      <c r="O14" s="2894"/>
      <c r="P14" s="3481"/>
      <c r="Q14" s="1497">
        <f t="shared" si="6"/>
        <v>111</v>
      </c>
      <c r="R14" s="710" t="s">
        <v>17</v>
      </c>
      <c r="S14" s="711">
        <f t="shared" si="0"/>
        <v>100</v>
      </c>
      <c r="T14" s="710" t="s">
        <v>17</v>
      </c>
      <c r="U14" s="711">
        <f t="shared" si="1"/>
        <v>100</v>
      </c>
      <c r="V14" s="710" t="s">
        <v>17</v>
      </c>
      <c r="W14" s="711">
        <f t="shared" si="2"/>
        <v>100</v>
      </c>
      <c r="X14" s="712"/>
      <c r="Y14" s="3291"/>
      <c r="Z14" s="55">
        <f t="shared" si="7"/>
        <v>111</v>
      </c>
      <c r="AA14" s="713">
        <f t="shared" si="3"/>
        <v>1</v>
      </c>
      <c r="AB14" s="713">
        <f t="shared" si="4"/>
        <v>1</v>
      </c>
      <c r="AC14" s="2115">
        <f t="shared" si="5"/>
        <v>1</v>
      </c>
    </row>
    <row r="15" spans="1:29" ht="15">
      <c r="A15" s="399" t="s">
        <v>2304</v>
      </c>
      <c r="B15" s="585" t="s">
        <v>2432</v>
      </c>
      <c r="C15" s="211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479" t="s">
        <v>2305</v>
      </c>
      <c r="Q15" s="1506" t="str">
        <f t="shared" si="6"/>
        <v>办公集聚程度</v>
      </c>
      <c r="R15" s="714" t="s">
        <v>17</v>
      </c>
      <c r="S15" s="715">
        <f t="shared" si="0"/>
        <v>100</v>
      </c>
      <c r="T15" s="714" t="s">
        <v>17</v>
      </c>
      <c r="U15" s="715">
        <f t="shared" si="1"/>
        <v>100</v>
      </c>
      <c r="V15" s="714" t="s">
        <v>17</v>
      </c>
      <c r="W15" s="715">
        <f t="shared" si="2"/>
        <v>100</v>
      </c>
      <c r="X15" s="1509"/>
      <c r="Y15" s="3384" t="s">
        <v>2305</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00"/>
      <c r="M16" s="2894"/>
      <c r="N16" s="2894"/>
      <c r="O16" s="2894"/>
      <c r="P16" s="3480"/>
      <c r="Q16" s="1506"/>
      <c r="R16" s="714"/>
      <c r="S16" s="715"/>
      <c r="T16" s="714"/>
      <c r="U16" s="715"/>
      <c r="V16" s="714"/>
      <c r="W16" s="715"/>
      <c r="X16" s="1509"/>
      <c r="Y16" s="3385"/>
      <c r="Z16" s="1510"/>
      <c r="AA16" s="1507">
        <v>1</v>
      </c>
      <c r="AB16" s="1507">
        <v>1</v>
      </c>
      <c r="AC16" s="2118">
        <v>1</v>
      </c>
    </row>
    <row r="17" spans="1:29" ht="15">
      <c r="A17" s="387"/>
      <c r="B17" s="587" t="s">
        <v>1885</v>
      </c>
      <c r="C17" s="2119">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480"/>
      <c r="Q17" s="1506" t="str">
        <f>B17</f>
        <v>交通便捷度</v>
      </c>
      <c r="R17" s="714" t="s">
        <v>17</v>
      </c>
      <c r="S17" s="715">
        <f>F17</f>
        <v>100</v>
      </c>
      <c r="T17" s="714" t="s">
        <v>17</v>
      </c>
      <c r="U17" s="715">
        <f>H17</f>
        <v>100</v>
      </c>
      <c r="V17" s="714" t="s">
        <v>17</v>
      </c>
      <c r="W17" s="715">
        <f>J17</f>
        <v>100</v>
      </c>
      <c r="X17" s="1509"/>
      <c r="Y17" s="3385"/>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00"/>
      <c r="M18" s="2894"/>
      <c r="N18" s="2894"/>
      <c r="O18" s="2894"/>
      <c r="P18" s="3480"/>
      <c r="Q18" s="1506"/>
      <c r="R18" s="714"/>
      <c r="S18" s="715"/>
      <c r="T18" s="714"/>
      <c r="U18" s="715"/>
      <c r="V18" s="714"/>
      <c r="W18" s="715"/>
      <c r="X18" s="1509"/>
      <c r="Y18" s="3385"/>
      <c r="Z18" s="1510"/>
      <c r="AA18" s="1507">
        <v>1</v>
      </c>
      <c r="AB18" s="1507">
        <v>1</v>
      </c>
      <c r="AC18" s="2118">
        <v>1</v>
      </c>
    </row>
    <row r="19" spans="1:29" ht="15">
      <c r="A19" s="387"/>
      <c r="B19" s="587" t="s">
        <v>2433</v>
      </c>
      <c r="C19" s="2119">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480"/>
      <c r="Q19" s="1506" t="str">
        <f>B19</f>
        <v>公共配套设施</v>
      </c>
      <c r="R19" s="714" t="s">
        <v>17</v>
      </c>
      <c r="S19" s="715">
        <f>F19</f>
        <v>100</v>
      </c>
      <c r="T19" s="714" t="s">
        <v>17</v>
      </c>
      <c r="U19" s="715">
        <f>H19</f>
        <v>100</v>
      </c>
      <c r="V19" s="714" t="s">
        <v>17</v>
      </c>
      <c r="W19" s="715">
        <f>J19</f>
        <v>100</v>
      </c>
      <c r="X19" s="1509"/>
      <c r="Y19" s="3385"/>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00"/>
      <c r="M20" s="2894"/>
      <c r="N20" s="2894"/>
      <c r="O20" s="2894"/>
      <c r="P20" s="3480"/>
      <c r="Q20" s="1506"/>
      <c r="R20" s="714"/>
      <c r="S20" s="715"/>
      <c r="T20" s="714"/>
      <c r="U20" s="715"/>
      <c r="V20" s="714"/>
      <c r="W20" s="715"/>
      <c r="X20" s="1509"/>
      <c r="Y20" s="3385"/>
      <c r="Z20" s="1510"/>
      <c r="AA20" s="1507">
        <v>1</v>
      </c>
      <c r="AB20" s="1507">
        <v>1</v>
      </c>
      <c r="AC20" s="2118">
        <v>1</v>
      </c>
    </row>
    <row r="21" spans="1:29" ht="15">
      <c r="A21" s="387"/>
      <c r="B21" s="589" t="s">
        <v>2434</v>
      </c>
      <c r="C21" s="2119">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480"/>
      <c r="Q21" s="1506" t="str">
        <f>B21</f>
        <v>基础设施水平</v>
      </c>
      <c r="R21" s="714" t="s">
        <v>17</v>
      </c>
      <c r="S21" s="715">
        <f>F21</f>
        <v>100</v>
      </c>
      <c r="T21" s="714" t="s">
        <v>17</v>
      </c>
      <c r="U21" s="715">
        <f>H21</f>
        <v>100</v>
      </c>
      <c r="V21" s="714" t="s">
        <v>17</v>
      </c>
      <c r="W21" s="715">
        <f>J21</f>
        <v>100</v>
      </c>
      <c r="X21" s="1509"/>
      <c r="Y21" s="3385"/>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00"/>
      <c r="M22" s="2894"/>
      <c r="N22" s="2894"/>
      <c r="O22" s="2894"/>
      <c r="P22" s="3480"/>
      <c r="Q22" s="1506"/>
      <c r="R22" s="714"/>
      <c r="S22" s="715"/>
      <c r="T22" s="714"/>
      <c r="U22" s="715"/>
      <c r="V22" s="714"/>
      <c r="W22" s="715"/>
      <c r="X22" s="1509"/>
      <c r="Y22" s="3385"/>
      <c r="Z22" s="1510"/>
      <c r="AA22" s="1507">
        <v>1</v>
      </c>
      <c r="AB22" s="1507">
        <v>1</v>
      </c>
      <c r="AC22" s="2118">
        <v>1</v>
      </c>
    </row>
    <row r="23" spans="1:29" ht="15">
      <c r="A23" s="387"/>
      <c r="B23" s="587" t="s">
        <v>2435</v>
      </c>
      <c r="C23" s="2119">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480"/>
      <c r="Q23" s="1506" t="str">
        <f>B23</f>
        <v>环境质量</v>
      </c>
      <c r="R23" s="714" t="s">
        <v>17</v>
      </c>
      <c r="S23" s="715">
        <f>F23</f>
        <v>100</v>
      </c>
      <c r="T23" s="714" t="s">
        <v>17</v>
      </c>
      <c r="U23" s="715">
        <f>H23</f>
        <v>100</v>
      </c>
      <c r="V23" s="714" t="s">
        <v>17</v>
      </c>
      <c r="W23" s="715">
        <f>J23</f>
        <v>100</v>
      </c>
      <c r="X23" s="1509"/>
      <c r="Y23" s="3385"/>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00"/>
      <c r="M24" s="2894"/>
      <c r="N24" s="2894"/>
      <c r="O24" s="2894"/>
      <c r="P24" s="3480"/>
      <c r="Q24" s="1506"/>
      <c r="R24" s="714"/>
      <c r="S24" s="715"/>
      <c r="T24" s="714"/>
      <c r="U24" s="715"/>
      <c r="V24" s="714"/>
      <c r="W24" s="715"/>
      <c r="X24" s="1509"/>
      <c r="Y24" s="3385"/>
      <c r="Z24" s="1510"/>
      <c r="AA24" s="1507">
        <v>1</v>
      </c>
      <c r="AB24" s="1507">
        <v>1</v>
      </c>
      <c r="AC24" s="2118">
        <v>1</v>
      </c>
    </row>
    <row r="25" spans="1:29" ht="27">
      <c r="A25" s="364"/>
      <c r="B25" s="587" t="s">
        <v>2436</v>
      </c>
      <c r="C25" s="2064"/>
      <c r="D25" s="394">
        <v>100</v>
      </c>
      <c r="E25" s="393"/>
      <c r="F25" s="394">
        <f>SUMIF(87:87,E26,88:88)-SUMIF(87:87,C26,88:88)+100</f>
        <v>100</v>
      </c>
      <c r="G25" s="2064"/>
      <c r="H25" s="394">
        <f>SUMIF(87:87,G26,88:88)-SUMIF(87:87,C26,88:88)+100</f>
        <v>100</v>
      </c>
      <c r="I25" s="393"/>
      <c r="J25" s="394">
        <f>SUMIF(87:87,I26,88:88)-SUMIF(87:87,C26,88:88)+100</f>
        <v>100</v>
      </c>
      <c r="K25" s="571"/>
      <c r="L25" s="2900"/>
      <c r="M25" s="2894"/>
      <c r="N25" s="2894"/>
      <c r="O25" s="2894"/>
      <c r="P25" s="3480"/>
      <c r="Q25" s="1506" t="str">
        <f>B25</f>
        <v>毗邻道路的类型与等级</v>
      </c>
      <c r="R25" s="714" t="s">
        <v>17</v>
      </c>
      <c r="S25" s="715">
        <f>F25</f>
        <v>100</v>
      </c>
      <c r="T25" s="714" t="s">
        <v>17</v>
      </c>
      <c r="U25" s="715">
        <f>H25</f>
        <v>100</v>
      </c>
      <c r="V25" s="714" t="s">
        <v>17</v>
      </c>
      <c r="W25" s="715">
        <f>J25</f>
        <v>100</v>
      </c>
      <c r="X25" s="1509"/>
      <c r="Y25" s="3385"/>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00"/>
      <c r="M26" s="2894"/>
      <c r="N26" s="2894"/>
      <c r="O26" s="2894"/>
      <c r="P26" s="3480"/>
      <c r="Q26" s="1506"/>
      <c r="R26" s="714"/>
      <c r="S26" s="715"/>
      <c r="T26" s="714"/>
      <c r="U26" s="715"/>
      <c r="V26" s="714"/>
      <c r="W26" s="715"/>
      <c r="X26" s="1509"/>
      <c r="Y26" s="3385"/>
      <c r="Z26" s="1510"/>
      <c r="AA26" s="1507">
        <v>1</v>
      </c>
      <c r="AB26" s="1507">
        <v>1</v>
      </c>
      <c r="AC26" s="2118">
        <v>1</v>
      </c>
    </row>
    <row r="27" spans="1:29" ht="15">
      <c r="A27" s="387"/>
      <c r="B27" s="588" t="s">
        <v>2404</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80"/>
      <c r="Q27" s="1506" t="str">
        <f t="shared" ref="Q27:Q47" si="11">B27</f>
        <v>楼层</v>
      </c>
      <c r="R27" s="714" t="s">
        <v>17</v>
      </c>
      <c r="S27" s="715">
        <f>F27</f>
        <v>100</v>
      </c>
      <c r="T27" s="714" t="s">
        <v>17</v>
      </c>
      <c r="U27" s="715">
        <f>H27</f>
        <v>100</v>
      </c>
      <c r="V27" s="714" t="s">
        <v>17</v>
      </c>
      <c r="W27" s="715">
        <f>J27</f>
        <v>100</v>
      </c>
      <c r="X27" s="1509"/>
      <c r="Y27" s="3385"/>
      <c r="Z27" s="1510" t="str">
        <f>Q27</f>
        <v>楼层</v>
      </c>
      <c r="AA27" s="1507">
        <f t="shared" si="3"/>
        <v>1</v>
      </c>
      <c r="AB27" s="1507">
        <f t="shared" si="4"/>
        <v>1</v>
      </c>
      <c r="AC27" s="2118">
        <f t="shared" si="5"/>
        <v>1</v>
      </c>
    </row>
    <row r="28" spans="1:29" s="113" customFormat="1" ht="15">
      <c r="A28" s="390"/>
      <c r="B28" s="587" t="s">
        <v>2437</v>
      </c>
      <c r="C28" s="2121"/>
      <c r="D28" s="421">
        <v>100</v>
      </c>
      <c r="E28" s="2112"/>
      <c r="F28" s="421">
        <f>SUMIF(91:91,E28,92:92)-SUMIF(91:91,C28,92:92)+100</f>
        <v>100</v>
      </c>
      <c r="G28" s="2121"/>
      <c r="H28" s="421">
        <f>SUMIF(91:91,G28,92:92)-SUMIF(91:91,C28,92:92)+100</f>
        <v>100</v>
      </c>
      <c r="I28" s="2112"/>
      <c r="J28" s="421">
        <f>SUMIF(91:91,I28,92:92)-SUMIF(91:91,C28,92:92)+100</f>
        <v>100</v>
      </c>
      <c r="K28" s="569"/>
      <c r="L28" s="2895"/>
      <c r="M28" s="2896"/>
      <c r="N28" s="2896"/>
      <c r="O28" s="2896"/>
      <c r="P28" s="3480"/>
      <c r="Q28" s="1497" t="str">
        <f t="shared" si="11"/>
        <v>朝向</v>
      </c>
      <c r="R28" s="710" t="s">
        <v>17</v>
      </c>
      <c r="S28" s="711">
        <f>F28</f>
        <v>100</v>
      </c>
      <c r="T28" s="710" t="s">
        <v>17</v>
      </c>
      <c r="U28" s="711">
        <f>H28</f>
        <v>100</v>
      </c>
      <c r="V28" s="710" t="s">
        <v>17</v>
      </c>
      <c r="W28" s="711">
        <f>J28</f>
        <v>100</v>
      </c>
      <c r="X28" s="712"/>
      <c r="Y28" s="3385"/>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00"/>
      <c r="M29" s="2894"/>
      <c r="N29" s="2894"/>
      <c r="O29" s="2894"/>
      <c r="P29" s="3480"/>
      <c r="Q29" s="1506">
        <f t="shared" si="11"/>
        <v>111</v>
      </c>
      <c r="R29" s="714" t="s">
        <v>17</v>
      </c>
      <c r="S29" s="715">
        <f t="shared" ref="S29:S47" si="12">F29</f>
        <v>100</v>
      </c>
      <c r="T29" s="714" t="s">
        <v>17</v>
      </c>
      <c r="U29" s="715">
        <f t="shared" ref="U29:U47" si="13">H29</f>
        <v>100</v>
      </c>
      <c r="V29" s="714" t="s">
        <v>17</v>
      </c>
      <c r="W29" s="715">
        <f t="shared" ref="W29:W47" si="14">J29</f>
        <v>100</v>
      </c>
      <c r="X29" s="1509"/>
      <c r="Y29" s="3385"/>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00"/>
      <c r="M30" s="2894"/>
      <c r="N30" s="2894"/>
      <c r="O30" s="2894"/>
      <c r="P30" s="3480"/>
      <c r="Q30" s="1506">
        <f t="shared" si="11"/>
        <v>111</v>
      </c>
      <c r="R30" s="714" t="s">
        <v>17</v>
      </c>
      <c r="S30" s="715">
        <f t="shared" si="12"/>
        <v>100</v>
      </c>
      <c r="T30" s="714" t="s">
        <v>17</v>
      </c>
      <c r="U30" s="715">
        <f t="shared" si="13"/>
        <v>100</v>
      </c>
      <c r="V30" s="714" t="s">
        <v>17</v>
      </c>
      <c r="W30" s="715">
        <f t="shared" si="14"/>
        <v>100</v>
      </c>
      <c r="X30" s="1509"/>
      <c r="Y30" s="3385"/>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00"/>
      <c r="M31" s="2894"/>
      <c r="N31" s="2894"/>
      <c r="O31" s="2894"/>
      <c r="P31" s="3480"/>
      <c r="Q31" s="1506">
        <f t="shared" si="11"/>
        <v>111</v>
      </c>
      <c r="R31" s="714" t="s">
        <v>17</v>
      </c>
      <c r="S31" s="715">
        <f t="shared" si="12"/>
        <v>100</v>
      </c>
      <c r="T31" s="714" t="s">
        <v>17</v>
      </c>
      <c r="U31" s="715">
        <f t="shared" si="13"/>
        <v>100</v>
      </c>
      <c r="V31" s="714" t="s">
        <v>17</v>
      </c>
      <c r="W31" s="715">
        <f t="shared" si="14"/>
        <v>100</v>
      </c>
      <c r="X31" s="1509"/>
      <c r="Y31" s="3385"/>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00"/>
      <c r="M32" s="2894"/>
      <c r="N32" s="2894"/>
      <c r="O32" s="2894"/>
      <c r="P32" s="3480"/>
      <c r="Q32" s="1506">
        <f t="shared" si="11"/>
        <v>111</v>
      </c>
      <c r="R32" s="714" t="s">
        <v>17</v>
      </c>
      <c r="S32" s="715">
        <f t="shared" si="12"/>
        <v>100</v>
      </c>
      <c r="T32" s="714" t="s">
        <v>17</v>
      </c>
      <c r="U32" s="715">
        <f t="shared" si="13"/>
        <v>100</v>
      </c>
      <c r="V32" s="714" t="s">
        <v>17</v>
      </c>
      <c r="W32" s="715">
        <f t="shared" si="14"/>
        <v>100</v>
      </c>
      <c r="X32" s="1509"/>
      <c r="Y32" s="3385"/>
      <c r="Z32" s="1510">
        <f t="shared" si="15"/>
        <v>111</v>
      </c>
      <c r="AA32" s="1507">
        <f t="shared" si="3"/>
        <v>1</v>
      </c>
      <c r="AB32" s="1507">
        <f t="shared" si="4"/>
        <v>1</v>
      </c>
      <c r="AC32" s="2118">
        <f t="shared" si="5"/>
        <v>1</v>
      </c>
    </row>
    <row r="33" spans="1:29" ht="15">
      <c r="A33" s="399" t="s">
        <v>2308</v>
      </c>
      <c r="B33" s="67" t="s">
        <v>2438</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00"/>
      <c r="M33" s="2894"/>
      <c r="N33" s="2894"/>
      <c r="O33" s="2894"/>
      <c r="P33" s="3476" t="s">
        <v>2310</v>
      </c>
      <c r="Q33" s="1506" t="str">
        <f t="shared" si="11"/>
        <v>建筑类型</v>
      </c>
      <c r="R33" s="714" t="s">
        <v>17</v>
      </c>
      <c r="S33" s="715">
        <f t="shared" si="12"/>
        <v>100</v>
      </c>
      <c r="T33" s="714" t="s">
        <v>17</v>
      </c>
      <c r="U33" s="715">
        <f t="shared" si="13"/>
        <v>100</v>
      </c>
      <c r="V33" s="714" t="s">
        <v>17</v>
      </c>
      <c r="W33" s="715">
        <f t="shared" si="14"/>
        <v>100</v>
      </c>
      <c r="X33" s="1509"/>
      <c r="Y33" s="3387" t="s">
        <v>2310</v>
      </c>
      <c r="Z33" s="1510" t="str">
        <f t="shared" si="15"/>
        <v>建筑类型</v>
      </c>
      <c r="AA33" s="1507">
        <f t="shared" si="3"/>
        <v>1</v>
      </c>
      <c r="AB33" s="1507">
        <f t="shared" si="4"/>
        <v>1</v>
      </c>
      <c r="AC33" s="2118">
        <f t="shared" si="5"/>
        <v>1</v>
      </c>
    </row>
    <row r="34" spans="1:29" s="430" customFormat="1" ht="15">
      <c r="A34" s="427"/>
      <c r="B34" s="381" t="s">
        <v>2311</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77"/>
      <c r="Q34" s="716" t="str">
        <f t="shared" si="11"/>
        <v>项目建筑规模</v>
      </c>
      <c r="R34" s="717" t="s">
        <v>17</v>
      </c>
      <c r="S34" s="718" t="e">
        <f t="shared" si="12"/>
        <v>#N/A</v>
      </c>
      <c r="T34" s="717" t="s">
        <v>17</v>
      </c>
      <c r="U34" s="718" t="e">
        <f t="shared" si="13"/>
        <v>#N/A</v>
      </c>
      <c r="V34" s="717" t="s">
        <v>17</v>
      </c>
      <c r="W34" s="718" t="e">
        <f t="shared" si="14"/>
        <v>#N/A</v>
      </c>
      <c r="X34" s="719"/>
      <c r="Y34" s="3387"/>
      <c r="Z34" s="720" t="str">
        <f t="shared" si="15"/>
        <v>项目建筑规模</v>
      </c>
      <c r="AA34" s="1507" t="e">
        <f t="shared" si="3"/>
        <v>#N/A</v>
      </c>
      <c r="AB34" s="1507" t="e">
        <f t="shared" si="4"/>
        <v>#N/A</v>
      </c>
      <c r="AC34" s="2118" t="e">
        <f t="shared" si="5"/>
        <v>#N/A</v>
      </c>
    </row>
    <row r="35" spans="1:29" ht="15">
      <c r="A35" s="431"/>
      <c r="B35" s="381" t="s">
        <v>2312</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77"/>
      <c r="Q35" s="1506" t="str">
        <f t="shared" si="11"/>
        <v>建筑结构</v>
      </c>
      <c r="R35" s="714" t="s">
        <v>17</v>
      </c>
      <c r="S35" s="715">
        <f t="shared" si="12"/>
        <v>100</v>
      </c>
      <c r="T35" s="714" t="s">
        <v>17</v>
      </c>
      <c r="U35" s="715">
        <f t="shared" si="13"/>
        <v>100</v>
      </c>
      <c r="V35" s="714" t="s">
        <v>17</v>
      </c>
      <c r="W35" s="715">
        <f t="shared" si="14"/>
        <v>100</v>
      </c>
      <c r="X35" s="1509"/>
      <c r="Y35" s="3387"/>
      <c r="Z35" s="1510" t="str">
        <f t="shared" si="15"/>
        <v>建筑结构</v>
      </c>
      <c r="AA35" s="1507">
        <f t="shared" si="3"/>
        <v>1</v>
      </c>
      <c r="AB35" s="1507">
        <f t="shared" si="4"/>
        <v>1</v>
      </c>
      <c r="AC35" s="2118">
        <f t="shared" si="5"/>
        <v>1</v>
      </c>
    </row>
    <row r="36" spans="1:29" ht="15">
      <c r="A36" s="431"/>
      <c r="B36" s="381" t="s">
        <v>2406</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77"/>
      <c r="Q36" s="1506" t="str">
        <f t="shared" si="11"/>
        <v>公共部分装修</v>
      </c>
      <c r="R36" s="714" t="s">
        <v>17</v>
      </c>
      <c r="S36" s="715">
        <f t="shared" si="12"/>
        <v>100</v>
      </c>
      <c r="T36" s="714" t="s">
        <v>17</v>
      </c>
      <c r="U36" s="715">
        <f t="shared" si="13"/>
        <v>100</v>
      </c>
      <c r="V36" s="714" t="s">
        <v>17</v>
      </c>
      <c r="W36" s="715">
        <f t="shared" si="14"/>
        <v>100</v>
      </c>
      <c r="X36" s="1509"/>
      <c r="Y36" s="3387"/>
      <c r="Z36" s="1510" t="str">
        <f t="shared" si="15"/>
        <v>公共部分装修</v>
      </c>
      <c r="AA36" s="1507">
        <f t="shared" si="3"/>
        <v>1</v>
      </c>
      <c r="AB36" s="1507">
        <f t="shared" si="4"/>
        <v>1</v>
      </c>
      <c r="AC36" s="2118">
        <f t="shared" si="5"/>
        <v>1</v>
      </c>
    </row>
    <row r="37" spans="1:29" ht="15">
      <c r="A37" s="431"/>
      <c r="B37" s="381" t="s">
        <v>2407</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77"/>
      <c r="Q37" s="1506" t="str">
        <f t="shared" si="11"/>
        <v>成新度</v>
      </c>
      <c r="R37" s="714" t="s">
        <v>17</v>
      </c>
      <c r="S37" s="715" t="e">
        <f t="shared" si="12"/>
        <v>#N/A</v>
      </c>
      <c r="T37" s="714" t="s">
        <v>17</v>
      </c>
      <c r="U37" s="715" t="e">
        <f t="shared" si="13"/>
        <v>#N/A</v>
      </c>
      <c r="V37" s="714" t="s">
        <v>17</v>
      </c>
      <c r="W37" s="715" t="e">
        <f t="shared" si="14"/>
        <v>#N/A</v>
      </c>
      <c r="X37" s="1509"/>
      <c r="Y37" s="3387"/>
      <c r="Z37" s="1510" t="str">
        <f t="shared" si="15"/>
        <v>成新度</v>
      </c>
      <c r="AA37" s="1507" t="e">
        <f t="shared" si="3"/>
        <v>#N/A</v>
      </c>
      <c r="AB37" s="1507" t="e">
        <f t="shared" si="4"/>
        <v>#N/A</v>
      </c>
      <c r="AC37" s="2118" t="e">
        <f t="shared" si="5"/>
        <v>#N/A</v>
      </c>
    </row>
    <row r="38" spans="1:29" s="113" customFormat="1" ht="15">
      <c r="A38" s="432"/>
      <c r="B38" s="381" t="s">
        <v>2439</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77"/>
      <c r="Q38" s="1497" t="str">
        <f t="shared" si="11"/>
        <v>写字楼等级</v>
      </c>
      <c r="R38" s="710" t="s">
        <v>17</v>
      </c>
      <c r="S38" s="711">
        <f t="shared" si="12"/>
        <v>100</v>
      </c>
      <c r="T38" s="710" t="s">
        <v>17</v>
      </c>
      <c r="U38" s="711">
        <f t="shared" si="13"/>
        <v>100</v>
      </c>
      <c r="V38" s="710" t="s">
        <v>17</v>
      </c>
      <c r="W38" s="711">
        <f t="shared" si="14"/>
        <v>100</v>
      </c>
      <c r="X38" s="712"/>
      <c r="Y38" s="3387"/>
      <c r="Z38" s="55" t="str">
        <f t="shared" si="15"/>
        <v>写字楼等级</v>
      </c>
      <c r="AA38" s="713">
        <f t="shared" si="3"/>
        <v>1</v>
      </c>
      <c r="AB38" s="713">
        <f t="shared" si="4"/>
        <v>1</v>
      </c>
      <c r="AC38" s="2115">
        <f t="shared" si="5"/>
        <v>1</v>
      </c>
    </row>
    <row r="39" spans="1:29" ht="15">
      <c r="A39" s="431"/>
      <c r="B39" s="381" t="s">
        <v>2440</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77" t="s">
        <v>2310</v>
      </c>
      <c r="Q39" s="1506" t="str">
        <f t="shared" si="11"/>
        <v>物业管理</v>
      </c>
      <c r="R39" s="714" t="s">
        <v>17</v>
      </c>
      <c r="S39" s="715">
        <f t="shared" si="12"/>
        <v>100</v>
      </c>
      <c r="T39" s="714" t="s">
        <v>17</v>
      </c>
      <c r="U39" s="715">
        <f t="shared" si="13"/>
        <v>100</v>
      </c>
      <c r="V39" s="714" t="s">
        <v>17</v>
      </c>
      <c r="W39" s="715">
        <f t="shared" si="14"/>
        <v>100</v>
      </c>
      <c r="X39" s="1509"/>
      <c r="Y39" s="3387" t="s">
        <v>2310</v>
      </c>
      <c r="Z39" s="1510" t="str">
        <f t="shared" si="15"/>
        <v>物业管理</v>
      </c>
      <c r="AA39" s="1507">
        <f t="shared" si="3"/>
        <v>1</v>
      </c>
      <c r="AB39" s="1507">
        <f t="shared" si="4"/>
        <v>1</v>
      </c>
      <c r="AC39" s="2118">
        <f t="shared" si="5"/>
        <v>1</v>
      </c>
    </row>
    <row r="40" spans="1:29" ht="15">
      <c r="A40" s="431"/>
      <c r="B40" s="381" t="s">
        <v>2408</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77"/>
      <c r="Q40" s="1506" t="str">
        <f t="shared" si="11"/>
        <v>市政基础设施</v>
      </c>
      <c r="R40" s="714" t="s">
        <v>17</v>
      </c>
      <c r="S40" s="715">
        <f t="shared" si="12"/>
        <v>100</v>
      </c>
      <c r="T40" s="714" t="s">
        <v>17</v>
      </c>
      <c r="U40" s="715">
        <f t="shared" si="13"/>
        <v>100</v>
      </c>
      <c r="V40" s="714" t="s">
        <v>17</v>
      </c>
      <c r="W40" s="715">
        <f t="shared" si="14"/>
        <v>100</v>
      </c>
      <c r="X40" s="1509"/>
      <c r="Y40" s="3387"/>
      <c r="Z40" s="1510" t="str">
        <f t="shared" si="15"/>
        <v>市政基础设施</v>
      </c>
      <c r="AA40" s="1507">
        <f t="shared" si="3"/>
        <v>1</v>
      </c>
      <c r="AB40" s="1507">
        <f t="shared" si="4"/>
        <v>1</v>
      </c>
      <c r="AC40" s="2118">
        <f t="shared" si="5"/>
        <v>1</v>
      </c>
    </row>
    <row r="41" spans="1:29" ht="15">
      <c r="A41" s="431"/>
      <c r="B41" s="381" t="s">
        <v>2410</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77"/>
      <c r="Q41" s="1506" t="str">
        <f t="shared" si="11"/>
        <v>层高</v>
      </c>
      <c r="R41" s="714" t="s">
        <v>17</v>
      </c>
      <c r="S41" s="715">
        <f t="shared" si="12"/>
        <v>100</v>
      </c>
      <c r="T41" s="714" t="s">
        <v>17</v>
      </c>
      <c r="U41" s="715">
        <f t="shared" si="13"/>
        <v>100</v>
      </c>
      <c r="V41" s="714" t="s">
        <v>17</v>
      </c>
      <c r="W41" s="715">
        <f t="shared" si="14"/>
        <v>100</v>
      </c>
      <c r="X41" s="1509"/>
      <c r="Y41" s="3387"/>
      <c r="Z41" s="1510" t="str">
        <f t="shared" si="15"/>
        <v>层高</v>
      </c>
      <c r="AA41" s="1507">
        <f t="shared" si="3"/>
        <v>1</v>
      </c>
      <c r="AB41" s="1507">
        <f t="shared" si="4"/>
        <v>1</v>
      </c>
      <c r="AC41" s="2118">
        <f t="shared" si="5"/>
        <v>1</v>
      </c>
    </row>
    <row r="42" spans="1:29" s="430" customFormat="1" ht="15">
      <c r="A42" s="427"/>
      <c r="B42" s="1508" t="s">
        <v>2441</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77"/>
      <c r="Q42" s="716" t="str">
        <f t="shared" si="11"/>
        <v>单套建筑面积</v>
      </c>
      <c r="R42" s="717" t="s">
        <v>17</v>
      </c>
      <c r="S42" s="718">
        <f t="shared" si="12"/>
        <v>100</v>
      </c>
      <c r="T42" s="717" t="s">
        <v>17</v>
      </c>
      <c r="U42" s="718">
        <f t="shared" si="13"/>
        <v>100</v>
      </c>
      <c r="V42" s="717" t="s">
        <v>17</v>
      </c>
      <c r="W42" s="718">
        <f t="shared" si="14"/>
        <v>100</v>
      </c>
      <c r="X42" s="719"/>
      <c r="Y42" s="3387"/>
      <c r="Z42" s="720" t="str">
        <f t="shared" si="15"/>
        <v>单套建筑面积</v>
      </c>
      <c r="AA42" s="1507">
        <f t="shared" si="3"/>
        <v>1</v>
      </c>
      <c r="AB42" s="1507">
        <f t="shared" si="4"/>
        <v>1</v>
      </c>
      <c r="AC42" s="2118">
        <f t="shared" si="5"/>
        <v>1</v>
      </c>
    </row>
    <row r="43" spans="1:29" ht="15">
      <c r="A43" s="431"/>
      <c r="B43" s="381" t="s">
        <v>2413</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77"/>
      <c r="Q43" s="1506" t="str">
        <f t="shared" si="11"/>
        <v>内部装修</v>
      </c>
      <c r="R43" s="714" t="s">
        <v>17</v>
      </c>
      <c r="S43" s="715">
        <f t="shared" si="12"/>
        <v>100</v>
      </c>
      <c r="T43" s="714" t="s">
        <v>17</v>
      </c>
      <c r="U43" s="715">
        <f t="shared" si="13"/>
        <v>100</v>
      </c>
      <c r="V43" s="714" t="s">
        <v>17</v>
      </c>
      <c r="W43" s="715">
        <f t="shared" si="14"/>
        <v>100</v>
      </c>
      <c r="X43" s="1509"/>
      <c r="Y43" s="3387"/>
      <c r="Z43" s="1510" t="str">
        <f t="shared" si="15"/>
        <v>内部装修</v>
      </c>
      <c r="AA43" s="1507">
        <f t="shared" si="3"/>
        <v>1</v>
      </c>
      <c r="AB43" s="1507">
        <f t="shared" si="4"/>
        <v>1</v>
      </c>
      <c r="AC43" s="2118">
        <f t="shared" si="5"/>
        <v>1</v>
      </c>
    </row>
    <row r="44" spans="1:29" ht="15">
      <c r="A44" s="431"/>
      <c r="B44" s="381" t="s">
        <v>2321</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00"/>
      <c r="M44" s="2894"/>
      <c r="N44" s="2894"/>
      <c r="O44" s="2894"/>
      <c r="P44" s="3477"/>
      <c r="Q44" s="1506" t="str">
        <f t="shared" si="11"/>
        <v>内部装修维护情况</v>
      </c>
      <c r="R44" s="714" t="s">
        <v>17</v>
      </c>
      <c r="S44" s="715">
        <f t="shared" si="12"/>
        <v>100</v>
      </c>
      <c r="T44" s="714" t="s">
        <v>17</v>
      </c>
      <c r="U44" s="715">
        <f t="shared" si="13"/>
        <v>100</v>
      </c>
      <c r="V44" s="714" t="s">
        <v>17</v>
      </c>
      <c r="W44" s="715">
        <f t="shared" si="14"/>
        <v>100</v>
      </c>
      <c r="X44" s="1509"/>
      <c r="Y44" s="3387"/>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77"/>
      <c r="Q45" s="1497">
        <f t="shared" si="11"/>
        <v>111</v>
      </c>
      <c r="R45" s="710" t="s">
        <v>17</v>
      </c>
      <c r="S45" s="711">
        <f t="shared" si="12"/>
        <v>100</v>
      </c>
      <c r="T45" s="710" t="s">
        <v>17</v>
      </c>
      <c r="U45" s="711">
        <f t="shared" si="13"/>
        <v>100</v>
      </c>
      <c r="V45" s="710" t="s">
        <v>17</v>
      </c>
      <c r="W45" s="711">
        <f t="shared" si="14"/>
        <v>100</v>
      </c>
      <c r="X45" s="712"/>
      <c r="Y45" s="3387"/>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77"/>
      <c r="Q46" s="1506">
        <f t="shared" si="11"/>
        <v>111</v>
      </c>
      <c r="R46" s="714" t="s">
        <v>17</v>
      </c>
      <c r="S46" s="715">
        <f t="shared" si="12"/>
        <v>100</v>
      </c>
      <c r="T46" s="714" t="s">
        <v>17</v>
      </c>
      <c r="U46" s="715">
        <f t="shared" si="13"/>
        <v>100</v>
      </c>
      <c r="V46" s="714" t="s">
        <v>17</v>
      </c>
      <c r="W46" s="715">
        <f t="shared" si="14"/>
        <v>100</v>
      </c>
      <c r="X46" s="1509"/>
      <c r="Y46" s="3387"/>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78"/>
      <c r="Q47" s="1506">
        <f t="shared" si="11"/>
        <v>111</v>
      </c>
      <c r="R47" s="714" t="s">
        <v>17</v>
      </c>
      <c r="S47" s="715">
        <f t="shared" si="12"/>
        <v>100</v>
      </c>
      <c r="T47" s="714" t="s">
        <v>17</v>
      </c>
      <c r="U47" s="715">
        <f t="shared" si="13"/>
        <v>100</v>
      </c>
      <c r="V47" s="714" t="s">
        <v>17</v>
      </c>
      <c r="W47" s="715">
        <f t="shared" si="14"/>
        <v>100</v>
      </c>
      <c r="X47" s="1509"/>
      <c r="Y47" s="3388"/>
      <c r="Z47" s="1510">
        <f t="shared" si="15"/>
        <v>111</v>
      </c>
      <c r="AA47" s="1507">
        <f t="shared" si="3"/>
        <v>1</v>
      </c>
      <c r="AB47" s="1507">
        <f t="shared" si="4"/>
        <v>1</v>
      </c>
      <c r="AC47" s="2118">
        <f t="shared" si="5"/>
        <v>1</v>
      </c>
    </row>
    <row r="48" spans="1:29" ht="15">
      <c r="A48" s="438" t="s">
        <v>2322</v>
      </c>
      <c r="B48" s="439"/>
      <c r="C48" s="1288" t="s">
        <v>1</v>
      </c>
      <c r="D48" s="1289"/>
      <c r="E48" s="1290"/>
      <c r="F48" s="1291"/>
      <c r="G48" s="1292"/>
      <c r="H48" s="1293"/>
      <c r="I48" s="1290"/>
      <c r="J48" s="444"/>
      <c r="K48" s="723"/>
      <c r="L48" s="2902"/>
      <c r="M48" s="2894"/>
      <c r="N48" s="2894"/>
      <c r="O48" s="2894"/>
      <c r="P48" s="3481" t="str">
        <f>A48</f>
        <v>成交单价（元/平方米）</v>
      </c>
      <c r="Q48" s="3379"/>
      <c r="R48" s="3380">
        <f>E48</f>
        <v>0</v>
      </c>
      <c r="S48" s="3380"/>
      <c r="T48" s="3380">
        <f>G48</f>
        <v>0</v>
      </c>
      <c r="U48" s="3380"/>
      <c r="V48" s="3380">
        <f>I48</f>
        <v>0</v>
      </c>
      <c r="W48" s="3380"/>
      <c r="X48" s="405"/>
      <c r="Y48" s="721"/>
      <c r="Z48" s="405"/>
      <c r="AA48" s="405"/>
      <c r="AB48" s="405"/>
      <c r="AC48" s="586"/>
    </row>
    <row r="49" spans="1:29" ht="15.75" thickBot="1">
      <c r="A49" s="445" t="s">
        <v>2414</v>
      </c>
      <c r="B49" s="446"/>
      <c r="C49" s="1294" t="e">
        <f>R50</f>
        <v>#DIV/0!</v>
      </c>
      <c r="D49" s="2508" t="s">
        <v>2803</v>
      </c>
      <c r="E49" s="1295" t="e">
        <f>R49</f>
        <v>#DIV/0!</v>
      </c>
      <c r="F49" s="2509"/>
      <c r="G49" s="1294" t="e">
        <f>T49</f>
        <v>#DIV/0!</v>
      </c>
      <c r="H49" s="2509"/>
      <c r="I49" s="1295" t="e">
        <f>V49</f>
        <v>#DIV/0!</v>
      </c>
      <c r="J49" s="2509"/>
      <c r="K49" s="2511">
        <f>F49+H49+J49</f>
        <v>0</v>
      </c>
      <c r="L49" s="2902"/>
      <c r="M49" s="2894"/>
      <c r="N49" s="2894"/>
      <c r="O49" s="2894"/>
      <c r="P49" s="3481" t="str">
        <f>A49</f>
        <v>比较价值（元/平方米）</v>
      </c>
      <c r="Q49" s="3379"/>
      <c r="R49" s="3380" t="e">
        <f>IF(F1="售价",ROUND(PRODUCT(R48,AA7:AA47),0),ROUND(PRODUCT(R48,AA7:AA47),1))</f>
        <v>#DIV/0!</v>
      </c>
      <c r="S49" s="3380"/>
      <c r="T49" s="3380" t="e">
        <f>IF(F1="售价",ROUND(PRODUCT(T48,AB7:AB47),0),ROUND(PRODUCT(T48,AB7:AB47),1))</f>
        <v>#DIV/0!</v>
      </c>
      <c r="U49" s="3380"/>
      <c r="V49" s="3380" t="e">
        <f>IF(F1="售价",ROUND(PRODUCT(V48,AC7:AC47),0),ROUND(PRODUCT(V48,AC7:AC47),1))</f>
        <v>#DIV/0!</v>
      </c>
      <c r="W49" s="3380"/>
      <c r="X49" s="405"/>
      <c r="Y49" s="405"/>
      <c r="Z49" s="405"/>
      <c r="AA49" s="405"/>
      <c r="AB49" s="405"/>
      <c r="AC49" s="586"/>
    </row>
    <row r="50" spans="1:29" ht="15.75" thickBot="1">
      <c r="A50" s="449" t="s">
        <v>2415</v>
      </c>
      <c r="B50" s="450"/>
      <c r="C50" s="1297" t="e">
        <f>R50</f>
        <v>#DIV/0!</v>
      </c>
      <c r="D50" s="1297"/>
      <c r="E50" s="1297"/>
      <c r="F50" s="1297"/>
      <c r="G50" s="1297"/>
      <c r="H50" s="1297"/>
      <c r="I50" s="1297"/>
      <c r="J50" s="451"/>
      <c r="K50" s="724"/>
      <c r="L50" s="2902"/>
      <c r="M50" s="2894"/>
      <c r="N50" s="2894"/>
      <c r="O50" s="2894"/>
      <c r="P50" s="3483" t="str">
        <f>A50</f>
        <v>估价对象XX用房的比较价值（楼面单价，元/平方米）</v>
      </c>
      <c r="Q50" s="3484"/>
      <c r="R50" s="3485" t="e">
        <f>IF(F1="售价",ROUND(IF(D49="简单平均",AVERAGE(R49:V49),R49*F49+T49*H49+V49*J49),0),ROUND(IF(D49="简单平均",AVERAGE(R49:V49),R49*F49+T49*H49+V49*J49),1))</f>
        <v>#DIV/0!</v>
      </c>
      <c r="S50" s="3485"/>
      <c r="T50" s="3485"/>
      <c r="U50" s="3485"/>
      <c r="V50" s="3485"/>
      <c r="W50" s="3485"/>
      <c r="X50" s="2102"/>
      <c r="Y50" s="2102"/>
      <c r="Z50" s="2102"/>
      <c r="AA50" s="2102"/>
      <c r="AB50" s="2102"/>
      <c r="AC50" s="210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2416</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2417</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2418</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2419</v>
      </c>
      <c r="B58" s="699"/>
      <c r="C58" s="704"/>
      <c r="D58" s="704"/>
      <c r="E58" s="704"/>
      <c r="F58" s="705"/>
      <c r="G58" s="705"/>
      <c r="H58" s="704"/>
      <c r="I58" s="704"/>
      <c r="J58" s="704"/>
      <c r="K58" s="706"/>
      <c r="L58" s="1073"/>
      <c r="M58" s="1071"/>
      <c r="N58" s="2947"/>
      <c r="O58" s="2947"/>
      <c r="P58" s="2936"/>
      <c r="Q58" s="2917"/>
      <c r="R58" s="2903"/>
      <c r="S58" s="2903"/>
      <c r="T58" s="2903"/>
      <c r="U58" s="2903"/>
      <c r="V58" s="2903"/>
      <c r="W58" s="2903"/>
      <c r="X58" s="2903"/>
      <c r="Y58" s="2903"/>
      <c r="Z58" s="2903"/>
      <c r="AA58" s="2903"/>
      <c r="AB58" s="2903"/>
      <c r="AC58" s="2903"/>
    </row>
    <row r="59" spans="1:29" s="465" customFormat="1" ht="15">
      <c r="A59" s="462" t="s">
        <v>2293</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37"/>
      <c r="Q59" s="2919"/>
      <c r="R59" s="2919"/>
      <c r="S59" s="2919"/>
      <c r="T59" s="2919"/>
      <c r="U59" s="2919"/>
      <c r="V59" s="2919"/>
      <c r="W59" s="2919"/>
      <c r="X59" s="2919"/>
      <c r="Y59" s="2919"/>
      <c r="Z59" s="2919"/>
      <c r="AA59" s="2919"/>
      <c r="AB59" s="2919"/>
      <c r="AC59" s="2919"/>
    </row>
    <row r="60" spans="1:29" s="113" customFormat="1" ht="15">
      <c r="A60" s="466"/>
      <c r="B60" s="467"/>
      <c r="C60" s="131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2330</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2295</v>
      </c>
      <c r="B62" s="467"/>
      <c r="C62" s="479" t="s">
        <v>2397</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2333</v>
      </c>
      <c r="B64" s="485" t="s">
        <v>2299</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2302</v>
      </c>
      <c r="C66" s="496" t="s">
        <v>2334</v>
      </c>
      <c r="D66" s="496" t="s">
        <v>2335</v>
      </c>
      <c r="E66" s="496" t="s">
        <v>2336</v>
      </c>
      <c r="F66" s="496" t="s">
        <v>2337</v>
      </c>
      <c r="G66" s="496" t="s">
        <v>2338</v>
      </c>
      <c r="H66" s="496" t="s">
        <v>2339</v>
      </c>
      <c r="I66" s="496" t="s">
        <v>2340</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2303</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2304</v>
      </c>
      <c r="B77" s="485" t="s">
        <v>2442</v>
      </c>
      <c r="C77" s="530" t="s">
        <v>2342</v>
      </c>
      <c r="D77" s="530" t="s">
        <v>2343</v>
      </c>
      <c r="E77" s="530" t="s">
        <v>2344</v>
      </c>
      <c r="F77" s="530" t="s">
        <v>2345</v>
      </c>
      <c r="G77" s="530" t="s">
        <v>2346</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2347</v>
      </c>
      <c r="C79" s="535" t="s">
        <v>2342</v>
      </c>
      <c r="D79" s="535" t="s">
        <v>2343</v>
      </c>
      <c r="E79" s="535" t="s">
        <v>2344</v>
      </c>
      <c r="F79" s="535" t="s">
        <v>2345</v>
      </c>
      <c r="G79" s="535" t="s">
        <v>2346</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2348</v>
      </c>
      <c r="C81" s="535" t="s">
        <v>2342</v>
      </c>
      <c r="D81" s="535" t="s">
        <v>2343</v>
      </c>
      <c r="E81" s="535" t="s">
        <v>2344</v>
      </c>
      <c r="F81" s="535" t="s">
        <v>2345</v>
      </c>
      <c r="G81" s="535" t="s">
        <v>2346</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2434</v>
      </c>
      <c r="C83" s="616" t="s">
        <v>2420</v>
      </c>
      <c r="D83" s="616" t="s">
        <v>2421</v>
      </c>
      <c r="E83" s="616" t="s">
        <v>2422</v>
      </c>
      <c r="F83" s="616" t="s">
        <v>2423</v>
      </c>
      <c r="G83" s="616" t="s">
        <v>2424</v>
      </c>
      <c r="H83" s="496"/>
      <c r="I83" s="496"/>
      <c r="J83" s="496"/>
      <c r="K83" s="496"/>
      <c r="L83" s="496"/>
      <c r="M83" s="1263"/>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2443</v>
      </c>
      <c r="C85" s="535" t="s">
        <v>2342</v>
      </c>
      <c r="D85" s="535" t="s">
        <v>2343</v>
      </c>
      <c r="E85" s="535" t="s">
        <v>2344</v>
      </c>
      <c r="F85" s="535" t="s">
        <v>2345</v>
      </c>
      <c r="G85" s="535" t="s">
        <v>2346</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2444</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8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8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2308</v>
      </c>
      <c r="B101" s="485" t="s">
        <v>2357</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2358</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2359</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2361</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2445</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2362</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2363</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2446</v>
      </c>
      <c r="C119" s="540"/>
      <c r="D119" s="540"/>
      <c r="E119" s="540"/>
      <c r="F119" s="540"/>
      <c r="G119" s="540"/>
      <c r="H119" s="540"/>
      <c r="I119" s="540"/>
      <c r="J119" s="540"/>
      <c r="K119" s="540"/>
      <c r="L119" s="2124"/>
      <c r="M119" s="212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2429</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2365</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2366</v>
      </c>
      <c r="C125" s="535" t="s">
        <v>2342</v>
      </c>
      <c r="D125" s="535" t="s">
        <v>2343</v>
      </c>
      <c r="E125" s="535" t="s">
        <v>2344</v>
      </c>
      <c r="F125" s="535" t="s">
        <v>2345</v>
      </c>
      <c r="G125" s="535" t="s">
        <v>2346</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8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20" stopIfTrue="1" operator="containsText" text="超过">
      <formula>NOT(ISERROR(SEARCH("超过",F53)))</formula>
    </cfRule>
  </conditionalFormatting>
  <conditionalFormatting sqref="H55">
    <cfRule type="containsText" dxfId="91" priority="19" stopIfTrue="1" operator="containsText" text="超过">
      <formula>NOT(ISERROR(SEARCH("超过",H55)))</formula>
    </cfRule>
  </conditionalFormatting>
  <conditionalFormatting sqref="F55">
    <cfRule type="containsText" dxfId="90" priority="18" stopIfTrue="1" operator="containsText" text="超过">
      <formula>NOT(ISERROR(SEARCH("超过",F55)))</formula>
    </cfRule>
  </conditionalFormatting>
  <conditionalFormatting sqref="F54 H54">
    <cfRule type="containsText" dxfId="89" priority="17" stopIfTrue="1" operator="containsText" text="超过">
      <formula>NOT(ISERROR(SEARCH("超过",F54)))</formula>
    </cfRule>
  </conditionalFormatting>
  <conditionalFormatting sqref="E53">
    <cfRule type="expression" dxfId="88" priority="16" stopIfTrue="1">
      <formula>$F$53="超过30%"</formula>
    </cfRule>
  </conditionalFormatting>
  <conditionalFormatting sqref="E54">
    <cfRule type="expression" dxfId="87" priority="15" stopIfTrue="1">
      <formula>$F$54="超过20%"</formula>
    </cfRule>
  </conditionalFormatting>
  <conditionalFormatting sqref="E55">
    <cfRule type="expression" dxfId="86" priority="14" stopIfTrue="1">
      <formula>$F$55="超过30%"</formula>
    </cfRule>
  </conditionalFormatting>
  <conditionalFormatting sqref="G55">
    <cfRule type="expression" dxfId="85" priority="13" stopIfTrue="1">
      <formula>$H$55="超过30%"</formula>
    </cfRule>
  </conditionalFormatting>
  <conditionalFormatting sqref="G53">
    <cfRule type="expression" dxfId="84" priority="12" stopIfTrue="1">
      <formula>$H$53="超过30%"</formula>
    </cfRule>
  </conditionalFormatting>
  <conditionalFormatting sqref="G54">
    <cfRule type="expression" dxfId="83" priority="11" stopIfTrue="1">
      <formula>$H$54="超过20%"</formula>
    </cfRule>
  </conditionalFormatting>
  <conditionalFormatting sqref="J53">
    <cfRule type="containsText" dxfId="82" priority="10" stopIfTrue="1" operator="containsText" text="超过">
      <formula>NOT(ISERROR(SEARCH("超过",J53)))</formula>
    </cfRule>
  </conditionalFormatting>
  <conditionalFormatting sqref="J55">
    <cfRule type="containsText" dxfId="81" priority="9" stopIfTrue="1" operator="containsText" text="超过">
      <formula>NOT(ISERROR(SEARCH("超过",J55)))</formula>
    </cfRule>
  </conditionalFormatting>
  <conditionalFormatting sqref="J54">
    <cfRule type="containsText" dxfId="80" priority="8" stopIfTrue="1" operator="containsText" text="超过">
      <formula>NOT(ISERROR(SEARCH("超过",J54)))</formula>
    </cfRule>
  </conditionalFormatting>
  <conditionalFormatting sqref="I53">
    <cfRule type="expression" dxfId="79" priority="7" stopIfTrue="1">
      <formula>$J$53="超过30%"</formula>
    </cfRule>
  </conditionalFormatting>
  <conditionalFormatting sqref="I54">
    <cfRule type="expression" dxfId="78" priority="6" stopIfTrue="1">
      <formula>$J$53+$J$54="超过20%"</formula>
    </cfRule>
  </conditionalFormatting>
  <conditionalFormatting sqref="I55">
    <cfRule type="expression" dxfId="77" priority="5" stopIfTrue="1">
      <formula>$J$55="超过30%"</formula>
    </cfRule>
  </conditionalFormatting>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F7:F47 H7:H47 J7:J47">
    <cfRule type="cellIs" dxfId="7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2452</v>
      </c>
      <c r="B1" s="1363"/>
      <c r="C1" s="1364" t="s">
        <v>2275</v>
      </c>
      <c r="D1" s="1365"/>
      <c r="E1" s="1366"/>
      <c r="F1" s="2035"/>
      <c r="G1" s="1367" t="s">
        <v>2388</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2072</v>
      </c>
      <c r="B2" s="1298" t="e">
        <f ca="1">IF(C2="——",IF(B37="元/平方米",ROUND(C39*D3/10000,0),ROUND(F3*C39/10000,0)),IF(B37="元/平方米",ROUND(C39*D3/10000,0),ROUND(F3*C39/10000,0))-D2)</f>
        <v>#DIV/0!</v>
      </c>
      <c r="C2" s="2037"/>
      <c r="D2" s="1038" t="e">
        <f ca="1">SUMIF(INDIRECT("'"&amp;F2&amp;"'"&amp;"!A:A"),"承租人权益价值",INDIRECT("'"&amp;F2&amp;"'"&amp;"!c:c"))</f>
        <v>#REF!</v>
      </c>
      <c r="E2" s="2038" t="s">
        <v>2073</v>
      </c>
      <c r="F2" s="2039"/>
      <c r="G2" s="1039"/>
      <c r="H2" s="1039"/>
      <c r="I2" s="1039"/>
      <c r="J2" s="1039"/>
      <c r="K2" s="1041"/>
      <c r="L2" s="2912"/>
      <c r="M2" s="2913"/>
      <c r="N2" s="2913"/>
      <c r="O2" s="2913"/>
      <c r="P2" s="1299"/>
      <c r="Q2" s="708"/>
      <c r="R2" s="708"/>
      <c r="S2" s="708"/>
      <c r="T2" s="708"/>
      <c r="U2" s="708"/>
      <c r="V2" s="708"/>
      <c r="W2" s="708"/>
      <c r="X2" s="708"/>
      <c r="Y2" s="708"/>
      <c r="Z2" s="708"/>
      <c r="AA2" s="708"/>
      <c r="AB2" s="708"/>
      <c r="AC2" s="709"/>
    </row>
    <row r="3" spans="1:29" s="358" customFormat="1" ht="28.5" customHeight="1" thickBot="1">
      <c r="A3" s="209" t="s">
        <v>2074</v>
      </c>
      <c r="B3" s="566" t="e">
        <f ca="1">IF(AND(C2="——",B37="元/平方米"),C39,ROUND(B2*10000/D3,0))</f>
        <v>#DIV/0!</v>
      </c>
      <c r="C3" s="360" t="s">
        <v>2389</v>
      </c>
      <c r="D3" s="359">
        <f>SUMIF('数据-汇总表'!$C19:$C33,D1,'数据-汇总表'!$E19:$E33)</f>
        <v>0</v>
      </c>
      <c r="E3" s="360" t="s">
        <v>2453</v>
      </c>
      <c r="F3" s="359">
        <f>SUMIF('数据-取费表'!A5:A15,D1,'数据-取费表'!AH5:AH15)</f>
        <v>0</v>
      </c>
      <c r="G3" s="1039"/>
      <c r="H3" s="1039"/>
      <c r="I3" s="1039"/>
      <c r="J3" s="1039"/>
      <c r="K3" s="1041"/>
      <c r="L3" s="2912"/>
      <c r="M3" s="2913"/>
      <c r="N3" s="2913"/>
      <c r="O3" s="2913"/>
      <c r="P3" s="1299"/>
      <c r="Q3" s="708"/>
      <c r="R3" s="708"/>
      <c r="S3" s="708"/>
      <c r="T3" s="708"/>
      <c r="U3" s="708"/>
      <c r="V3" s="708"/>
      <c r="W3" s="708"/>
      <c r="X3" s="708"/>
      <c r="Y3" s="708"/>
      <c r="Z3" s="708"/>
      <c r="AA3" s="708"/>
      <c r="AB3" s="725"/>
      <c r="AC3" s="722"/>
    </row>
    <row r="4" spans="1:29" ht="15">
      <c r="A4" s="361" t="s">
        <v>2390</v>
      </c>
      <c r="B4" s="362"/>
      <c r="C4" s="3392" t="s">
        <v>2391</v>
      </c>
      <c r="D4" s="3393"/>
      <c r="E4" s="3394" t="s">
        <v>2392</v>
      </c>
      <c r="F4" s="3395"/>
      <c r="G4" s="3392" t="s">
        <v>2393</v>
      </c>
      <c r="H4" s="3393"/>
      <c r="I4" s="3392" t="s">
        <v>2394</v>
      </c>
      <c r="J4" s="3393"/>
      <c r="K4" s="567" t="s">
        <v>2395</v>
      </c>
      <c r="L4" s="2893"/>
      <c r="M4" s="2894"/>
      <c r="N4" s="2894"/>
      <c r="O4" s="2894"/>
      <c r="P4" s="3396" t="s">
        <v>2396</v>
      </c>
      <c r="Q4" s="3397"/>
      <c r="R4" s="3402" t="s">
        <v>2392</v>
      </c>
      <c r="S4" s="3403"/>
      <c r="T4" s="3402" t="s">
        <v>2393</v>
      </c>
      <c r="U4" s="3403"/>
      <c r="V4" s="3408" t="s">
        <v>2394</v>
      </c>
      <c r="W4" s="3408"/>
      <c r="X4" s="1509"/>
      <c r="Y4" s="3402" t="s">
        <v>2396</v>
      </c>
      <c r="Z4" s="3403"/>
      <c r="AA4" s="3389" t="s">
        <v>2392</v>
      </c>
      <c r="AB4" s="3390" t="s">
        <v>2393</v>
      </c>
      <c r="AC4" s="3389" t="s">
        <v>2394</v>
      </c>
    </row>
    <row r="5" spans="1:29" ht="15">
      <c r="A5" s="364"/>
      <c r="B5" s="365"/>
      <c r="C5" s="3416" t="s">
        <v>2287</v>
      </c>
      <c r="D5" s="3412"/>
      <c r="E5" s="3482" t="s">
        <v>2288</v>
      </c>
      <c r="F5" s="3420"/>
      <c r="G5" s="3416" t="s">
        <v>2289</v>
      </c>
      <c r="H5" s="3412"/>
      <c r="I5" s="3416" t="s">
        <v>2290</v>
      </c>
      <c r="J5" s="3412"/>
      <c r="K5" s="567"/>
      <c r="L5" s="2893"/>
      <c r="M5" s="2894"/>
      <c r="N5" s="2894"/>
      <c r="O5" s="2894"/>
      <c r="P5" s="3398"/>
      <c r="Q5" s="3399"/>
      <c r="R5" s="3404"/>
      <c r="S5" s="3405"/>
      <c r="T5" s="3404"/>
      <c r="U5" s="3405"/>
      <c r="V5" s="3408"/>
      <c r="W5" s="3408"/>
      <c r="X5" s="1509"/>
      <c r="Y5" s="3404"/>
      <c r="Z5" s="3405"/>
      <c r="AA5" s="3390"/>
      <c r="AB5" s="3390"/>
      <c r="AC5" s="3390"/>
    </row>
    <row r="6" spans="1:29" ht="15.75" thickBot="1">
      <c r="A6" s="366"/>
      <c r="B6" s="367"/>
      <c r="C6" s="3409" t="s">
        <v>2291</v>
      </c>
      <c r="D6" s="3410"/>
      <c r="E6" s="3417" t="s">
        <v>2291</v>
      </c>
      <c r="F6" s="3418"/>
      <c r="G6" s="3409" t="s">
        <v>2291</v>
      </c>
      <c r="H6" s="3410"/>
      <c r="I6" s="3409" t="s">
        <v>2291</v>
      </c>
      <c r="J6" s="3410"/>
      <c r="K6" s="567" t="s">
        <v>2292</v>
      </c>
      <c r="L6" s="2893"/>
      <c r="M6" s="2894"/>
      <c r="N6" s="2894"/>
      <c r="O6" s="2894"/>
      <c r="P6" s="3400"/>
      <c r="Q6" s="3401"/>
      <c r="R6" s="3404"/>
      <c r="S6" s="3405"/>
      <c r="T6" s="3406"/>
      <c r="U6" s="3407"/>
      <c r="V6" s="3408"/>
      <c r="W6" s="3408"/>
      <c r="X6" s="1509"/>
      <c r="Y6" s="3406"/>
      <c r="Z6" s="3407"/>
      <c r="AA6" s="3391"/>
      <c r="AB6" s="3391"/>
      <c r="AC6" s="3391"/>
    </row>
    <row r="7" spans="1:29" s="113" customFormat="1" ht="15.75" thickBot="1">
      <c r="A7" s="368" t="s">
        <v>2293</v>
      </c>
      <c r="B7" s="369"/>
      <c r="C7" s="370">
        <f>'数据-取费表'!B2</f>
        <v>44628</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13" t="s">
        <v>2294</v>
      </c>
      <c r="Q7" s="3415"/>
      <c r="R7" s="710" t="s">
        <v>17</v>
      </c>
      <c r="S7" s="711">
        <f t="shared" ref="S7:S14" si="0">F7</f>
        <v>0</v>
      </c>
      <c r="T7" s="710" t="s">
        <v>17</v>
      </c>
      <c r="U7" s="711">
        <f t="shared" ref="U7:U14" si="1">H7</f>
        <v>0</v>
      </c>
      <c r="V7" s="710" t="s">
        <v>17</v>
      </c>
      <c r="W7" s="711">
        <f t="shared" ref="W7:W14" si="2">J7</f>
        <v>0</v>
      </c>
      <c r="X7" s="712"/>
      <c r="Y7" s="3413" t="s">
        <v>2294</v>
      </c>
      <c r="Z7" s="3414"/>
      <c r="AA7" s="713" t="e">
        <f>D7/F7</f>
        <v>#DIV/0!</v>
      </c>
      <c r="AB7" s="713" t="e">
        <f>D7/H7</f>
        <v>#DIV/0!</v>
      </c>
      <c r="AC7" s="713" t="e">
        <f>D7/J7</f>
        <v>#DIV/0!</v>
      </c>
    </row>
    <row r="8" spans="1:29" s="113" customFormat="1" ht="15.75" thickBot="1">
      <c r="A8" s="368" t="s">
        <v>2295</v>
      </c>
      <c r="B8" s="369"/>
      <c r="C8" s="374" t="s">
        <v>2397</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13" t="s">
        <v>2297</v>
      </c>
      <c r="Q8" s="3414"/>
      <c r="R8" s="710" t="s">
        <v>17</v>
      </c>
      <c r="S8" s="711">
        <f t="shared" si="0"/>
        <v>0</v>
      </c>
      <c r="T8" s="710" t="s">
        <v>17</v>
      </c>
      <c r="U8" s="711">
        <f t="shared" si="1"/>
        <v>0</v>
      </c>
      <c r="V8" s="710" t="s">
        <v>17</v>
      </c>
      <c r="W8" s="711">
        <f t="shared" si="2"/>
        <v>0</v>
      </c>
      <c r="X8" s="712"/>
      <c r="Y8" s="3413" t="s">
        <v>2297</v>
      </c>
      <c r="Z8" s="3414"/>
      <c r="AA8" s="713" t="e">
        <f t="shared" ref="AA8:AA36" si="3">D8/F8</f>
        <v>#DIV/0!</v>
      </c>
      <c r="AB8" s="713" t="e">
        <f t="shared" ref="AB8:AB36" si="4">D8/H8</f>
        <v>#DIV/0!</v>
      </c>
      <c r="AC8" s="713" t="e">
        <f t="shared" ref="AC8:AC36" si="5">D8/J8</f>
        <v>#DIV/0!</v>
      </c>
    </row>
    <row r="9" spans="1:29" s="113" customFormat="1">
      <c r="A9" s="64" t="s">
        <v>2298</v>
      </c>
      <c r="B9" s="596" t="s">
        <v>2299</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379" t="s">
        <v>2300</v>
      </c>
      <c r="Q9" s="1497" t="str">
        <f t="shared" ref="Q9:Q14" si="6">B9</f>
        <v>用途</v>
      </c>
      <c r="R9" s="710" t="s">
        <v>17</v>
      </c>
      <c r="S9" s="711">
        <f t="shared" si="0"/>
        <v>100</v>
      </c>
      <c r="T9" s="710" t="s">
        <v>17</v>
      </c>
      <c r="U9" s="711">
        <f t="shared" si="1"/>
        <v>100</v>
      </c>
      <c r="V9" s="710" t="s">
        <v>17</v>
      </c>
      <c r="W9" s="711">
        <f t="shared" si="2"/>
        <v>100</v>
      </c>
      <c r="X9" s="712"/>
      <c r="Y9" s="3291" t="s">
        <v>2301</v>
      </c>
      <c r="Z9" s="55" t="str">
        <f t="shared" ref="Z9:Z14" si="7">Q9</f>
        <v>用途</v>
      </c>
      <c r="AA9" s="713">
        <f t="shared" si="3"/>
        <v>1</v>
      </c>
      <c r="AB9" s="713">
        <f t="shared" si="4"/>
        <v>1</v>
      </c>
      <c r="AC9" s="713">
        <f t="shared" si="5"/>
        <v>1</v>
      </c>
    </row>
    <row r="10" spans="1:29" s="386" customFormat="1" ht="27">
      <c r="A10" s="597"/>
      <c r="B10" s="598" t="s">
        <v>2302</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379"/>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379"/>
      <c r="Q11" s="1497">
        <f t="shared" si="6"/>
        <v>111</v>
      </c>
      <c r="R11" s="710" t="s">
        <v>17</v>
      </c>
      <c r="S11" s="711">
        <f t="shared" si="0"/>
        <v>100</v>
      </c>
      <c r="T11" s="710" t="s">
        <v>17</v>
      </c>
      <c r="U11" s="711">
        <f t="shared" si="1"/>
        <v>100</v>
      </c>
      <c r="V11" s="710" t="s">
        <v>17</v>
      </c>
      <c r="W11" s="711">
        <f t="shared" si="2"/>
        <v>100</v>
      </c>
      <c r="X11" s="712"/>
      <c r="Y11" s="329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379"/>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379"/>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713">
        <f t="shared" si="5"/>
        <v>1</v>
      </c>
    </row>
    <row r="14" spans="1:29" ht="15">
      <c r="A14" s="361" t="s">
        <v>2304</v>
      </c>
      <c r="B14" s="585" t="s">
        <v>2454</v>
      </c>
      <c r="C14" s="2127">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384" t="s">
        <v>2305</v>
      </c>
      <c r="Q14" s="1506" t="str">
        <f t="shared" si="6"/>
        <v>交通便捷度</v>
      </c>
      <c r="R14" s="714" t="s">
        <v>17</v>
      </c>
      <c r="S14" s="715">
        <f t="shared" si="0"/>
        <v>100</v>
      </c>
      <c r="T14" s="714" t="s">
        <v>17</v>
      </c>
      <c r="U14" s="715">
        <f t="shared" si="1"/>
        <v>100</v>
      </c>
      <c r="V14" s="714" t="s">
        <v>17</v>
      </c>
      <c r="W14" s="715">
        <f t="shared" si="2"/>
        <v>100</v>
      </c>
      <c r="X14" s="1509"/>
      <c r="Y14" s="3384" t="s">
        <v>2305</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00"/>
      <c r="M15" s="2894"/>
      <c r="N15" s="2894"/>
      <c r="O15" s="2894"/>
      <c r="P15" s="3385"/>
      <c r="Q15" s="1506"/>
      <c r="R15" s="714"/>
      <c r="S15" s="715"/>
      <c r="T15" s="714"/>
      <c r="U15" s="715"/>
      <c r="V15" s="714"/>
      <c r="W15" s="715"/>
      <c r="X15" s="1509"/>
      <c r="Y15" s="3385"/>
      <c r="Z15" s="1510"/>
      <c r="AA15" s="1507">
        <v>1</v>
      </c>
      <c r="AB15" s="1507">
        <v>1</v>
      </c>
      <c r="AC15" s="1507">
        <v>1</v>
      </c>
    </row>
    <row r="16" spans="1:29" ht="15">
      <c r="A16" s="364"/>
      <c r="B16" s="587" t="s">
        <v>2433</v>
      </c>
      <c r="C16" s="2056">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385"/>
      <c r="Q16" s="1506" t="str">
        <f>B16</f>
        <v>公共配套设施</v>
      </c>
      <c r="R16" s="714" t="s">
        <v>17</v>
      </c>
      <c r="S16" s="715">
        <f>F16</f>
        <v>100</v>
      </c>
      <c r="T16" s="714" t="s">
        <v>17</v>
      </c>
      <c r="U16" s="715">
        <f>H16</f>
        <v>100</v>
      </c>
      <c r="V16" s="714" t="s">
        <v>17</v>
      </c>
      <c r="W16" s="715">
        <f>J16</f>
        <v>100</v>
      </c>
      <c r="X16" s="1509"/>
      <c r="Y16" s="3385"/>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00"/>
      <c r="M17" s="2894"/>
      <c r="N17" s="2894"/>
      <c r="O17" s="2894"/>
      <c r="P17" s="3385"/>
      <c r="Q17" s="1506"/>
      <c r="R17" s="714"/>
      <c r="S17" s="715"/>
      <c r="T17" s="714"/>
      <c r="U17" s="715"/>
      <c r="V17" s="714"/>
      <c r="W17" s="715"/>
      <c r="X17" s="1509"/>
      <c r="Y17" s="3385"/>
      <c r="Z17" s="1510"/>
      <c r="AA17" s="1507">
        <v>1</v>
      </c>
      <c r="AB17" s="1507">
        <v>1</v>
      </c>
      <c r="AC17" s="1507">
        <v>1</v>
      </c>
    </row>
    <row r="18" spans="1:29" ht="15">
      <c r="A18" s="364"/>
      <c r="B18" s="589" t="s">
        <v>2434</v>
      </c>
      <c r="C18" s="2056">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385"/>
      <c r="Q18" s="1506" t="str">
        <f>B18</f>
        <v>基础设施水平</v>
      </c>
      <c r="R18" s="714" t="s">
        <v>17</v>
      </c>
      <c r="S18" s="715">
        <f>F18</f>
        <v>100</v>
      </c>
      <c r="T18" s="714" t="s">
        <v>17</v>
      </c>
      <c r="U18" s="715">
        <f>H18</f>
        <v>100</v>
      </c>
      <c r="V18" s="714" t="s">
        <v>17</v>
      </c>
      <c r="W18" s="715">
        <f>J18</f>
        <v>100</v>
      </c>
      <c r="X18" s="1509"/>
      <c r="Y18" s="3385"/>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00"/>
      <c r="M19" s="2894"/>
      <c r="N19" s="2894"/>
      <c r="O19" s="2894"/>
      <c r="P19" s="3385"/>
      <c r="Q19" s="1506"/>
      <c r="R19" s="714"/>
      <c r="S19" s="715"/>
      <c r="T19" s="714"/>
      <c r="U19" s="715"/>
      <c r="V19" s="714"/>
      <c r="W19" s="715"/>
      <c r="X19" s="1509"/>
      <c r="Y19" s="3385"/>
      <c r="Z19" s="1510"/>
      <c r="AA19" s="1507">
        <v>1</v>
      </c>
      <c r="AB19" s="1507">
        <v>1</v>
      </c>
      <c r="AC19" s="1507">
        <v>1</v>
      </c>
    </row>
    <row r="20" spans="1:29" ht="15">
      <c r="A20" s="364"/>
      <c r="B20" s="587" t="s">
        <v>2455</v>
      </c>
      <c r="C20" s="2056">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385"/>
      <c r="Q20" s="1506" t="str">
        <f>B20</f>
        <v>自然及人文环境</v>
      </c>
      <c r="R20" s="714" t="s">
        <v>17</v>
      </c>
      <c r="S20" s="715">
        <f>F20</f>
        <v>100</v>
      </c>
      <c r="T20" s="714" t="s">
        <v>17</v>
      </c>
      <c r="U20" s="715">
        <f>H20</f>
        <v>100</v>
      </c>
      <c r="V20" s="714" t="s">
        <v>17</v>
      </c>
      <c r="W20" s="715">
        <f>J20</f>
        <v>100</v>
      </c>
      <c r="X20" s="1509"/>
      <c r="Y20" s="338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00"/>
      <c r="M21" s="2894"/>
      <c r="N21" s="2894"/>
      <c r="O21" s="2894"/>
      <c r="P21" s="3385"/>
      <c r="Q21" s="1506"/>
      <c r="R21" s="714"/>
      <c r="S21" s="715"/>
      <c r="T21" s="714"/>
      <c r="U21" s="715"/>
      <c r="V21" s="714"/>
      <c r="W21" s="715"/>
      <c r="X21" s="1509"/>
      <c r="Y21" s="3385"/>
      <c r="Z21" s="1510"/>
      <c r="AA21" s="1507">
        <v>1</v>
      </c>
      <c r="AB21" s="1507">
        <v>1</v>
      </c>
      <c r="AC21" s="1507">
        <v>1</v>
      </c>
    </row>
    <row r="22" spans="1:29" ht="15">
      <c r="A22" s="364"/>
      <c r="B22" s="587" t="s">
        <v>2456</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385"/>
      <c r="Q22" s="1506" t="str">
        <f>B22</f>
        <v>楼层</v>
      </c>
      <c r="R22" s="714" t="s">
        <v>17</v>
      </c>
      <c r="S22" s="715">
        <f>F22</f>
        <v>100</v>
      </c>
      <c r="T22" s="714" t="s">
        <v>17</v>
      </c>
      <c r="U22" s="715">
        <f>H22</f>
        <v>100</v>
      </c>
      <c r="V22" s="714" t="s">
        <v>17</v>
      </c>
      <c r="W22" s="715">
        <f>J22</f>
        <v>100</v>
      </c>
      <c r="X22" s="1509"/>
      <c r="Y22" s="338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385"/>
      <c r="Q23" s="1506">
        <f>B23</f>
        <v>111</v>
      </c>
      <c r="R23" s="714" t="s">
        <v>17</v>
      </c>
      <c r="S23" s="715">
        <f>F23</f>
        <v>100</v>
      </c>
      <c r="T23" s="714" t="s">
        <v>17</v>
      </c>
      <c r="U23" s="715">
        <f>H23</f>
        <v>100</v>
      </c>
      <c r="V23" s="714" t="s">
        <v>17</v>
      </c>
      <c r="W23" s="715">
        <f>J23</f>
        <v>100</v>
      </c>
      <c r="X23" s="1509"/>
      <c r="Y23" s="338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385"/>
      <c r="Q24" s="1506">
        <f t="shared" ref="Q24:Q36" si="11">B24</f>
        <v>111</v>
      </c>
      <c r="R24" s="714" t="s">
        <v>17</v>
      </c>
      <c r="S24" s="715">
        <f>F24</f>
        <v>100</v>
      </c>
      <c r="T24" s="714" t="s">
        <v>17</v>
      </c>
      <c r="U24" s="715">
        <f>H24</f>
        <v>100</v>
      </c>
      <c r="V24" s="714" t="s">
        <v>17</v>
      </c>
      <c r="W24" s="715">
        <f>J24</f>
        <v>100</v>
      </c>
      <c r="X24" s="1509"/>
      <c r="Y24" s="3385"/>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385"/>
      <c r="Q25" s="1497">
        <f t="shared" si="11"/>
        <v>111</v>
      </c>
      <c r="R25" s="710" t="s">
        <v>17</v>
      </c>
      <c r="S25" s="711">
        <f>F25</f>
        <v>100</v>
      </c>
      <c r="T25" s="710" t="s">
        <v>17</v>
      </c>
      <c r="U25" s="711">
        <f>H25</f>
        <v>100</v>
      </c>
      <c r="V25" s="710" t="s">
        <v>17</v>
      </c>
      <c r="W25" s="711">
        <f>J25</f>
        <v>100</v>
      </c>
      <c r="X25" s="712"/>
      <c r="Y25" s="3385"/>
      <c r="Z25" s="55">
        <f>Q25</f>
        <v>111</v>
      </c>
      <c r="AA25" s="1507">
        <f>D25/F25</f>
        <v>1</v>
      </c>
      <c r="AB25" s="1507">
        <f>D25/H25</f>
        <v>1</v>
      </c>
      <c r="AC25" s="1507">
        <f>D25/J25</f>
        <v>1</v>
      </c>
    </row>
    <row r="26" spans="1:29" ht="28.5">
      <c r="A26" s="608" t="s">
        <v>2308</v>
      </c>
      <c r="B26" s="66" t="s">
        <v>2457</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386" t="s">
        <v>2310</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387" t="s">
        <v>2310</v>
      </c>
      <c r="Z26" s="1510" t="str">
        <f t="shared" ref="Z26:Z36" si="15">Q26</f>
        <v>配套类型</v>
      </c>
      <c r="AA26" s="1507">
        <f t="shared" si="3"/>
        <v>1</v>
      </c>
      <c r="AB26" s="1507">
        <f t="shared" si="4"/>
        <v>1</v>
      </c>
      <c r="AC26" s="1507">
        <f t="shared" si="5"/>
        <v>1</v>
      </c>
    </row>
    <row r="27" spans="1:29" s="430" customFormat="1" ht="15">
      <c r="A27" s="609"/>
      <c r="B27" s="610" t="s">
        <v>2458</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387"/>
      <c r="Q27" s="716" t="str">
        <f t="shared" si="11"/>
        <v>项目停车位配比</v>
      </c>
      <c r="R27" s="717" t="s">
        <v>17</v>
      </c>
      <c r="S27" s="718">
        <f t="shared" si="12"/>
        <v>100</v>
      </c>
      <c r="T27" s="717" t="s">
        <v>17</v>
      </c>
      <c r="U27" s="718">
        <f t="shared" si="13"/>
        <v>100</v>
      </c>
      <c r="V27" s="717" t="s">
        <v>17</v>
      </c>
      <c r="W27" s="718">
        <f t="shared" si="14"/>
        <v>100</v>
      </c>
      <c r="X27" s="719"/>
      <c r="Y27" s="3387"/>
      <c r="Z27" s="720" t="str">
        <f t="shared" si="15"/>
        <v>项目停车位配比</v>
      </c>
      <c r="AA27" s="1507">
        <f t="shared" si="3"/>
        <v>1</v>
      </c>
      <c r="AB27" s="1507">
        <f t="shared" si="4"/>
        <v>1</v>
      </c>
      <c r="AC27" s="1507">
        <f t="shared" si="5"/>
        <v>1</v>
      </c>
    </row>
    <row r="28" spans="1:29" ht="15">
      <c r="A28" s="612"/>
      <c r="B28" s="610" t="s">
        <v>2459</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387"/>
      <c r="Q28" s="1506" t="str">
        <f t="shared" si="11"/>
        <v>公共部分装修</v>
      </c>
      <c r="R28" s="714" t="s">
        <v>17</v>
      </c>
      <c r="S28" s="715">
        <f t="shared" si="12"/>
        <v>100</v>
      </c>
      <c r="T28" s="714" t="s">
        <v>17</v>
      </c>
      <c r="U28" s="715">
        <f t="shared" si="13"/>
        <v>100</v>
      </c>
      <c r="V28" s="714" t="s">
        <v>17</v>
      </c>
      <c r="W28" s="715">
        <f t="shared" si="14"/>
        <v>100</v>
      </c>
      <c r="X28" s="1509"/>
      <c r="Y28" s="3387"/>
      <c r="Z28" s="1510" t="str">
        <f t="shared" si="15"/>
        <v>公共部分装修</v>
      </c>
      <c r="AA28" s="1507">
        <f t="shared" si="3"/>
        <v>1</v>
      </c>
      <c r="AB28" s="1507">
        <f t="shared" si="4"/>
        <v>1</v>
      </c>
      <c r="AC28" s="1507">
        <f t="shared" si="5"/>
        <v>1</v>
      </c>
    </row>
    <row r="29" spans="1:29" ht="15">
      <c r="A29" s="612"/>
      <c r="B29" s="610" t="s">
        <v>2460</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387"/>
      <c r="Q29" s="1506" t="str">
        <f t="shared" si="11"/>
        <v>成新率</v>
      </c>
      <c r="R29" s="714" t="s">
        <v>17</v>
      </c>
      <c r="S29" s="715" t="e">
        <f t="shared" si="12"/>
        <v>#N/A</v>
      </c>
      <c r="T29" s="714" t="s">
        <v>17</v>
      </c>
      <c r="U29" s="715" t="e">
        <f t="shared" si="13"/>
        <v>#N/A</v>
      </c>
      <c r="V29" s="714" t="s">
        <v>17</v>
      </c>
      <c r="W29" s="715" t="e">
        <f t="shared" si="14"/>
        <v>#N/A</v>
      </c>
      <c r="X29" s="1509"/>
      <c r="Y29" s="3387"/>
      <c r="Z29" s="1510" t="str">
        <f t="shared" si="15"/>
        <v>成新率</v>
      </c>
      <c r="AA29" s="1507" t="e">
        <f t="shared" si="3"/>
        <v>#N/A</v>
      </c>
      <c r="AB29" s="1507" t="e">
        <f t="shared" si="4"/>
        <v>#N/A</v>
      </c>
      <c r="AC29" s="1507" t="e">
        <f t="shared" si="5"/>
        <v>#N/A</v>
      </c>
    </row>
    <row r="30" spans="1:29" ht="15">
      <c r="A30" s="612"/>
      <c r="B30" s="610" t="s">
        <v>2461</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387"/>
      <c r="Q30" s="1506" t="str">
        <f t="shared" si="11"/>
        <v>物业等级</v>
      </c>
      <c r="R30" s="714" t="s">
        <v>17</v>
      </c>
      <c r="S30" s="715">
        <f t="shared" si="12"/>
        <v>100</v>
      </c>
      <c r="T30" s="714" t="s">
        <v>17</v>
      </c>
      <c r="U30" s="715">
        <f t="shared" si="13"/>
        <v>100</v>
      </c>
      <c r="V30" s="714" t="s">
        <v>17</v>
      </c>
      <c r="W30" s="715">
        <f t="shared" si="14"/>
        <v>100</v>
      </c>
      <c r="X30" s="1509"/>
      <c r="Y30" s="3387"/>
      <c r="Z30" s="1510" t="str">
        <f t="shared" si="15"/>
        <v>物业等级</v>
      </c>
      <c r="AA30" s="1507">
        <f t="shared" si="3"/>
        <v>1</v>
      </c>
      <c r="AB30" s="1507">
        <f t="shared" si="4"/>
        <v>1</v>
      </c>
      <c r="AC30" s="1507">
        <f t="shared" si="5"/>
        <v>1</v>
      </c>
    </row>
    <row r="31" spans="1:29" s="113" customFormat="1" ht="15">
      <c r="A31" s="614"/>
      <c r="B31" s="610" t="s">
        <v>2462</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387"/>
      <c r="Q31" s="1497" t="str">
        <f t="shared" si="11"/>
        <v>停车位面积</v>
      </c>
      <c r="R31" s="710" t="s">
        <v>17</v>
      </c>
      <c r="S31" s="711" t="e">
        <f t="shared" si="12"/>
        <v>#N/A</v>
      </c>
      <c r="T31" s="710" t="s">
        <v>17</v>
      </c>
      <c r="U31" s="711" t="e">
        <f t="shared" si="13"/>
        <v>#N/A</v>
      </c>
      <c r="V31" s="710" t="s">
        <v>17</v>
      </c>
      <c r="W31" s="711" t="e">
        <f t="shared" si="14"/>
        <v>#N/A</v>
      </c>
      <c r="X31" s="712"/>
      <c r="Y31" s="3387"/>
      <c r="Z31" s="55" t="str">
        <f t="shared" si="15"/>
        <v>停车位面积</v>
      </c>
      <c r="AA31" s="713" t="e">
        <f t="shared" si="3"/>
        <v>#N/A</v>
      </c>
      <c r="AB31" s="713" t="e">
        <f t="shared" si="4"/>
        <v>#N/A</v>
      </c>
      <c r="AC31" s="713" t="e">
        <f t="shared" si="5"/>
        <v>#N/A</v>
      </c>
    </row>
    <row r="32" spans="1:29" ht="15">
      <c r="A32" s="612"/>
      <c r="B32" s="610" t="s">
        <v>2463</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387" t="s">
        <v>2310</v>
      </c>
      <c r="Q32" s="1506" t="str">
        <f t="shared" si="11"/>
        <v>车位类型</v>
      </c>
      <c r="R32" s="714" t="s">
        <v>17</v>
      </c>
      <c r="S32" s="715">
        <f t="shared" si="12"/>
        <v>100</v>
      </c>
      <c r="T32" s="714" t="s">
        <v>17</v>
      </c>
      <c r="U32" s="715">
        <f t="shared" si="13"/>
        <v>100</v>
      </c>
      <c r="V32" s="714" t="s">
        <v>17</v>
      </c>
      <c r="W32" s="715">
        <f t="shared" si="14"/>
        <v>100</v>
      </c>
      <c r="X32" s="1509"/>
      <c r="Y32" s="3387" t="s">
        <v>2310</v>
      </c>
      <c r="Z32" s="1510" t="str">
        <f t="shared" si="15"/>
        <v>车位类型</v>
      </c>
      <c r="AA32" s="1507">
        <f t="shared" si="3"/>
        <v>1</v>
      </c>
      <c r="AB32" s="1507">
        <f t="shared" si="4"/>
        <v>1</v>
      </c>
      <c r="AC32" s="1507">
        <f t="shared" si="5"/>
        <v>1</v>
      </c>
    </row>
    <row r="33" spans="1:29" ht="15">
      <c r="A33" s="612"/>
      <c r="B33" s="610" t="s">
        <v>2464</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387"/>
      <c r="Q33" s="1506" t="str">
        <f t="shared" si="11"/>
        <v>是否直接入户</v>
      </c>
      <c r="R33" s="714" t="s">
        <v>17</v>
      </c>
      <c r="S33" s="715">
        <f t="shared" si="12"/>
        <v>100</v>
      </c>
      <c r="T33" s="714" t="s">
        <v>17</v>
      </c>
      <c r="U33" s="715">
        <f t="shared" si="13"/>
        <v>100</v>
      </c>
      <c r="V33" s="714" t="s">
        <v>17</v>
      </c>
      <c r="W33" s="715">
        <f t="shared" si="14"/>
        <v>100</v>
      </c>
      <c r="X33" s="1509"/>
      <c r="Y33" s="3387"/>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387"/>
      <c r="Q34" s="1506">
        <f t="shared" si="11"/>
        <v>111</v>
      </c>
      <c r="R34" s="714" t="s">
        <v>17</v>
      </c>
      <c r="S34" s="715">
        <f t="shared" si="12"/>
        <v>100</v>
      </c>
      <c r="T34" s="714" t="s">
        <v>17</v>
      </c>
      <c r="U34" s="715">
        <f t="shared" si="13"/>
        <v>100</v>
      </c>
      <c r="V34" s="714" t="s">
        <v>17</v>
      </c>
      <c r="W34" s="715">
        <f t="shared" si="14"/>
        <v>100</v>
      </c>
      <c r="X34" s="1509"/>
      <c r="Y34" s="3387"/>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387"/>
      <c r="Q35" s="716">
        <f t="shared" si="11"/>
        <v>111</v>
      </c>
      <c r="R35" s="717" t="s">
        <v>17</v>
      </c>
      <c r="S35" s="718">
        <f t="shared" si="12"/>
        <v>100</v>
      </c>
      <c r="T35" s="717" t="s">
        <v>17</v>
      </c>
      <c r="U35" s="718">
        <f t="shared" si="13"/>
        <v>100</v>
      </c>
      <c r="V35" s="717" t="s">
        <v>17</v>
      </c>
      <c r="W35" s="718">
        <f t="shared" si="14"/>
        <v>100</v>
      </c>
      <c r="X35" s="719"/>
      <c r="Y35" s="3387"/>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387"/>
      <c r="Q36" s="1506">
        <f t="shared" si="11"/>
        <v>111</v>
      </c>
      <c r="R36" s="714" t="s">
        <v>17</v>
      </c>
      <c r="S36" s="715">
        <f t="shared" si="12"/>
        <v>100</v>
      </c>
      <c r="T36" s="714" t="s">
        <v>17</v>
      </c>
      <c r="U36" s="715">
        <f t="shared" si="13"/>
        <v>100</v>
      </c>
      <c r="V36" s="714" t="s">
        <v>17</v>
      </c>
      <c r="W36" s="715">
        <f t="shared" si="14"/>
        <v>100</v>
      </c>
      <c r="X36" s="1509"/>
      <c r="Y36" s="3387"/>
      <c r="Z36" s="1510">
        <f t="shared" si="15"/>
        <v>111</v>
      </c>
      <c r="AA36" s="1507">
        <f t="shared" si="3"/>
        <v>1</v>
      </c>
      <c r="AB36" s="1507">
        <f t="shared" si="4"/>
        <v>1</v>
      </c>
      <c r="AC36" s="1507">
        <f t="shared" si="5"/>
        <v>1</v>
      </c>
    </row>
    <row r="37" spans="1:29" ht="15">
      <c r="A37" s="438" t="s">
        <v>2465</v>
      </c>
      <c r="B37" s="2129" t="s">
        <v>2466</v>
      </c>
      <c r="C37" s="1288" t="s">
        <v>1</v>
      </c>
      <c r="D37" s="1289"/>
      <c r="E37" s="1290"/>
      <c r="F37" s="1291"/>
      <c r="G37" s="1292"/>
      <c r="H37" s="1293"/>
      <c r="I37" s="1290"/>
      <c r="J37" s="1293"/>
      <c r="K37" s="576"/>
      <c r="L37" s="2902"/>
      <c r="M37" s="2903"/>
      <c r="N37" s="2894"/>
      <c r="O37" s="2903"/>
      <c r="P37" s="3379" t="str">
        <f>A37</f>
        <v>成交单价</v>
      </c>
      <c r="Q37" s="3379"/>
      <c r="R37" s="3380">
        <f>E37</f>
        <v>0</v>
      </c>
      <c r="S37" s="3380"/>
      <c r="T37" s="3380">
        <f>G37</f>
        <v>0</v>
      </c>
      <c r="U37" s="3380"/>
      <c r="V37" s="3380">
        <f>I37</f>
        <v>0</v>
      </c>
      <c r="W37" s="3380"/>
      <c r="X37" s="699"/>
      <c r="Y37" s="721"/>
      <c r="Z37" s="699"/>
      <c r="AA37" s="699"/>
      <c r="AB37" s="699"/>
      <c r="AC37" s="699"/>
    </row>
    <row r="38" spans="1:29" ht="15.75" thickBot="1">
      <c r="A38" s="445" t="s">
        <v>2467</v>
      </c>
      <c r="B38" s="446" t="str">
        <f>B37</f>
        <v>元/车位</v>
      </c>
      <c r="C38" s="1294" t="e">
        <f>R39</f>
        <v>#DIV/0!</v>
      </c>
      <c r="D38" s="2508" t="s">
        <v>2803</v>
      </c>
      <c r="E38" s="1295" t="e">
        <f>R38</f>
        <v>#DIV/0!</v>
      </c>
      <c r="F38" s="2509"/>
      <c r="G38" s="1294" t="e">
        <f>T38</f>
        <v>#DIV/0!</v>
      </c>
      <c r="H38" s="2509"/>
      <c r="I38" s="1295" t="e">
        <f>V38</f>
        <v>#DIV/0!</v>
      </c>
      <c r="J38" s="2509"/>
      <c r="K38" s="2511">
        <f>F38+H38+J38</f>
        <v>0</v>
      </c>
      <c r="L38" s="2902"/>
      <c r="M38" s="2903"/>
      <c r="N38" s="2903"/>
      <c r="O38" s="2903"/>
      <c r="P38" s="3379" t="str">
        <f>A38</f>
        <v>比较价值（元/平方米）</v>
      </c>
      <c r="Q38" s="3379"/>
      <c r="R38" s="3380" t="e">
        <f>IF(F1="售价",ROUND(PRODUCT(R37,AA7:AA36),0),ROUND(PRODUCT(R37,AA7:AA36),1))</f>
        <v>#DIV/0!</v>
      </c>
      <c r="S38" s="3380"/>
      <c r="T38" s="3380" t="e">
        <f>IF(F1="售价",ROUND(PRODUCT(T37,AB7:AB36),0),ROUND(PRODUCT(T37,AB7:AB36),1))</f>
        <v>#DIV/0!</v>
      </c>
      <c r="U38" s="3380"/>
      <c r="V38" s="3380" t="e">
        <f>IF(F1="售价",ROUND(PRODUCT(V37,AC7:AC36),0),ROUND(PRODUCT(V37,AC7:AC36),1))</f>
        <v>#DIV/0!</v>
      </c>
      <c r="W38" s="3380"/>
      <c r="X38" s="699"/>
      <c r="Y38" s="699"/>
      <c r="Z38" s="699"/>
      <c r="AA38" s="699"/>
      <c r="AB38" s="699"/>
      <c r="AC38" s="699"/>
    </row>
    <row r="39" spans="1:29" ht="15.75" thickBot="1">
      <c r="A39" s="449" t="s">
        <v>2468</v>
      </c>
      <c r="B39" s="450"/>
      <c r="C39" s="1297" t="e">
        <f>R39</f>
        <v>#DIV/0!</v>
      </c>
      <c r="D39" s="1297"/>
      <c r="E39" s="1297"/>
      <c r="F39" s="1297"/>
      <c r="G39" s="1297"/>
      <c r="H39" s="1297"/>
      <c r="I39" s="1297"/>
      <c r="J39" s="1297"/>
      <c r="K39" s="577"/>
      <c r="L39" s="2902"/>
      <c r="M39" s="2903"/>
      <c r="N39" s="2903"/>
      <c r="O39" s="2903"/>
      <c r="P39" s="3381" t="str">
        <f>A39</f>
        <v>估价对象XX用房的比较价值（楼面单价，元/平方米）</v>
      </c>
      <c r="Q39" s="3382"/>
      <c r="R39" s="3498" t="e">
        <f>IF(F1="售价",ROUND(IF(D38="简单平均",AVERAGE(R38:W38),R38*F38+T38*H38+V38*J38),0),ROUND(IF(D38="简单平均",AVERAGE(R38:V38),R38*F38+T38*H38+V38*J38),1))</f>
        <v>#DIV/0!</v>
      </c>
      <c r="S39" s="3498"/>
      <c r="T39" s="3498"/>
      <c r="U39" s="3498"/>
      <c r="V39" s="3498"/>
      <c r="W39" s="3498"/>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2469</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2470</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2471</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300" t="s">
        <v>2472</v>
      </c>
      <c r="B47" s="1058"/>
      <c r="C47" s="1071"/>
      <c r="D47" s="1071"/>
      <c r="E47" s="1071"/>
      <c r="F47" s="1301"/>
      <c r="G47" s="1301"/>
      <c r="H47" s="1071"/>
      <c r="I47" s="1071"/>
      <c r="J47" s="1071"/>
      <c r="K47" s="1072"/>
      <c r="L47" s="1073"/>
      <c r="M47" s="1071"/>
      <c r="N47" s="2947"/>
      <c r="O47" s="2947"/>
      <c r="P47" s="2936"/>
      <c r="Q47" s="2917"/>
      <c r="R47" s="2903"/>
      <c r="S47" s="2903"/>
      <c r="T47" s="2903"/>
      <c r="U47" s="2903"/>
      <c r="V47" s="2903"/>
      <c r="W47" s="2903"/>
      <c r="X47" s="2903"/>
      <c r="Y47" s="2903"/>
      <c r="Z47" s="2903"/>
      <c r="AA47" s="2903"/>
      <c r="AB47" s="2903"/>
      <c r="AC47" s="2903"/>
    </row>
    <row r="48" spans="1:29" s="465" customFormat="1" ht="15">
      <c r="A48" s="462" t="s">
        <v>2473</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37"/>
      <c r="Q48" s="2919"/>
      <c r="R48" s="2919"/>
      <c r="S48" s="2919"/>
      <c r="T48" s="2919"/>
      <c r="U48" s="2919"/>
      <c r="V48" s="2919"/>
      <c r="W48" s="2919"/>
      <c r="X48" s="2919"/>
      <c r="Y48" s="2919"/>
      <c r="Z48" s="2919"/>
      <c r="AA48" s="2919"/>
      <c r="AB48" s="2919"/>
      <c r="AC48" s="2919"/>
    </row>
    <row r="49" spans="1:29" s="113" customFormat="1" ht="15">
      <c r="A49" s="466"/>
      <c r="B49" s="467"/>
      <c r="C49" s="1311">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2330</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2295</v>
      </c>
      <c r="B51" s="467"/>
      <c r="C51" s="479" t="s">
        <v>2397</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2333</v>
      </c>
      <c r="B53" s="485" t="s">
        <v>2299</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2302</v>
      </c>
      <c r="C55" s="496" t="s">
        <v>2334</v>
      </c>
      <c r="D55" s="496" t="s">
        <v>2335</v>
      </c>
      <c r="E55" s="496" t="s">
        <v>2336</v>
      </c>
      <c r="F55" s="496" t="s">
        <v>2337</v>
      </c>
      <c r="G55" s="496" t="s">
        <v>2338</v>
      </c>
      <c r="H55" s="496" t="s">
        <v>2339</v>
      </c>
      <c r="I55" s="496" t="s">
        <v>2340</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2304</v>
      </c>
      <c r="B63" s="485" t="s">
        <v>2347</v>
      </c>
      <c r="C63" s="530" t="s">
        <v>2342</v>
      </c>
      <c r="D63" s="530" t="s">
        <v>2343</v>
      </c>
      <c r="E63" s="530" t="s">
        <v>2344</v>
      </c>
      <c r="F63" s="530" t="s">
        <v>2345</v>
      </c>
      <c r="G63" s="530" t="s">
        <v>2346</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2348</v>
      </c>
      <c r="C65" s="535" t="s">
        <v>2342</v>
      </c>
      <c r="D65" s="535" t="s">
        <v>2343</v>
      </c>
      <c r="E65" s="535" t="s">
        <v>2344</v>
      </c>
      <c r="F65" s="535" t="s">
        <v>2345</v>
      </c>
      <c r="G65" s="535" t="s">
        <v>2346</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2434</v>
      </c>
      <c r="C67" s="616" t="s">
        <v>2420</v>
      </c>
      <c r="D67" s="616" t="s">
        <v>2421</v>
      </c>
      <c r="E67" s="616" t="s">
        <v>2422</v>
      </c>
      <c r="F67" s="616" t="s">
        <v>2423</v>
      </c>
      <c r="G67" s="616" t="s">
        <v>2424</v>
      </c>
      <c r="H67" s="496"/>
      <c r="I67" s="496"/>
      <c r="J67" s="496"/>
      <c r="K67" s="496"/>
      <c r="L67" s="496"/>
      <c r="M67" s="1263"/>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2354</v>
      </c>
      <c r="C69" s="535" t="s">
        <v>2342</v>
      </c>
      <c r="D69" s="535" t="s">
        <v>2343</v>
      </c>
      <c r="E69" s="535" t="s">
        <v>2344</v>
      </c>
      <c r="F69" s="535" t="s">
        <v>2345</v>
      </c>
      <c r="G69" s="535" t="s">
        <v>2346</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2474</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2308</v>
      </c>
      <c r="B79" s="485" t="s">
        <v>2475</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2476</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2361</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2477</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2478</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2479</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2480</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2481</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2452</v>
      </c>
      <c r="B1" s="1363"/>
      <c r="C1" s="1364" t="s">
        <v>2275</v>
      </c>
      <c r="D1" s="1365"/>
      <c r="E1" s="1374"/>
      <c r="F1" s="2035"/>
      <c r="G1" s="1375" t="s">
        <v>2388</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2072</v>
      </c>
      <c r="B2" s="1298" t="e">
        <f ca="1">IF(C2="——",ROUND(C37*D3/10000,0),ROUND(C37*D3/10000,0)-D2)</f>
        <v>#DIV/0!</v>
      </c>
      <c r="C2" s="2037"/>
      <c r="D2" s="1038" t="e">
        <f ca="1">SUMIF(INDIRECT("'"&amp;F2&amp;"'"&amp;"!A:A"),"承租人权益价值",INDIRECT("'"&amp;F2&amp;"'"&amp;"!c:c"))</f>
        <v>#REF!</v>
      </c>
      <c r="E2" s="2038" t="s">
        <v>2073</v>
      </c>
      <c r="F2" s="2039"/>
      <c r="G2" s="1039"/>
      <c r="H2" s="1039"/>
      <c r="I2" s="1039"/>
      <c r="J2" s="1039"/>
      <c r="K2" s="1041"/>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2074</v>
      </c>
      <c r="B3" s="566" t="e">
        <f ca="1">IF(C2="——",C37,ROUND(B2*10000/D3,0))</f>
        <v>#DIV/0!</v>
      </c>
      <c r="C3" s="360" t="s">
        <v>2389</v>
      </c>
      <c r="D3" s="359">
        <f>SUMIF('数据-汇总表'!$C19:$C33,D1,'数据-汇总表'!$E19:$E33)</f>
        <v>0</v>
      </c>
      <c r="E3" s="1039"/>
      <c r="F3" s="1040"/>
      <c r="G3" s="1039"/>
      <c r="H3" s="1039"/>
      <c r="I3" s="1039"/>
      <c r="J3" s="1039"/>
      <c r="K3" s="1041"/>
      <c r="L3" s="2912"/>
      <c r="M3" s="2913"/>
      <c r="N3" s="2913"/>
      <c r="O3" s="2913"/>
      <c r="P3" s="708"/>
      <c r="Q3" s="708"/>
      <c r="R3" s="708"/>
      <c r="S3" s="708"/>
      <c r="T3" s="708"/>
      <c r="U3" s="708"/>
      <c r="V3" s="708"/>
      <c r="W3" s="708"/>
      <c r="X3" s="708"/>
      <c r="Y3" s="708"/>
      <c r="Z3" s="708"/>
      <c r="AA3" s="708"/>
      <c r="AB3" s="725"/>
      <c r="AC3" s="722"/>
    </row>
    <row r="4" spans="1:29" ht="15">
      <c r="A4" s="361" t="s">
        <v>2390</v>
      </c>
      <c r="B4" s="362"/>
      <c r="C4" s="3392" t="s">
        <v>2391</v>
      </c>
      <c r="D4" s="3393"/>
      <c r="E4" s="3394" t="s">
        <v>2392</v>
      </c>
      <c r="F4" s="3395"/>
      <c r="G4" s="3392" t="s">
        <v>2393</v>
      </c>
      <c r="H4" s="3393"/>
      <c r="I4" s="3392" t="s">
        <v>2394</v>
      </c>
      <c r="J4" s="3393"/>
      <c r="K4" s="567" t="s">
        <v>2395</v>
      </c>
      <c r="L4" s="2893"/>
      <c r="M4" s="2894"/>
      <c r="N4" s="2894"/>
      <c r="O4" s="2894"/>
      <c r="P4" s="3396" t="s">
        <v>2396</v>
      </c>
      <c r="Q4" s="3397"/>
      <c r="R4" s="3402" t="s">
        <v>2392</v>
      </c>
      <c r="S4" s="3403"/>
      <c r="T4" s="3402" t="s">
        <v>2393</v>
      </c>
      <c r="U4" s="3403"/>
      <c r="V4" s="3408" t="s">
        <v>2394</v>
      </c>
      <c r="W4" s="3408"/>
      <c r="X4" s="1509"/>
      <c r="Y4" s="3402" t="s">
        <v>2396</v>
      </c>
      <c r="Z4" s="3403"/>
      <c r="AA4" s="3389" t="s">
        <v>2392</v>
      </c>
      <c r="AB4" s="3390" t="s">
        <v>2393</v>
      </c>
      <c r="AC4" s="3389" t="s">
        <v>2394</v>
      </c>
    </row>
    <row r="5" spans="1:29" ht="15">
      <c r="A5" s="364"/>
      <c r="B5" s="365"/>
      <c r="C5" s="3416" t="s">
        <v>2287</v>
      </c>
      <c r="D5" s="3412"/>
      <c r="E5" s="3482" t="s">
        <v>2288</v>
      </c>
      <c r="F5" s="3420"/>
      <c r="G5" s="3416" t="s">
        <v>2289</v>
      </c>
      <c r="H5" s="3412"/>
      <c r="I5" s="3416" t="s">
        <v>2290</v>
      </c>
      <c r="J5" s="3412"/>
      <c r="K5" s="567"/>
      <c r="L5" s="2893"/>
      <c r="M5" s="2894"/>
      <c r="N5" s="2894"/>
      <c r="O5" s="2894"/>
      <c r="P5" s="3398"/>
      <c r="Q5" s="3399"/>
      <c r="R5" s="3404"/>
      <c r="S5" s="3405"/>
      <c r="T5" s="3404"/>
      <c r="U5" s="3405"/>
      <c r="V5" s="3408"/>
      <c r="W5" s="3408"/>
      <c r="X5" s="1509"/>
      <c r="Y5" s="3404"/>
      <c r="Z5" s="3405"/>
      <c r="AA5" s="3390"/>
      <c r="AB5" s="3390"/>
      <c r="AC5" s="3390"/>
    </row>
    <row r="6" spans="1:29" ht="15.75" thickBot="1">
      <c r="A6" s="366"/>
      <c r="B6" s="367"/>
      <c r="C6" s="3409" t="s">
        <v>2291</v>
      </c>
      <c r="D6" s="3410"/>
      <c r="E6" s="3417" t="s">
        <v>2291</v>
      </c>
      <c r="F6" s="3418"/>
      <c r="G6" s="3409" t="s">
        <v>2291</v>
      </c>
      <c r="H6" s="3410"/>
      <c r="I6" s="3409" t="s">
        <v>2291</v>
      </c>
      <c r="J6" s="3410"/>
      <c r="K6" s="567" t="s">
        <v>2292</v>
      </c>
      <c r="L6" s="2893"/>
      <c r="M6" s="2894"/>
      <c r="N6" s="2894"/>
      <c r="O6" s="2894"/>
      <c r="P6" s="3400"/>
      <c r="Q6" s="3401"/>
      <c r="R6" s="3404"/>
      <c r="S6" s="3405"/>
      <c r="T6" s="3406"/>
      <c r="U6" s="3407"/>
      <c r="V6" s="3408"/>
      <c r="W6" s="3408"/>
      <c r="X6" s="1509"/>
      <c r="Y6" s="3406"/>
      <c r="Z6" s="3407"/>
      <c r="AA6" s="3391"/>
      <c r="AB6" s="3391"/>
      <c r="AC6" s="3391"/>
    </row>
    <row r="7" spans="1:29" s="113" customFormat="1" ht="15.75" thickBot="1">
      <c r="A7" s="368" t="s">
        <v>2293</v>
      </c>
      <c r="B7" s="369"/>
      <c r="C7" s="370">
        <f>'数据-取费表'!B2</f>
        <v>44628</v>
      </c>
      <c r="D7" s="371">
        <v>100</v>
      </c>
      <c r="E7" s="372"/>
      <c r="F7" s="373">
        <f>SUMIF(46:46,YEAR(E7)&amp;"-"&amp;MONTH(E7),47:47)</f>
        <v>0</v>
      </c>
      <c r="G7" s="2130"/>
      <c r="H7" s="371">
        <f>SUMIF(46:46,YEAR(G7)&amp;"-"&amp;MONTH(G7),47:47)</f>
        <v>0</v>
      </c>
      <c r="I7" s="372"/>
      <c r="J7" s="371">
        <f>SUMIF(46:46,YEAR(I7)&amp;"-"&amp;MONTH(I7),47:47)</f>
        <v>0</v>
      </c>
      <c r="K7" s="568"/>
      <c r="L7" s="2895"/>
      <c r="M7" s="2896"/>
      <c r="N7" s="2896"/>
      <c r="O7" s="2896"/>
      <c r="P7" s="3413" t="s">
        <v>2294</v>
      </c>
      <c r="Q7" s="3415"/>
      <c r="R7" s="710" t="s">
        <v>17</v>
      </c>
      <c r="S7" s="711">
        <f t="shared" ref="S7:S14" si="0">F7</f>
        <v>0</v>
      </c>
      <c r="T7" s="710" t="s">
        <v>17</v>
      </c>
      <c r="U7" s="711">
        <f t="shared" ref="U7:U14" si="1">H7</f>
        <v>0</v>
      </c>
      <c r="V7" s="710" t="s">
        <v>17</v>
      </c>
      <c r="W7" s="711">
        <f t="shared" ref="W7:W14" si="2">J7</f>
        <v>0</v>
      </c>
      <c r="X7" s="712"/>
      <c r="Y7" s="3413" t="s">
        <v>2294</v>
      </c>
      <c r="Z7" s="3414"/>
      <c r="AA7" s="713" t="e">
        <f>D7/F7</f>
        <v>#DIV/0!</v>
      </c>
      <c r="AB7" s="713" t="e">
        <f>D7/H7</f>
        <v>#DIV/0!</v>
      </c>
      <c r="AC7" s="713" t="e">
        <f>D7/J7</f>
        <v>#DIV/0!</v>
      </c>
    </row>
    <row r="8" spans="1:29" s="113" customFormat="1" ht="15.75" thickBot="1">
      <c r="A8" s="368" t="s">
        <v>2295</v>
      </c>
      <c r="B8" s="369"/>
      <c r="C8" s="374" t="s">
        <v>2397</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13" t="s">
        <v>2297</v>
      </c>
      <c r="Q8" s="3414"/>
      <c r="R8" s="710" t="s">
        <v>17</v>
      </c>
      <c r="S8" s="711">
        <f t="shared" si="0"/>
        <v>0</v>
      </c>
      <c r="T8" s="710" t="s">
        <v>17</v>
      </c>
      <c r="U8" s="711">
        <f t="shared" si="1"/>
        <v>0</v>
      </c>
      <c r="V8" s="710" t="s">
        <v>17</v>
      </c>
      <c r="W8" s="711">
        <f t="shared" si="2"/>
        <v>0</v>
      </c>
      <c r="X8" s="712"/>
      <c r="Y8" s="3413" t="s">
        <v>2297</v>
      </c>
      <c r="Z8" s="3414"/>
      <c r="AA8" s="713" t="e">
        <f t="shared" ref="AA8:AA34" si="3">D8/F8</f>
        <v>#DIV/0!</v>
      </c>
      <c r="AB8" s="713" t="e">
        <f t="shared" ref="AB8:AB34" si="4">D8/H8</f>
        <v>#DIV/0!</v>
      </c>
      <c r="AC8" s="713" t="e">
        <f t="shared" ref="AC8:AC34" si="5">D8/J8</f>
        <v>#DIV/0!</v>
      </c>
    </row>
    <row r="9" spans="1:29" s="113" customFormat="1">
      <c r="A9" s="375" t="s">
        <v>2298</v>
      </c>
      <c r="B9" s="67" t="s">
        <v>2299</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379" t="s">
        <v>2300</v>
      </c>
      <c r="Q9" s="1497" t="str">
        <f t="shared" ref="Q9:Q14" si="6">B9</f>
        <v>用途</v>
      </c>
      <c r="R9" s="710" t="s">
        <v>17</v>
      </c>
      <c r="S9" s="711">
        <f t="shared" si="0"/>
        <v>100</v>
      </c>
      <c r="T9" s="710" t="s">
        <v>17</v>
      </c>
      <c r="U9" s="711">
        <f t="shared" si="1"/>
        <v>100</v>
      </c>
      <c r="V9" s="710" t="s">
        <v>17</v>
      </c>
      <c r="W9" s="711">
        <f t="shared" si="2"/>
        <v>100</v>
      </c>
      <c r="X9" s="712"/>
      <c r="Y9" s="3291" t="s">
        <v>2301</v>
      </c>
      <c r="Z9" s="55" t="str">
        <f t="shared" ref="Z9:Z14" si="7">Q9</f>
        <v>用途</v>
      </c>
      <c r="AA9" s="713">
        <f t="shared" si="3"/>
        <v>1</v>
      </c>
      <c r="AB9" s="713">
        <f t="shared" si="4"/>
        <v>1</v>
      </c>
      <c r="AC9" s="713">
        <f t="shared" si="5"/>
        <v>1</v>
      </c>
    </row>
    <row r="10" spans="1:29" s="386" customFormat="1" ht="27">
      <c r="A10" s="380"/>
      <c r="B10" s="381" t="s">
        <v>2302</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379"/>
      <c r="Q10" s="1497" t="str">
        <f t="shared" si="6"/>
        <v>土地使用年限（年）</v>
      </c>
      <c r="R10" s="710" t="s">
        <v>17</v>
      </c>
      <c r="S10" s="711">
        <f t="shared" si="0"/>
        <v>100</v>
      </c>
      <c r="T10" s="710" t="s">
        <v>17</v>
      </c>
      <c r="U10" s="711">
        <f t="shared" si="1"/>
        <v>100</v>
      </c>
      <c r="V10" s="710" t="s">
        <v>17</v>
      </c>
      <c r="W10" s="711">
        <f t="shared" si="2"/>
        <v>100</v>
      </c>
      <c r="X10" s="712"/>
      <c r="Y10" s="3291"/>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379"/>
      <c r="Q11" s="1497">
        <f t="shared" si="6"/>
        <v>111</v>
      </c>
      <c r="R11" s="710" t="s">
        <v>17</v>
      </c>
      <c r="S11" s="711">
        <f t="shared" si="0"/>
        <v>100</v>
      </c>
      <c r="T11" s="710" t="s">
        <v>17</v>
      </c>
      <c r="U11" s="711">
        <f t="shared" si="1"/>
        <v>100</v>
      </c>
      <c r="V11" s="710" t="s">
        <v>17</v>
      </c>
      <c r="W11" s="711">
        <f t="shared" si="2"/>
        <v>100</v>
      </c>
      <c r="X11" s="712"/>
      <c r="Y11" s="3291"/>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379"/>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00"/>
      <c r="M13" s="2894"/>
      <c r="N13" s="2894"/>
      <c r="O13" s="2952"/>
      <c r="P13" s="3379"/>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713">
        <f t="shared" si="5"/>
        <v>1</v>
      </c>
    </row>
    <row r="14" spans="1:29" ht="15">
      <c r="A14" s="399" t="s">
        <v>2304</v>
      </c>
      <c r="B14" s="65" t="s">
        <v>2454</v>
      </c>
      <c r="C14" s="2127">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384" t="s">
        <v>2305</v>
      </c>
      <c r="Q14" s="1506" t="str">
        <f t="shared" si="6"/>
        <v>交通便捷度</v>
      </c>
      <c r="R14" s="714" t="s">
        <v>17</v>
      </c>
      <c r="S14" s="715">
        <f t="shared" si="0"/>
        <v>100</v>
      </c>
      <c r="T14" s="714" t="s">
        <v>17</v>
      </c>
      <c r="U14" s="715">
        <f t="shared" si="1"/>
        <v>100</v>
      </c>
      <c r="V14" s="714" t="s">
        <v>17</v>
      </c>
      <c r="W14" s="715">
        <f t="shared" si="2"/>
        <v>100</v>
      </c>
      <c r="X14" s="1509"/>
      <c r="Y14" s="3384" t="s">
        <v>2305</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00"/>
      <c r="M15" s="2894"/>
      <c r="N15" s="2894"/>
      <c r="O15" s="2952"/>
      <c r="P15" s="3385"/>
      <c r="Q15" s="1506"/>
      <c r="R15" s="714"/>
      <c r="S15" s="715"/>
      <c r="T15" s="714"/>
      <c r="U15" s="715"/>
      <c r="V15" s="714"/>
      <c r="W15" s="715"/>
      <c r="X15" s="1509"/>
      <c r="Y15" s="3385"/>
      <c r="Z15" s="1510"/>
      <c r="AA15" s="1507">
        <v>1</v>
      </c>
      <c r="AB15" s="1507">
        <v>1</v>
      </c>
      <c r="AC15" s="1507">
        <v>1</v>
      </c>
    </row>
    <row r="16" spans="1:29" ht="15">
      <c r="A16" s="387"/>
      <c r="B16" s="410" t="s">
        <v>2433</v>
      </c>
      <c r="C16" s="2056">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385"/>
      <c r="Q16" s="1506" t="str">
        <f>B16</f>
        <v>公共配套设施</v>
      </c>
      <c r="R16" s="714" t="s">
        <v>17</v>
      </c>
      <c r="S16" s="715">
        <f>F16</f>
        <v>100</v>
      </c>
      <c r="T16" s="714" t="s">
        <v>17</v>
      </c>
      <c r="U16" s="715">
        <f>H16</f>
        <v>100</v>
      </c>
      <c r="V16" s="714" t="s">
        <v>17</v>
      </c>
      <c r="W16" s="715">
        <f>J16</f>
        <v>100</v>
      </c>
      <c r="X16" s="1509"/>
      <c r="Y16" s="3385"/>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00"/>
      <c r="M17" s="2894"/>
      <c r="N17" s="2894"/>
      <c r="O17" s="2952"/>
      <c r="P17" s="3385"/>
      <c r="Q17" s="1506"/>
      <c r="R17" s="714"/>
      <c r="S17" s="715"/>
      <c r="T17" s="714"/>
      <c r="U17" s="715"/>
      <c r="V17" s="714"/>
      <c r="W17" s="715"/>
      <c r="X17" s="1509"/>
      <c r="Y17" s="3385"/>
      <c r="Z17" s="1510"/>
      <c r="AA17" s="1507">
        <v>1</v>
      </c>
      <c r="AB17" s="1507">
        <v>1</v>
      </c>
      <c r="AC17" s="1507">
        <v>1</v>
      </c>
    </row>
    <row r="18" spans="1:29" ht="15">
      <c r="A18" s="387"/>
      <c r="B18" s="1265" t="s">
        <v>2434</v>
      </c>
      <c r="C18" s="2056">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385"/>
      <c r="Q18" s="1506" t="str">
        <f>B18</f>
        <v>基础设施水平</v>
      </c>
      <c r="R18" s="714" t="s">
        <v>17</v>
      </c>
      <c r="S18" s="715">
        <f>F18</f>
        <v>100</v>
      </c>
      <c r="T18" s="714" t="s">
        <v>17</v>
      </c>
      <c r="U18" s="715">
        <f>H18</f>
        <v>100</v>
      </c>
      <c r="V18" s="714" t="s">
        <v>17</v>
      </c>
      <c r="W18" s="715">
        <f>J18</f>
        <v>100</v>
      </c>
      <c r="X18" s="1509"/>
      <c r="Y18" s="3385"/>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00"/>
      <c r="M19" s="2894"/>
      <c r="N19" s="2894"/>
      <c r="O19" s="2952"/>
      <c r="P19" s="3385"/>
      <c r="Q19" s="1506"/>
      <c r="R19" s="714"/>
      <c r="S19" s="715"/>
      <c r="T19" s="714"/>
      <c r="U19" s="715"/>
      <c r="V19" s="714"/>
      <c r="W19" s="715"/>
      <c r="X19" s="1509"/>
      <c r="Y19" s="3385"/>
      <c r="Z19" s="1510"/>
      <c r="AA19" s="1507">
        <v>1</v>
      </c>
      <c r="AB19" s="1507">
        <v>1</v>
      </c>
      <c r="AC19" s="1507">
        <v>1</v>
      </c>
    </row>
    <row r="20" spans="1:29" ht="15">
      <c r="A20" s="387"/>
      <c r="B20" s="410" t="s">
        <v>2455</v>
      </c>
      <c r="C20" s="2056">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385"/>
      <c r="Q20" s="1506" t="str">
        <f>B20</f>
        <v>自然及人文环境</v>
      </c>
      <c r="R20" s="714" t="s">
        <v>17</v>
      </c>
      <c r="S20" s="715">
        <f>F20</f>
        <v>100</v>
      </c>
      <c r="T20" s="714" t="s">
        <v>17</v>
      </c>
      <c r="U20" s="715">
        <f>H20</f>
        <v>100</v>
      </c>
      <c r="V20" s="714" t="s">
        <v>17</v>
      </c>
      <c r="W20" s="715">
        <f>J20</f>
        <v>100</v>
      </c>
      <c r="X20" s="1509"/>
      <c r="Y20" s="338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00"/>
      <c r="M21" s="2894"/>
      <c r="N21" s="2894"/>
      <c r="O21" s="2952"/>
      <c r="P21" s="3385"/>
      <c r="Q21" s="1506"/>
      <c r="R21" s="714"/>
      <c r="S21" s="715"/>
      <c r="T21" s="714"/>
      <c r="U21" s="715"/>
      <c r="V21" s="714"/>
      <c r="W21" s="715"/>
      <c r="X21" s="1509"/>
      <c r="Y21" s="3385"/>
      <c r="Z21" s="1510"/>
      <c r="AA21" s="1507">
        <v>1</v>
      </c>
      <c r="AB21" s="1507">
        <v>1</v>
      </c>
      <c r="AC21" s="1507">
        <v>1</v>
      </c>
    </row>
    <row r="22" spans="1:29" ht="15">
      <c r="A22" s="387"/>
      <c r="B22" s="410" t="s">
        <v>2456</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385"/>
      <c r="Q22" s="1506" t="str">
        <f>B22</f>
        <v>楼层</v>
      </c>
      <c r="R22" s="714" t="s">
        <v>17</v>
      </c>
      <c r="S22" s="715">
        <f>F22</f>
        <v>100</v>
      </c>
      <c r="T22" s="714" t="s">
        <v>17</v>
      </c>
      <c r="U22" s="715">
        <f>H22</f>
        <v>100</v>
      </c>
      <c r="V22" s="714" t="s">
        <v>17</v>
      </c>
      <c r="W22" s="715">
        <f>J22</f>
        <v>100</v>
      </c>
      <c r="X22" s="1509"/>
      <c r="Y22" s="3385"/>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385"/>
      <c r="Q23" s="1506">
        <f>B23</f>
        <v>111</v>
      </c>
      <c r="R23" s="714" t="s">
        <v>17</v>
      </c>
      <c r="S23" s="715">
        <f>F23</f>
        <v>100</v>
      </c>
      <c r="T23" s="714" t="s">
        <v>17</v>
      </c>
      <c r="U23" s="715">
        <f>H23</f>
        <v>100</v>
      </c>
      <c r="V23" s="714" t="s">
        <v>17</v>
      </c>
      <c r="W23" s="715">
        <f>J23</f>
        <v>100</v>
      </c>
      <c r="X23" s="1509"/>
      <c r="Y23" s="3385"/>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385"/>
      <c r="Q24" s="1506">
        <f t="shared" ref="Q24:Q34" si="11">B24</f>
        <v>111</v>
      </c>
      <c r="R24" s="714" t="s">
        <v>17</v>
      </c>
      <c r="S24" s="715">
        <f>F24</f>
        <v>100</v>
      </c>
      <c r="T24" s="714" t="s">
        <v>17</v>
      </c>
      <c r="U24" s="715">
        <f>H24</f>
        <v>100</v>
      </c>
      <c r="V24" s="714" t="s">
        <v>17</v>
      </c>
      <c r="W24" s="715">
        <f>J24</f>
        <v>100</v>
      </c>
      <c r="X24" s="1509"/>
      <c r="Y24" s="3385"/>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895"/>
      <c r="M25" s="2896"/>
      <c r="N25" s="2896"/>
      <c r="O25" s="2950"/>
      <c r="P25" s="3385"/>
      <c r="Q25" s="1497">
        <f t="shared" si="11"/>
        <v>111</v>
      </c>
      <c r="R25" s="710" t="s">
        <v>17</v>
      </c>
      <c r="S25" s="711">
        <f>F25</f>
        <v>100</v>
      </c>
      <c r="T25" s="710" t="s">
        <v>17</v>
      </c>
      <c r="U25" s="711">
        <f>H25</f>
        <v>100</v>
      </c>
      <c r="V25" s="710" t="s">
        <v>17</v>
      </c>
      <c r="W25" s="711">
        <f>J25</f>
        <v>100</v>
      </c>
      <c r="X25" s="712"/>
      <c r="Y25" s="3385"/>
      <c r="Z25" s="55">
        <f>Q25</f>
        <v>111</v>
      </c>
      <c r="AA25" s="1507">
        <f>D25/F25</f>
        <v>1</v>
      </c>
      <c r="AB25" s="1507">
        <f>D25/H25</f>
        <v>1</v>
      </c>
      <c r="AC25" s="1507">
        <f>D25/J25</f>
        <v>1</v>
      </c>
    </row>
    <row r="26" spans="1:29" ht="28.5">
      <c r="A26" s="425" t="s">
        <v>2308</v>
      </c>
      <c r="B26" s="67" t="s">
        <v>2459</v>
      </c>
      <c r="C26" s="2123"/>
      <c r="D26" s="426">
        <v>100</v>
      </c>
      <c r="E26" s="2123"/>
      <c r="F26" s="623">
        <f>SUMIF(77:77,E26,78:78)-SUMIF(77:77,C26,78:78)+100</f>
        <v>100</v>
      </c>
      <c r="G26" s="2123"/>
      <c r="H26" s="426">
        <f>SUMIF(77:77,G26,78:78)-SUMIF(77:77,C26,78:78)+100</f>
        <v>100</v>
      </c>
      <c r="I26" s="2123"/>
      <c r="J26" s="426">
        <f>SUMIF(77:77,I26,78:78)-SUMIF(77:77,C26,78:78)+100</f>
        <v>100</v>
      </c>
      <c r="K26" s="569"/>
      <c r="L26" s="2900"/>
      <c r="M26" s="2894"/>
      <c r="N26" s="2894"/>
      <c r="O26" s="2952"/>
      <c r="P26" s="3386" t="s">
        <v>2310</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387" t="s">
        <v>2310</v>
      </c>
      <c r="Z26" s="1510" t="str">
        <f t="shared" ref="Z26:Z34" si="15">Q26</f>
        <v>公共部分装修</v>
      </c>
      <c r="AA26" s="1507">
        <f t="shared" si="3"/>
        <v>1</v>
      </c>
      <c r="AB26" s="1507">
        <f t="shared" si="4"/>
        <v>1</v>
      </c>
      <c r="AC26" s="1507">
        <f t="shared" si="5"/>
        <v>1</v>
      </c>
    </row>
    <row r="27" spans="1:29" s="430" customFormat="1" ht="15">
      <c r="A27" s="427"/>
      <c r="B27" s="381" t="s">
        <v>2460</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387"/>
      <c r="Q27" s="716" t="str">
        <f t="shared" si="11"/>
        <v>成新率</v>
      </c>
      <c r="R27" s="717" t="s">
        <v>17</v>
      </c>
      <c r="S27" s="718" t="e">
        <f t="shared" si="12"/>
        <v>#N/A</v>
      </c>
      <c r="T27" s="717" t="s">
        <v>17</v>
      </c>
      <c r="U27" s="718" t="e">
        <f t="shared" si="13"/>
        <v>#N/A</v>
      </c>
      <c r="V27" s="717" t="s">
        <v>17</v>
      </c>
      <c r="W27" s="718" t="e">
        <f t="shared" si="14"/>
        <v>#N/A</v>
      </c>
      <c r="X27" s="719"/>
      <c r="Y27" s="3387"/>
      <c r="Z27" s="720" t="str">
        <f t="shared" si="15"/>
        <v>成新率</v>
      </c>
      <c r="AA27" s="1507" t="e">
        <f t="shared" si="3"/>
        <v>#N/A</v>
      </c>
      <c r="AB27" s="1507" t="e">
        <f t="shared" si="4"/>
        <v>#N/A</v>
      </c>
      <c r="AC27" s="1507" t="e">
        <f t="shared" si="5"/>
        <v>#N/A</v>
      </c>
    </row>
    <row r="28" spans="1:29" ht="15">
      <c r="A28" s="431"/>
      <c r="B28" s="381" t="s">
        <v>2461</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387"/>
      <c r="Q28" s="1506" t="str">
        <f t="shared" si="11"/>
        <v>物业等级</v>
      </c>
      <c r="R28" s="714" t="s">
        <v>17</v>
      </c>
      <c r="S28" s="715">
        <f t="shared" si="12"/>
        <v>100</v>
      </c>
      <c r="T28" s="714" t="s">
        <v>17</v>
      </c>
      <c r="U28" s="715">
        <f t="shared" si="13"/>
        <v>100</v>
      </c>
      <c r="V28" s="714" t="s">
        <v>17</v>
      </c>
      <c r="W28" s="715">
        <f t="shared" si="14"/>
        <v>100</v>
      </c>
      <c r="X28" s="1509"/>
      <c r="Y28" s="3387"/>
      <c r="Z28" s="1510" t="str">
        <f t="shared" si="15"/>
        <v>物业等级</v>
      </c>
      <c r="AA28" s="1507">
        <f t="shared" si="3"/>
        <v>1</v>
      </c>
      <c r="AB28" s="1507">
        <f t="shared" si="4"/>
        <v>1</v>
      </c>
      <c r="AC28" s="1507">
        <f t="shared" si="5"/>
        <v>1</v>
      </c>
    </row>
    <row r="29" spans="1:29" ht="15">
      <c r="A29" s="431"/>
      <c r="B29" s="381" t="s">
        <v>2482</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387"/>
      <c r="Q29" s="1506" t="str">
        <f t="shared" si="11"/>
        <v>有无电梯</v>
      </c>
      <c r="R29" s="714" t="s">
        <v>17</v>
      </c>
      <c r="S29" s="715">
        <f t="shared" si="12"/>
        <v>100</v>
      </c>
      <c r="T29" s="714" t="s">
        <v>17</v>
      </c>
      <c r="U29" s="715">
        <f t="shared" si="13"/>
        <v>100</v>
      </c>
      <c r="V29" s="714" t="s">
        <v>17</v>
      </c>
      <c r="W29" s="715">
        <f t="shared" si="14"/>
        <v>100</v>
      </c>
      <c r="X29" s="1509"/>
      <c r="Y29" s="3387"/>
      <c r="Z29" s="1510" t="str">
        <f t="shared" si="15"/>
        <v>有无电梯</v>
      </c>
      <c r="AA29" s="1507">
        <f t="shared" si="3"/>
        <v>1</v>
      </c>
      <c r="AB29" s="1507">
        <f t="shared" si="4"/>
        <v>1</v>
      </c>
      <c r="AC29" s="1507">
        <f t="shared" si="5"/>
        <v>1</v>
      </c>
    </row>
    <row r="30" spans="1:29" ht="15">
      <c r="A30" s="431"/>
      <c r="B30" s="381" t="s">
        <v>2483</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387"/>
      <c r="Q30" s="1506" t="str">
        <f t="shared" si="11"/>
        <v>建筑面积</v>
      </c>
      <c r="R30" s="714" t="s">
        <v>17</v>
      </c>
      <c r="S30" s="715" t="e">
        <f t="shared" si="12"/>
        <v>#N/A</v>
      </c>
      <c r="T30" s="714" t="s">
        <v>17</v>
      </c>
      <c r="U30" s="715" t="e">
        <f t="shared" si="13"/>
        <v>#N/A</v>
      </c>
      <c r="V30" s="714" t="s">
        <v>17</v>
      </c>
      <c r="W30" s="715" t="e">
        <f t="shared" si="14"/>
        <v>#N/A</v>
      </c>
      <c r="X30" s="1509"/>
      <c r="Y30" s="3387"/>
      <c r="Z30" s="1510" t="str">
        <f t="shared" si="15"/>
        <v>建筑面积</v>
      </c>
      <c r="AA30" s="1507" t="e">
        <f t="shared" si="3"/>
        <v>#N/A</v>
      </c>
      <c r="AB30" s="1507" t="e">
        <f t="shared" si="4"/>
        <v>#N/A</v>
      </c>
      <c r="AC30" s="1507" t="e">
        <f t="shared" si="5"/>
        <v>#N/A</v>
      </c>
    </row>
    <row r="31" spans="1:29" s="113" customFormat="1" ht="15">
      <c r="A31" s="432"/>
      <c r="B31" s="381" t="s">
        <v>2484</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387"/>
      <c r="Q31" s="1497" t="str">
        <f t="shared" si="11"/>
        <v>是否封闭</v>
      </c>
      <c r="R31" s="710" t="s">
        <v>17</v>
      </c>
      <c r="S31" s="711">
        <f t="shared" si="12"/>
        <v>100</v>
      </c>
      <c r="T31" s="710" t="s">
        <v>17</v>
      </c>
      <c r="U31" s="711">
        <f t="shared" si="13"/>
        <v>100</v>
      </c>
      <c r="V31" s="710" t="s">
        <v>17</v>
      </c>
      <c r="W31" s="711">
        <f t="shared" si="14"/>
        <v>100</v>
      </c>
      <c r="X31" s="712"/>
      <c r="Y31" s="3387"/>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387" t="s">
        <v>2310</v>
      </c>
      <c r="Q32" s="1506">
        <f t="shared" si="11"/>
        <v>111</v>
      </c>
      <c r="R32" s="714" t="s">
        <v>17</v>
      </c>
      <c r="S32" s="715">
        <f t="shared" si="12"/>
        <v>100</v>
      </c>
      <c r="T32" s="714" t="s">
        <v>17</v>
      </c>
      <c r="U32" s="715">
        <f t="shared" si="13"/>
        <v>100</v>
      </c>
      <c r="V32" s="714" t="s">
        <v>17</v>
      </c>
      <c r="W32" s="715">
        <f t="shared" si="14"/>
        <v>100</v>
      </c>
      <c r="X32" s="1509"/>
      <c r="Y32" s="3387" t="s">
        <v>2310</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387"/>
      <c r="Q33" s="1506">
        <f t="shared" si="11"/>
        <v>111</v>
      </c>
      <c r="R33" s="714" t="s">
        <v>17</v>
      </c>
      <c r="S33" s="715">
        <f t="shared" si="12"/>
        <v>100</v>
      </c>
      <c r="T33" s="714" t="s">
        <v>17</v>
      </c>
      <c r="U33" s="715">
        <f t="shared" si="13"/>
        <v>100</v>
      </c>
      <c r="V33" s="714" t="s">
        <v>17</v>
      </c>
      <c r="W33" s="715">
        <f t="shared" si="14"/>
        <v>100</v>
      </c>
      <c r="X33" s="1509"/>
      <c r="Y33" s="3387"/>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00"/>
      <c r="M34" s="2894"/>
      <c r="N34" s="2894"/>
      <c r="O34" s="2952"/>
      <c r="P34" s="3387"/>
      <c r="Q34" s="1506">
        <f t="shared" si="11"/>
        <v>111</v>
      </c>
      <c r="R34" s="714" t="s">
        <v>17</v>
      </c>
      <c r="S34" s="715">
        <f t="shared" si="12"/>
        <v>100</v>
      </c>
      <c r="T34" s="714" t="s">
        <v>17</v>
      </c>
      <c r="U34" s="715">
        <f t="shared" si="13"/>
        <v>100</v>
      </c>
      <c r="V34" s="714" t="s">
        <v>17</v>
      </c>
      <c r="W34" s="715">
        <f t="shared" si="14"/>
        <v>100</v>
      </c>
      <c r="X34" s="1509"/>
      <c r="Y34" s="3387"/>
      <c r="Z34" s="1510">
        <f t="shared" si="15"/>
        <v>111</v>
      </c>
      <c r="AA34" s="1507">
        <f t="shared" si="3"/>
        <v>1</v>
      </c>
      <c r="AB34" s="1507">
        <f t="shared" si="4"/>
        <v>1</v>
      </c>
      <c r="AC34" s="1507">
        <f t="shared" si="5"/>
        <v>1</v>
      </c>
    </row>
    <row r="35" spans="1:30" ht="15">
      <c r="A35" s="438" t="s">
        <v>2322</v>
      </c>
      <c r="B35" s="439"/>
      <c r="C35" s="1288" t="s">
        <v>1</v>
      </c>
      <c r="D35" s="1289"/>
      <c r="E35" s="1290"/>
      <c r="F35" s="1291"/>
      <c r="G35" s="1292"/>
      <c r="H35" s="1293"/>
      <c r="I35" s="1290"/>
      <c r="J35" s="1293"/>
      <c r="K35" s="723"/>
      <c r="L35" s="2902"/>
      <c r="M35" s="2903"/>
      <c r="N35" s="2894"/>
      <c r="O35" s="2903"/>
      <c r="P35" s="3379" t="str">
        <f>A35</f>
        <v>成交单价（元/平方米）</v>
      </c>
      <c r="Q35" s="3379"/>
      <c r="R35" s="3380">
        <f>E35</f>
        <v>0</v>
      </c>
      <c r="S35" s="3380"/>
      <c r="T35" s="3380">
        <f>G35</f>
        <v>0</v>
      </c>
      <c r="U35" s="3380"/>
      <c r="V35" s="3380">
        <f>I35</f>
        <v>0</v>
      </c>
      <c r="W35" s="3380"/>
      <c r="X35" s="699"/>
      <c r="Y35" s="721"/>
      <c r="Z35" s="699"/>
      <c r="AA35" s="699"/>
      <c r="AB35" s="699"/>
      <c r="AC35" s="699"/>
    </row>
    <row r="36" spans="1:30" ht="15.75" thickBot="1">
      <c r="A36" s="445" t="s">
        <v>2414</v>
      </c>
      <c r="B36" s="446"/>
      <c r="C36" s="1294" t="e">
        <f>R37</f>
        <v>#DIV/0!</v>
      </c>
      <c r="D36" s="2508" t="s">
        <v>2803</v>
      </c>
      <c r="E36" s="1295" t="e">
        <f>R36</f>
        <v>#DIV/0!</v>
      </c>
      <c r="F36" s="2509"/>
      <c r="G36" s="1294" t="e">
        <f>T36</f>
        <v>#DIV/0!</v>
      </c>
      <c r="H36" s="2509"/>
      <c r="I36" s="1295" t="e">
        <f>V36</f>
        <v>#DIV/0!</v>
      </c>
      <c r="J36" s="2509"/>
      <c r="K36" s="2511">
        <f>F36+H36+J36</f>
        <v>0</v>
      </c>
      <c r="L36" s="2902"/>
      <c r="M36" s="2903"/>
      <c r="N36" s="2894"/>
      <c r="O36" s="2903"/>
      <c r="P36" s="3379" t="str">
        <f>A36</f>
        <v>比较价值（元/平方米）</v>
      </c>
      <c r="Q36" s="3379"/>
      <c r="R36" s="3380" t="e">
        <f>IF(F1="售价",ROUND(PRODUCT(R35,AA7:AA34),0),ROUND(PRODUCT(R35,AA7:AA34),1))</f>
        <v>#DIV/0!</v>
      </c>
      <c r="S36" s="3380"/>
      <c r="T36" s="3380" t="e">
        <f>IF(F1="售价",ROUND(PRODUCT(T35,AB7:AB34),0),ROUND(PRODUCT(T35,AB7:AB34),1))</f>
        <v>#DIV/0!</v>
      </c>
      <c r="U36" s="3380"/>
      <c r="V36" s="3380" t="e">
        <f>IF(F1="售价",ROUND(PRODUCT(V35,AC7:AC34),0),ROUND(PRODUCT(V35,AC7:AC34),1))</f>
        <v>#DIV/0!</v>
      </c>
      <c r="W36" s="3380"/>
      <c r="X36" s="699"/>
      <c r="Y36" s="699"/>
      <c r="Z36" s="699"/>
      <c r="AA36" s="699"/>
      <c r="AB36" s="699"/>
      <c r="AC36" s="699"/>
    </row>
    <row r="37" spans="1:30" ht="15.75" thickBot="1">
      <c r="A37" s="449" t="s">
        <v>2415</v>
      </c>
      <c r="B37" s="450"/>
      <c r="C37" s="1297" t="e">
        <f>R37</f>
        <v>#DIV/0!</v>
      </c>
      <c r="D37" s="1297"/>
      <c r="E37" s="1297"/>
      <c r="F37" s="1297"/>
      <c r="G37" s="1297"/>
      <c r="H37" s="1297"/>
      <c r="I37" s="1297"/>
      <c r="J37" s="1297"/>
      <c r="K37" s="724"/>
      <c r="L37" s="2902"/>
      <c r="M37" s="2903"/>
      <c r="N37" s="2903"/>
      <c r="O37" s="2903"/>
      <c r="P37" s="3381" t="str">
        <f>A37</f>
        <v>估价对象XX用房的比较价值（楼面单价，元/平方米）</v>
      </c>
      <c r="Q37" s="3382"/>
      <c r="R37" s="3498" t="e">
        <f>IF(F1="售价",ROUND(IF(D36="简单平均",AVERAGE(R36:W36),R36*F36+T36*H36+V36*J36),0),ROUND(IF(D36="简单平均",AVERAGE(R36:V36),R36*F36+T36*H36+V36*J36),1))</f>
        <v>#DIV/0!</v>
      </c>
      <c r="S37" s="3498"/>
      <c r="T37" s="3498"/>
      <c r="U37" s="3498"/>
      <c r="V37" s="3498"/>
      <c r="W37" s="3498"/>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2416</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2417</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2418</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2419</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2293</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31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2330</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2295</v>
      </c>
      <c r="B49" s="467"/>
      <c r="C49" s="479" t="s">
        <v>2397</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2333</v>
      </c>
      <c r="B51" s="485" t="s">
        <v>2299</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2302</v>
      </c>
      <c r="C53" s="496" t="s">
        <v>2334</v>
      </c>
      <c r="D53" s="496" t="s">
        <v>2335</v>
      </c>
      <c r="E53" s="496" t="s">
        <v>2336</v>
      </c>
      <c r="F53" s="496" t="s">
        <v>2337</v>
      </c>
      <c r="G53" s="496" t="s">
        <v>2338</v>
      </c>
      <c r="H53" s="496" t="s">
        <v>2339</v>
      </c>
      <c r="I53" s="496" t="s">
        <v>2340</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2304</v>
      </c>
      <c r="B61" s="485" t="s">
        <v>2347</v>
      </c>
      <c r="C61" s="530" t="s">
        <v>2342</v>
      </c>
      <c r="D61" s="530" t="s">
        <v>2343</v>
      </c>
      <c r="E61" s="530" t="s">
        <v>2344</v>
      </c>
      <c r="F61" s="530" t="s">
        <v>2345</v>
      </c>
      <c r="G61" s="530" t="s">
        <v>2346</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2485</v>
      </c>
      <c r="C63" s="535" t="s">
        <v>2342</v>
      </c>
      <c r="D63" s="535" t="s">
        <v>2343</v>
      </c>
      <c r="E63" s="535" t="s">
        <v>2344</v>
      </c>
      <c r="F63" s="535" t="s">
        <v>2345</v>
      </c>
      <c r="G63" s="535" t="s">
        <v>2346</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2434</v>
      </c>
      <c r="C65" s="616" t="s">
        <v>2420</v>
      </c>
      <c r="D65" s="616" t="s">
        <v>2421</v>
      </c>
      <c r="E65" s="616" t="s">
        <v>2422</v>
      </c>
      <c r="F65" s="616" t="s">
        <v>2423</v>
      </c>
      <c r="G65" s="616" t="s">
        <v>2424</v>
      </c>
      <c r="H65" s="496"/>
      <c r="I65" s="496"/>
      <c r="J65" s="496"/>
      <c r="K65" s="496"/>
      <c r="L65" s="496"/>
      <c r="M65" s="1263"/>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2354</v>
      </c>
      <c r="C67" s="535" t="s">
        <v>2342</v>
      </c>
      <c r="D67" s="535" t="s">
        <v>2343</v>
      </c>
      <c r="E67" s="535" t="s">
        <v>2344</v>
      </c>
      <c r="F67" s="535" t="s">
        <v>2345</v>
      </c>
      <c r="G67" s="535" t="s">
        <v>2346</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2474</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2308</v>
      </c>
      <c r="B77" s="485" t="s">
        <v>2361</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2477</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2478</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2486</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2487</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2488</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67"/>
      <c r="B98" s="1067"/>
      <c r="C98" s="1067"/>
      <c r="D98" s="1067"/>
      <c r="E98" s="1067"/>
      <c r="F98" s="1067"/>
      <c r="G98" s="1067"/>
      <c r="H98" s="1067"/>
      <c r="I98" s="1067"/>
      <c r="J98" s="1067"/>
      <c r="K98" s="1068"/>
      <c r="L98" s="1069"/>
      <c r="M98" s="1067"/>
      <c r="N98" s="2903"/>
      <c r="O98" s="2903"/>
      <c r="P98" s="2903"/>
      <c r="Q98" s="2903"/>
      <c r="R98" s="2903"/>
      <c r="S98" s="2903"/>
      <c r="T98" s="2903"/>
      <c r="U98" s="2903"/>
      <c r="V98" s="2903"/>
      <c r="W98" s="2903"/>
      <c r="X98" s="2903"/>
      <c r="Y98" s="2903"/>
      <c r="Z98" s="2903"/>
      <c r="AA98" s="2903"/>
      <c r="AB98" s="2903"/>
      <c r="AC98" s="2903"/>
      <c r="AD98" s="2903"/>
    </row>
    <row r="99" spans="1:30">
      <c r="A99" s="1067"/>
      <c r="B99" s="1067"/>
      <c r="C99" s="1067"/>
      <c r="D99" s="1067"/>
      <c r="E99" s="1067"/>
      <c r="F99" s="1067"/>
      <c r="G99" s="1067"/>
      <c r="H99" s="1067"/>
      <c r="I99" s="1067"/>
      <c r="J99" s="1067"/>
      <c r="K99" s="1068"/>
      <c r="L99" s="1069"/>
      <c r="M99" s="1067"/>
      <c r="N99" s="2903"/>
      <c r="O99" s="2903"/>
      <c r="P99" s="2903"/>
      <c r="Q99" s="2903"/>
      <c r="R99" s="2903"/>
      <c r="S99" s="2903"/>
      <c r="T99" s="2903"/>
      <c r="U99" s="2903"/>
      <c r="V99" s="2903"/>
      <c r="W99" s="2903"/>
      <c r="X99" s="2903"/>
      <c r="Y99" s="2903"/>
      <c r="Z99" s="2903"/>
      <c r="AA99" s="2903"/>
      <c r="AB99" s="2903"/>
      <c r="AC99" s="2903"/>
      <c r="AD99" s="2903"/>
    </row>
    <row r="100" spans="1:30">
      <c r="A100" s="1067"/>
      <c r="B100" s="1067"/>
      <c r="C100" s="1067"/>
      <c r="D100" s="1067"/>
      <c r="E100" s="1067"/>
      <c r="F100" s="1067"/>
      <c r="G100" s="1067"/>
      <c r="H100" s="1067"/>
      <c r="I100" s="1067"/>
      <c r="J100" s="1067"/>
      <c r="K100" s="1068"/>
      <c r="L100" s="1069"/>
      <c r="M100" s="1067"/>
      <c r="N100" s="2903"/>
      <c r="O100" s="2903"/>
      <c r="P100" s="2903"/>
      <c r="Q100" s="2903"/>
      <c r="R100" s="2903"/>
      <c r="S100" s="2903"/>
      <c r="T100" s="2903"/>
      <c r="U100" s="2903"/>
      <c r="V100" s="2903"/>
      <c r="W100" s="2903"/>
      <c r="X100" s="2903"/>
      <c r="Y100" s="2903"/>
      <c r="Z100" s="2903"/>
      <c r="AA100" s="2903"/>
      <c r="AB100" s="2903"/>
      <c r="AC100" s="2903"/>
      <c r="AD100" s="2903"/>
    </row>
    <row r="101" spans="1:30">
      <c r="A101" s="1067"/>
      <c r="B101" s="1067"/>
      <c r="C101" s="1067"/>
      <c r="D101" s="1067"/>
      <c r="E101" s="1067"/>
      <c r="F101" s="1067"/>
      <c r="G101" s="1067"/>
      <c r="H101" s="1067"/>
      <c r="I101" s="1067"/>
      <c r="J101" s="1067"/>
      <c r="K101" s="1068"/>
      <c r="L101" s="1069"/>
      <c r="M101" s="1067"/>
      <c r="N101" s="2903"/>
      <c r="O101" s="2903"/>
      <c r="P101" s="2903"/>
      <c r="Q101" s="2903"/>
      <c r="R101" s="2903"/>
      <c r="S101" s="2903"/>
      <c r="T101" s="2903"/>
      <c r="U101" s="2903"/>
      <c r="V101" s="2903"/>
      <c r="W101" s="2903"/>
      <c r="X101" s="2903"/>
      <c r="Y101" s="2903"/>
      <c r="Z101" s="2903"/>
      <c r="AA101" s="2903"/>
      <c r="AB101" s="2903"/>
      <c r="AC101" s="2903"/>
      <c r="AD101" s="2903"/>
    </row>
    <row r="102" spans="1:30">
      <c r="A102" s="1067"/>
      <c r="B102" s="1067"/>
      <c r="C102" s="1067"/>
      <c r="D102" s="1067"/>
      <c r="E102" s="1067"/>
      <c r="F102" s="1067"/>
      <c r="G102" s="1067"/>
      <c r="H102" s="1067"/>
      <c r="I102" s="1067"/>
      <c r="J102" s="1067"/>
      <c r="K102" s="1068"/>
      <c r="L102" s="1069"/>
      <c r="M102" s="1067"/>
      <c r="N102" s="2903"/>
      <c r="O102" s="2903"/>
      <c r="P102" s="2903"/>
      <c r="Q102" s="2903"/>
      <c r="R102" s="2903"/>
      <c r="S102" s="2903"/>
      <c r="T102" s="2903"/>
      <c r="U102" s="2903"/>
      <c r="V102" s="2903"/>
      <c r="W102" s="2903"/>
      <c r="X102" s="2903"/>
      <c r="Y102" s="2903"/>
      <c r="Z102" s="2903"/>
      <c r="AA102" s="2903"/>
      <c r="AB102" s="2903"/>
      <c r="AC102" s="2903"/>
      <c r="AD102" s="2903"/>
    </row>
    <row r="103" spans="1:30">
      <c r="A103" s="1067"/>
      <c r="B103" s="1067"/>
      <c r="C103" s="1067"/>
      <c r="D103" s="1067"/>
      <c r="E103" s="1067"/>
      <c r="F103" s="1067"/>
      <c r="G103" s="1067"/>
      <c r="H103" s="1067"/>
      <c r="I103" s="1067"/>
      <c r="J103" s="1067"/>
      <c r="K103" s="1068"/>
      <c r="L103" s="1069"/>
      <c r="M103" s="1067"/>
      <c r="N103" s="1067"/>
      <c r="O103" s="1067"/>
      <c r="P103" s="2903"/>
      <c r="Q103" s="2903"/>
      <c r="R103" s="2903"/>
      <c r="S103" s="2903"/>
      <c r="T103" s="2903"/>
      <c r="U103" s="2903"/>
      <c r="V103" s="2903"/>
      <c r="W103" s="2903"/>
      <c r="X103" s="2903"/>
      <c r="Y103" s="2903"/>
      <c r="Z103" s="2903"/>
      <c r="AA103" s="2903"/>
      <c r="AB103" s="2903"/>
      <c r="AC103" s="2903"/>
      <c r="AD103" s="290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2489</v>
      </c>
      <c r="B1" s="355"/>
      <c r="C1" s="356" t="s">
        <v>2490</v>
      </c>
      <c r="D1" s="695"/>
      <c r="E1" s="695"/>
      <c r="F1" s="694" t="s">
        <v>2388</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2072</v>
      </c>
      <c r="B2" s="627" t="e">
        <f>F66</f>
        <v>#DIV/0!</v>
      </c>
      <c r="C2" s="1038"/>
      <c r="D2" s="1038"/>
      <c r="E2" s="1039"/>
      <c r="F2" s="1040"/>
      <c r="G2" s="1039"/>
      <c r="H2" s="1039"/>
      <c r="I2" s="1039"/>
      <c r="J2" s="1039"/>
      <c r="K2" s="1041"/>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2074</v>
      </c>
      <c r="B3" s="566" t="e">
        <f>ROUND(IF(D3="",B2*10000/'数据-汇总表'!E3,B2*10000/D3),0)</f>
        <v>#DIV/0!</v>
      </c>
      <c r="C3" s="209" t="s">
        <v>2491</v>
      </c>
      <c r="D3" s="1327"/>
      <c r="E3" s="1039"/>
      <c r="F3" s="1040"/>
      <c r="G3" s="1039"/>
      <c r="H3" s="1039"/>
      <c r="I3" s="1039"/>
      <c r="J3" s="1039"/>
      <c r="K3" s="1041"/>
      <c r="L3" s="2912"/>
      <c r="M3" s="2913"/>
      <c r="N3" s="2913"/>
      <c r="O3" s="2913"/>
      <c r="P3" s="708"/>
      <c r="Q3" s="708"/>
      <c r="R3" s="708"/>
      <c r="S3" s="708"/>
      <c r="T3" s="708"/>
      <c r="U3" s="708"/>
      <c r="V3" s="708"/>
      <c r="W3" s="708"/>
      <c r="X3" s="708"/>
      <c r="Y3" s="708"/>
      <c r="Z3" s="708"/>
      <c r="AA3" s="708"/>
      <c r="AB3" s="725"/>
      <c r="AC3" s="722"/>
    </row>
    <row r="4" spans="1:30" ht="15">
      <c r="A4" s="361" t="s">
        <v>2390</v>
      </c>
      <c r="B4" s="362"/>
      <c r="C4" s="3392" t="s">
        <v>2391</v>
      </c>
      <c r="D4" s="3393"/>
      <c r="E4" s="3394" t="s">
        <v>2392</v>
      </c>
      <c r="F4" s="3395"/>
      <c r="G4" s="3392" t="s">
        <v>2393</v>
      </c>
      <c r="H4" s="3393"/>
      <c r="I4" s="3392" t="s">
        <v>2394</v>
      </c>
      <c r="J4" s="3393"/>
      <c r="K4" s="567" t="s">
        <v>2395</v>
      </c>
      <c r="L4" s="2893"/>
      <c r="M4" s="2894"/>
      <c r="N4" s="2894"/>
      <c r="O4" s="2894"/>
      <c r="P4" s="3396" t="s">
        <v>2396</v>
      </c>
      <c r="Q4" s="3397"/>
      <c r="R4" s="3402" t="s">
        <v>2392</v>
      </c>
      <c r="S4" s="3403"/>
      <c r="T4" s="3402" t="s">
        <v>2393</v>
      </c>
      <c r="U4" s="3403"/>
      <c r="V4" s="3408" t="s">
        <v>2394</v>
      </c>
      <c r="W4" s="3408"/>
      <c r="X4" s="1509"/>
      <c r="Y4" s="3402" t="s">
        <v>2396</v>
      </c>
      <c r="Z4" s="3403"/>
      <c r="AA4" s="3389" t="s">
        <v>2392</v>
      </c>
      <c r="AB4" s="3390" t="s">
        <v>2393</v>
      </c>
      <c r="AC4" s="3389" t="s">
        <v>2394</v>
      </c>
    </row>
    <row r="5" spans="1:30" ht="15">
      <c r="A5" s="364"/>
      <c r="B5" s="365"/>
      <c r="C5" s="3416" t="s">
        <v>2287</v>
      </c>
      <c r="D5" s="3412"/>
      <c r="E5" s="3482" t="s">
        <v>2288</v>
      </c>
      <c r="F5" s="3420"/>
      <c r="G5" s="3416" t="s">
        <v>2289</v>
      </c>
      <c r="H5" s="3412"/>
      <c r="I5" s="3416" t="s">
        <v>2290</v>
      </c>
      <c r="J5" s="3412"/>
      <c r="K5" s="567"/>
      <c r="L5" s="2893"/>
      <c r="M5" s="2894"/>
      <c r="N5" s="2894"/>
      <c r="O5" s="2894"/>
      <c r="P5" s="3398"/>
      <c r="Q5" s="3399"/>
      <c r="R5" s="3404"/>
      <c r="S5" s="3405"/>
      <c r="T5" s="3404"/>
      <c r="U5" s="3405"/>
      <c r="V5" s="3408"/>
      <c r="W5" s="3408"/>
      <c r="X5" s="1509"/>
      <c r="Y5" s="3404"/>
      <c r="Z5" s="3405"/>
      <c r="AA5" s="3390"/>
      <c r="AB5" s="3390"/>
      <c r="AC5" s="3390"/>
    </row>
    <row r="6" spans="1:30" ht="15.75" thickBot="1">
      <c r="A6" s="366"/>
      <c r="B6" s="367"/>
      <c r="C6" s="3409" t="s">
        <v>2291</v>
      </c>
      <c r="D6" s="3410"/>
      <c r="E6" s="3417" t="s">
        <v>2291</v>
      </c>
      <c r="F6" s="3418"/>
      <c r="G6" s="3409" t="s">
        <v>2291</v>
      </c>
      <c r="H6" s="3410"/>
      <c r="I6" s="3409" t="s">
        <v>2291</v>
      </c>
      <c r="J6" s="3410"/>
      <c r="K6" s="567" t="s">
        <v>2292</v>
      </c>
      <c r="L6" s="2893"/>
      <c r="M6" s="2894"/>
      <c r="N6" s="2894"/>
      <c r="O6" s="2894"/>
      <c r="P6" s="3400"/>
      <c r="Q6" s="3401"/>
      <c r="R6" s="3404"/>
      <c r="S6" s="3405"/>
      <c r="T6" s="3406"/>
      <c r="U6" s="3407"/>
      <c r="V6" s="3408"/>
      <c r="W6" s="3408"/>
      <c r="X6" s="1509"/>
      <c r="Y6" s="3406"/>
      <c r="Z6" s="3407"/>
      <c r="AA6" s="3391"/>
      <c r="AB6" s="3391"/>
      <c r="AC6" s="3391"/>
    </row>
    <row r="7" spans="1:30" s="113" customFormat="1" ht="15.75" thickBot="1">
      <c r="A7" s="368" t="s">
        <v>2293</v>
      </c>
      <c r="B7" s="369"/>
      <c r="C7" s="370">
        <f>'数据-取费表'!B2</f>
        <v>44628</v>
      </c>
      <c r="D7" s="371">
        <v>100</v>
      </c>
      <c r="E7" s="372"/>
      <c r="F7" s="373">
        <f>SUMIF(70:70,YEAR(E7)&amp;"-"&amp;INT((MONTH(E7)+2)/3),71:71)</f>
        <v>0</v>
      </c>
      <c r="G7" s="2130"/>
      <c r="H7" s="371">
        <f>SUMIF(70:70,YEAR(G7)&amp;"-"&amp;INT((MONTH(G7)+2)/3),71:71)</f>
        <v>0</v>
      </c>
      <c r="I7" s="2130"/>
      <c r="J7" s="371">
        <f>SUMIF(70:70,YEAR(I7)&amp;"-"&amp;INT((MONTH(I7)+2)/3),71:71)</f>
        <v>0</v>
      </c>
      <c r="K7" s="568"/>
      <c r="L7" s="2895"/>
      <c r="M7" s="2896"/>
      <c r="N7" s="2896"/>
      <c r="O7" s="2896"/>
      <c r="P7" s="3413" t="s">
        <v>2294</v>
      </c>
      <c r="Q7" s="3415"/>
      <c r="R7" s="710" t="s">
        <v>17</v>
      </c>
      <c r="S7" s="711">
        <f t="shared" ref="S7:S15" si="0">F7</f>
        <v>0</v>
      </c>
      <c r="T7" s="710" t="s">
        <v>17</v>
      </c>
      <c r="U7" s="711">
        <f t="shared" ref="U7:U15" si="1">H7</f>
        <v>0</v>
      </c>
      <c r="V7" s="710" t="s">
        <v>17</v>
      </c>
      <c r="W7" s="711">
        <f t="shared" ref="W7:W15" si="2">J7</f>
        <v>0</v>
      </c>
      <c r="X7" s="712"/>
      <c r="Y7" s="3413" t="s">
        <v>2294</v>
      </c>
      <c r="Z7" s="3414"/>
      <c r="AA7" s="713" t="e">
        <f>D7/F7</f>
        <v>#DIV/0!</v>
      </c>
      <c r="AB7" s="713" t="e">
        <f>D7/H7</f>
        <v>#DIV/0!</v>
      </c>
      <c r="AC7" s="713" t="e">
        <f>D7/J7</f>
        <v>#DIV/0!</v>
      </c>
    </row>
    <row r="8" spans="1:30" s="113" customFormat="1" ht="15.75" thickBot="1">
      <c r="A8" s="368" t="s">
        <v>2295</v>
      </c>
      <c r="B8" s="369"/>
      <c r="C8" s="374" t="s">
        <v>2296</v>
      </c>
      <c r="D8" s="371">
        <v>100</v>
      </c>
      <c r="E8" s="374"/>
      <c r="F8" s="373">
        <f>SUMIF(73:73,E8,74:74)-SUMIF(73:73,C8,74:74)+100</f>
        <v>0</v>
      </c>
      <c r="G8" s="374"/>
      <c r="H8" s="371">
        <f>SUMIF(73:73,G8,74:74)-SUMIF(73:73,C8,74:74)+100</f>
        <v>0</v>
      </c>
      <c r="I8" s="374"/>
      <c r="J8" s="371">
        <f>SUMIF(73:73,I8,74:74)-SUMIF(73:73,C8,74:74)+100</f>
        <v>0</v>
      </c>
      <c r="K8" s="568"/>
      <c r="L8" s="2895"/>
      <c r="M8" s="2896"/>
      <c r="N8" s="2896"/>
      <c r="O8" s="2896"/>
      <c r="P8" s="3413" t="s">
        <v>2297</v>
      </c>
      <c r="Q8" s="3414"/>
      <c r="R8" s="710" t="s">
        <v>17</v>
      </c>
      <c r="S8" s="711">
        <f t="shared" si="0"/>
        <v>0</v>
      </c>
      <c r="T8" s="710" t="s">
        <v>17</v>
      </c>
      <c r="U8" s="711">
        <f t="shared" si="1"/>
        <v>0</v>
      </c>
      <c r="V8" s="710" t="s">
        <v>17</v>
      </c>
      <c r="W8" s="711">
        <f t="shared" si="2"/>
        <v>0</v>
      </c>
      <c r="X8" s="712"/>
      <c r="Y8" s="3413" t="s">
        <v>2297</v>
      </c>
      <c r="Z8" s="3414"/>
      <c r="AA8" s="713" t="e">
        <f t="shared" ref="AA8:AA45" si="3">D8/F8</f>
        <v>#DIV/0!</v>
      </c>
      <c r="AB8" s="713" t="e">
        <f t="shared" ref="AB8:AB45" si="4">D8/H8</f>
        <v>#DIV/0!</v>
      </c>
      <c r="AC8" s="713" t="e">
        <f t="shared" ref="AC8:AC45" si="5">D8/J8</f>
        <v>#DIV/0!</v>
      </c>
    </row>
    <row r="9" spans="1:30" s="113" customFormat="1">
      <c r="A9" s="375" t="s">
        <v>2298</v>
      </c>
      <c r="B9" s="67" t="s">
        <v>2299</v>
      </c>
      <c r="C9" s="2133"/>
      <c r="D9" s="131">
        <v>100</v>
      </c>
      <c r="E9" s="2133"/>
      <c r="F9" s="131">
        <f>SUMIF(75:75,E9,76:76)-SUMIF(75:75,C9,76:76)+100</f>
        <v>100</v>
      </c>
      <c r="G9" s="2133"/>
      <c r="H9" s="131">
        <f>SUMIF(75:75,G9,76:76)-SUMIF(75:75,C9,76:76)+100</f>
        <v>100</v>
      </c>
      <c r="I9" s="2133"/>
      <c r="J9" s="131">
        <f>SUMIF(75:75,I9,76:76)-SUMIF(75:75,C9,76:76)+100</f>
        <v>100</v>
      </c>
      <c r="K9" s="568"/>
      <c r="L9" s="2895"/>
      <c r="M9" s="2896"/>
      <c r="N9" s="2896"/>
      <c r="O9" s="2950"/>
      <c r="P9" s="3379"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713">
        <f t="shared" si="5"/>
        <v>1</v>
      </c>
    </row>
    <row r="10" spans="1:30" s="386" customFormat="1" ht="27">
      <c r="A10" s="380"/>
      <c r="B10" s="381" t="s">
        <v>2302</v>
      </c>
      <c r="C10" s="391"/>
      <c r="D10" s="132">
        <v>100</v>
      </c>
      <c r="E10" s="424"/>
      <c r="F10" s="132">
        <f>ROUND(100/'数据-取费表'!G16,0)</f>
        <v>108</v>
      </c>
      <c r="G10" s="422"/>
      <c r="H10" s="132">
        <f>ROUND(100/'数据-取费表'!G16,0)</f>
        <v>108</v>
      </c>
      <c r="I10" s="422"/>
      <c r="J10" s="132">
        <f>ROUND(100/'数据-取费表'!G16,0)</f>
        <v>108</v>
      </c>
      <c r="K10" s="628"/>
      <c r="L10" s="2897"/>
      <c r="M10" s="2898"/>
      <c r="N10" s="2898"/>
      <c r="O10" s="2951"/>
      <c r="P10" s="3379"/>
      <c r="Q10" s="1497" t="str">
        <f t="shared" si="6"/>
        <v>土地使用年限（年）</v>
      </c>
      <c r="R10" s="710" t="s">
        <v>17</v>
      </c>
      <c r="S10" s="711">
        <f t="shared" si="0"/>
        <v>108</v>
      </c>
      <c r="T10" s="710" t="s">
        <v>17</v>
      </c>
      <c r="U10" s="711">
        <f t="shared" si="1"/>
        <v>108</v>
      </c>
      <c r="V10" s="710" t="s">
        <v>17</v>
      </c>
      <c r="W10" s="711">
        <f t="shared" si="2"/>
        <v>108</v>
      </c>
      <c r="X10" s="712"/>
      <c r="Y10" s="3291"/>
      <c r="Z10" s="55" t="str">
        <f t="shared" si="7"/>
        <v>土地使用年限（年）</v>
      </c>
      <c r="AA10" s="713">
        <f t="shared" si="3"/>
        <v>0.92592592592592593</v>
      </c>
      <c r="AB10" s="713">
        <f t="shared" si="4"/>
        <v>0.92592592592592593</v>
      </c>
      <c r="AC10" s="713">
        <f t="shared" si="5"/>
        <v>0.92592592592592593</v>
      </c>
    </row>
    <row r="11" spans="1:30" ht="15">
      <c r="A11" s="387"/>
      <c r="B11" s="381" t="s">
        <v>2303</v>
      </c>
      <c r="C11" s="388"/>
      <c r="D11" s="132">
        <v>100</v>
      </c>
      <c r="E11" s="388"/>
      <c r="F11" s="132" t="e">
        <f>LOOKUP(E11,80:80,81:81)-LOOKUP(C11,80:80,81:81)+100</f>
        <v>#N/A</v>
      </c>
      <c r="G11" s="389"/>
      <c r="H11" s="132" t="e">
        <f>LOOKUP(G11,80:80,81:81)-LOOKUP(C11,80:80,81:81)+100</f>
        <v>#N/A</v>
      </c>
      <c r="I11" s="388"/>
      <c r="J11" s="132" t="e">
        <f>LOOKUP(I11,80:80,81:81)-LOOKUP(C11,80:80,81:81)+100</f>
        <v>#N/A</v>
      </c>
      <c r="K11" s="629"/>
      <c r="L11" s="2899"/>
      <c r="M11" s="2894"/>
      <c r="N11" s="2894"/>
      <c r="O11" s="2952"/>
      <c r="P11" s="3379"/>
      <c r="Q11" s="1497" t="str">
        <f t="shared" si="6"/>
        <v>容积率</v>
      </c>
      <c r="R11" s="710" t="s">
        <v>17</v>
      </c>
      <c r="S11" s="711" t="e">
        <f t="shared" si="0"/>
        <v>#N/A</v>
      </c>
      <c r="T11" s="710" t="s">
        <v>17</v>
      </c>
      <c r="U11" s="711" t="e">
        <f t="shared" si="1"/>
        <v>#N/A</v>
      </c>
      <c r="V11" s="710" t="s">
        <v>17</v>
      </c>
      <c r="W11" s="711" t="e">
        <f t="shared" si="2"/>
        <v>#N/A</v>
      </c>
      <c r="X11" s="712"/>
      <c r="Y11" s="3291"/>
      <c r="Z11" s="55" t="str">
        <f t="shared" si="7"/>
        <v>容积率</v>
      </c>
      <c r="AA11" s="713" t="e">
        <f t="shared" si="3"/>
        <v>#N/A</v>
      </c>
      <c r="AB11" s="713" t="e">
        <f t="shared" si="4"/>
        <v>#N/A</v>
      </c>
      <c r="AC11" s="713" t="e">
        <f t="shared" si="5"/>
        <v>#N/A</v>
      </c>
    </row>
    <row r="12" spans="1:30" s="113" customFormat="1" ht="15">
      <c r="A12" s="390"/>
      <c r="B12" s="2049" t="s">
        <v>2492</v>
      </c>
      <c r="C12" s="391"/>
      <c r="D12" s="392">
        <v>100</v>
      </c>
      <c r="E12" s="424"/>
      <c r="F12" s="132">
        <f>SUMIF(82:82,E12,83:83)-SUMIF(82:82,C12,83:83)+100</f>
        <v>100</v>
      </c>
      <c r="G12" s="422"/>
      <c r="H12" s="132">
        <f>SUMIF(82:82,G12,83:83)-SUMIF(82:82,C12,83:83)+100</f>
        <v>100</v>
      </c>
      <c r="I12" s="424"/>
      <c r="J12" s="132">
        <f>SUMIF(82:82,I12,83:83)-SUMIF(82:82,C12,83:83)+100</f>
        <v>100</v>
      </c>
      <c r="K12" s="628"/>
      <c r="L12" s="2895"/>
      <c r="M12" s="2896"/>
      <c r="N12" s="2896"/>
      <c r="O12" s="2950"/>
      <c r="P12" s="3379"/>
      <c r="Q12" s="1497" t="str">
        <f t="shared" si="6"/>
        <v>配建</v>
      </c>
      <c r="R12" s="710" t="s">
        <v>17</v>
      </c>
      <c r="S12" s="711">
        <f t="shared" si="0"/>
        <v>100</v>
      </c>
      <c r="T12" s="710" t="s">
        <v>17</v>
      </c>
      <c r="U12" s="711">
        <f t="shared" si="1"/>
        <v>100</v>
      </c>
      <c r="V12" s="710" t="s">
        <v>17</v>
      </c>
      <c r="W12" s="711">
        <f t="shared" si="2"/>
        <v>100</v>
      </c>
      <c r="X12" s="712"/>
      <c r="Y12" s="3291"/>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00"/>
      <c r="M13" s="2894"/>
      <c r="N13" s="2894"/>
      <c r="O13" s="2952"/>
      <c r="P13" s="3379"/>
      <c r="Q13" s="1497">
        <f t="shared" si="6"/>
        <v>111</v>
      </c>
      <c r="R13" s="710" t="s">
        <v>17</v>
      </c>
      <c r="S13" s="711">
        <f t="shared" si="0"/>
        <v>100</v>
      </c>
      <c r="T13" s="710" t="s">
        <v>17</v>
      </c>
      <c r="U13" s="711">
        <f t="shared" si="1"/>
        <v>100</v>
      </c>
      <c r="V13" s="710" t="s">
        <v>17</v>
      </c>
      <c r="W13" s="711">
        <f t="shared" si="2"/>
        <v>100</v>
      </c>
      <c r="X13" s="712"/>
      <c r="Y13" s="3291"/>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00"/>
      <c r="M14" s="2894"/>
      <c r="N14" s="2894"/>
      <c r="O14" s="2952"/>
      <c r="P14" s="3379"/>
      <c r="Q14" s="1497">
        <f t="shared" si="6"/>
        <v>111</v>
      </c>
      <c r="R14" s="710" t="s">
        <v>17</v>
      </c>
      <c r="S14" s="711">
        <f t="shared" si="0"/>
        <v>100</v>
      </c>
      <c r="T14" s="710" t="s">
        <v>17</v>
      </c>
      <c r="U14" s="711">
        <f t="shared" si="1"/>
        <v>100</v>
      </c>
      <c r="V14" s="710" t="s">
        <v>17</v>
      </c>
      <c r="W14" s="711">
        <f t="shared" si="2"/>
        <v>100</v>
      </c>
      <c r="X14" s="712"/>
      <c r="Y14" s="3291"/>
      <c r="Z14" s="55">
        <f t="shared" si="7"/>
        <v>111</v>
      </c>
      <c r="AA14" s="713">
        <f>D14/F14</f>
        <v>1</v>
      </c>
      <c r="AB14" s="713">
        <f>D14/H14</f>
        <v>1</v>
      </c>
      <c r="AC14" s="713">
        <f>D14/J14</f>
        <v>1</v>
      </c>
    </row>
    <row r="15" spans="1:30" ht="15">
      <c r="A15" s="399" t="s">
        <v>2304</v>
      </c>
      <c r="B15" s="65" t="s">
        <v>1883</v>
      </c>
      <c r="C15" s="2052">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00"/>
      <c r="M15" s="2894"/>
      <c r="N15" s="2894"/>
      <c r="O15" s="2952"/>
      <c r="P15" s="3384" t="s">
        <v>2305</v>
      </c>
      <c r="Q15" s="1506" t="str">
        <f t="shared" si="6"/>
        <v>居住社区成熟度</v>
      </c>
      <c r="R15" s="714" t="s">
        <v>17</v>
      </c>
      <c r="S15" s="715">
        <f t="shared" si="0"/>
        <v>100</v>
      </c>
      <c r="T15" s="714" t="s">
        <v>17</v>
      </c>
      <c r="U15" s="715">
        <f t="shared" si="1"/>
        <v>100</v>
      </c>
      <c r="V15" s="714" t="s">
        <v>17</v>
      </c>
      <c r="W15" s="715">
        <f t="shared" si="2"/>
        <v>100</v>
      </c>
      <c r="X15" s="1509"/>
      <c r="Y15" s="3384" t="s">
        <v>2305</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00"/>
      <c r="M16" s="2894"/>
      <c r="N16" s="2894"/>
      <c r="O16" s="2952"/>
      <c r="P16" s="3385"/>
      <c r="Q16" s="1506"/>
      <c r="R16" s="714"/>
      <c r="S16" s="715"/>
      <c r="T16" s="714"/>
      <c r="U16" s="715"/>
      <c r="V16" s="714"/>
      <c r="W16" s="715"/>
      <c r="X16" s="1509"/>
      <c r="Y16" s="3385"/>
      <c r="Z16" s="1510"/>
      <c r="AA16" s="1507">
        <v>1</v>
      </c>
      <c r="AB16" s="1507">
        <v>1</v>
      </c>
      <c r="AC16" s="1507">
        <v>1</v>
      </c>
    </row>
    <row r="17" spans="1:29" ht="15">
      <c r="A17" s="387"/>
      <c r="B17" s="410" t="s">
        <v>2398</v>
      </c>
      <c r="C17" s="2111">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00"/>
      <c r="M17" s="2894"/>
      <c r="N17" s="2894"/>
      <c r="O17" s="2952"/>
      <c r="P17" s="3385"/>
      <c r="Q17" s="1506" t="str">
        <f>B17</f>
        <v>商业繁华度</v>
      </c>
      <c r="R17" s="714" t="s">
        <v>17</v>
      </c>
      <c r="S17" s="715">
        <f>F17</f>
        <v>100</v>
      </c>
      <c r="T17" s="714" t="s">
        <v>17</v>
      </c>
      <c r="U17" s="715">
        <f>H17</f>
        <v>100</v>
      </c>
      <c r="V17" s="714" t="s">
        <v>17</v>
      </c>
      <c r="W17" s="715">
        <f>J17</f>
        <v>100</v>
      </c>
      <c r="X17" s="1509"/>
      <c r="Y17" s="3385"/>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00"/>
      <c r="M18" s="2894"/>
      <c r="N18" s="2894"/>
      <c r="O18" s="2952"/>
      <c r="P18" s="3385"/>
      <c r="Q18" s="1506"/>
      <c r="R18" s="714"/>
      <c r="S18" s="715"/>
      <c r="T18" s="714"/>
      <c r="U18" s="715"/>
      <c r="V18" s="714"/>
      <c r="W18" s="715"/>
      <c r="X18" s="1509"/>
      <c r="Y18" s="3385"/>
      <c r="Z18" s="1510"/>
      <c r="AA18" s="1507">
        <v>1</v>
      </c>
      <c r="AB18" s="1507">
        <v>1</v>
      </c>
      <c r="AC18" s="1507">
        <v>1</v>
      </c>
    </row>
    <row r="19" spans="1:29" ht="15">
      <c r="A19" s="387"/>
      <c r="B19" s="410" t="s">
        <v>2432</v>
      </c>
      <c r="C19" s="2111">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00"/>
      <c r="M19" s="2894"/>
      <c r="N19" s="2894"/>
      <c r="O19" s="2952"/>
      <c r="P19" s="3385"/>
      <c r="Q19" s="1506" t="str">
        <f>B19</f>
        <v>办公集聚程度</v>
      </c>
      <c r="R19" s="714" t="s">
        <v>17</v>
      </c>
      <c r="S19" s="715">
        <f>F19</f>
        <v>100</v>
      </c>
      <c r="T19" s="714" t="s">
        <v>17</v>
      </c>
      <c r="U19" s="715">
        <f>H19</f>
        <v>100</v>
      </c>
      <c r="V19" s="714" t="s">
        <v>17</v>
      </c>
      <c r="W19" s="715">
        <f>J19</f>
        <v>100</v>
      </c>
      <c r="X19" s="1509"/>
      <c r="Y19" s="3385"/>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00"/>
      <c r="M20" s="2894"/>
      <c r="N20" s="2894"/>
      <c r="O20" s="2952"/>
      <c r="P20" s="3385"/>
      <c r="Q20" s="1506"/>
      <c r="R20" s="714"/>
      <c r="S20" s="715"/>
      <c r="T20" s="714"/>
      <c r="U20" s="715"/>
      <c r="V20" s="714"/>
      <c r="W20" s="715"/>
      <c r="X20" s="1509"/>
      <c r="Y20" s="3385"/>
      <c r="Z20" s="1510"/>
      <c r="AA20" s="1507">
        <v>1</v>
      </c>
      <c r="AB20" s="1507">
        <v>1</v>
      </c>
      <c r="AC20" s="1507">
        <v>1</v>
      </c>
    </row>
    <row r="21" spans="1:29" ht="15">
      <c r="A21" s="387"/>
      <c r="B21" s="410" t="s">
        <v>2454</v>
      </c>
      <c r="C21" s="2056">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00"/>
      <c r="M21" s="2894"/>
      <c r="N21" s="2894"/>
      <c r="O21" s="2952"/>
      <c r="P21" s="3385"/>
      <c r="Q21" s="1506" t="str">
        <f>B21</f>
        <v>交通便捷度</v>
      </c>
      <c r="R21" s="714" t="s">
        <v>17</v>
      </c>
      <c r="S21" s="715">
        <f>F21</f>
        <v>100</v>
      </c>
      <c r="T21" s="714" t="s">
        <v>17</v>
      </c>
      <c r="U21" s="715">
        <f>H21</f>
        <v>100</v>
      </c>
      <c r="V21" s="714" t="s">
        <v>17</v>
      </c>
      <c r="W21" s="715">
        <f>J21</f>
        <v>100</v>
      </c>
      <c r="X21" s="1509"/>
      <c r="Y21" s="3385"/>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00"/>
      <c r="M22" s="2894"/>
      <c r="N22" s="2894"/>
      <c r="O22" s="2952"/>
      <c r="P22" s="3385"/>
      <c r="Q22" s="1506"/>
      <c r="R22" s="714"/>
      <c r="S22" s="715"/>
      <c r="T22" s="714"/>
      <c r="U22" s="715"/>
      <c r="V22" s="714"/>
      <c r="W22" s="715"/>
      <c r="X22" s="1509"/>
      <c r="Y22" s="3385"/>
      <c r="Z22" s="1510"/>
      <c r="AA22" s="1507">
        <v>1</v>
      </c>
      <c r="AB22" s="1507">
        <v>1</v>
      </c>
      <c r="AC22" s="1507">
        <v>1</v>
      </c>
    </row>
    <row r="23" spans="1:29" ht="15">
      <c r="A23" s="364"/>
      <c r="B23" s="410" t="s">
        <v>2493</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00"/>
      <c r="M23" s="2894"/>
      <c r="N23" s="2894"/>
      <c r="O23" s="2952"/>
      <c r="P23" s="3385"/>
      <c r="Q23" s="1506" t="str">
        <f t="shared" ref="Q23:Q37" si="8">B23</f>
        <v>区域土地利用方向</v>
      </c>
      <c r="R23" s="714" t="s">
        <v>17</v>
      </c>
      <c r="S23" s="715">
        <f>F23</f>
        <v>100</v>
      </c>
      <c r="T23" s="714" t="s">
        <v>17</v>
      </c>
      <c r="U23" s="715">
        <f>H23</f>
        <v>100</v>
      </c>
      <c r="V23" s="714" t="s">
        <v>17</v>
      </c>
      <c r="W23" s="715">
        <f>J23</f>
        <v>100</v>
      </c>
      <c r="X23" s="1509"/>
      <c r="Y23" s="3385"/>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00"/>
      <c r="M24" s="2894"/>
      <c r="N24" s="2894"/>
      <c r="O24" s="2952"/>
      <c r="P24" s="3385"/>
      <c r="Q24" s="1506"/>
      <c r="R24" s="714"/>
      <c r="S24" s="715"/>
      <c r="T24" s="714"/>
      <c r="U24" s="715"/>
      <c r="V24" s="714"/>
      <c r="W24" s="715"/>
      <c r="X24" s="1509"/>
      <c r="Y24" s="3385"/>
      <c r="Z24" s="1510"/>
      <c r="AA24" s="1507"/>
      <c r="AB24" s="1507"/>
      <c r="AC24" s="1507"/>
    </row>
    <row r="25" spans="1:29" ht="27">
      <c r="A25" s="364"/>
      <c r="B25" s="1265" t="s">
        <v>2494</v>
      </c>
      <c r="C25" s="2111">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00"/>
      <c r="M25" s="2894"/>
      <c r="N25" s="2894"/>
      <c r="O25" s="2952"/>
      <c r="P25" s="3385"/>
      <c r="Q25" s="1506" t="str">
        <f t="shared" si="8"/>
        <v>自然及人文环境状况</v>
      </c>
      <c r="R25" s="714" t="s">
        <v>17</v>
      </c>
      <c r="S25" s="715">
        <f>F25</f>
        <v>100</v>
      </c>
      <c r="T25" s="714" t="s">
        <v>17</v>
      </c>
      <c r="U25" s="715">
        <f>H25</f>
        <v>100</v>
      </c>
      <c r="V25" s="714" t="s">
        <v>17</v>
      </c>
      <c r="W25" s="715">
        <f>J25</f>
        <v>100</v>
      </c>
      <c r="X25" s="1509"/>
      <c r="Y25" s="3385"/>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00"/>
      <c r="M26" s="2894"/>
      <c r="N26" s="2894"/>
      <c r="O26" s="2952"/>
      <c r="P26" s="3385"/>
      <c r="Q26" s="1506"/>
      <c r="R26" s="714"/>
      <c r="S26" s="715"/>
      <c r="T26" s="714"/>
      <c r="U26" s="715"/>
      <c r="V26" s="714"/>
      <c r="W26" s="715"/>
      <c r="X26" s="1509"/>
      <c r="Y26" s="3385"/>
      <c r="Z26" s="1510"/>
      <c r="AA26" s="1507">
        <v>1</v>
      </c>
      <c r="AB26" s="1507">
        <v>1</v>
      </c>
      <c r="AC26" s="1507">
        <v>1</v>
      </c>
    </row>
    <row r="27" spans="1:29" s="113" customFormat="1" ht="15">
      <c r="A27" s="605"/>
      <c r="B27" s="1265" t="s">
        <v>2399</v>
      </c>
      <c r="C27" s="2056">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895"/>
      <c r="M27" s="2896"/>
      <c r="N27" s="2896"/>
      <c r="O27" s="2950"/>
      <c r="P27" s="3385"/>
      <c r="Q27" s="1497" t="str">
        <f t="shared" si="8"/>
        <v>公共配套设施</v>
      </c>
      <c r="R27" s="710" t="s">
        <v>17</v>
      </c>
      <c r="S27" s="711">
        <f>F27</f>
        <v>100</v>
      </c>
      <c r="T27" s="710" t="s">
        <v>17</v>
      </c>
      <c r="U27" s="711">
        <f>H27</f>
        <v>100</v>
      </c>
      <c r="V27" s="710" t="s">
        <v>17</v>
      </c>
      <c r="W27" s="711">
        <f>J27</f>
        <v>100</v>
      </c>
      <c r="X27" s="712"/>
      <c r="Y27" s="3385"/>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895"/>
      <c r="M28" s="2896"/>
      <c r="N28" s="2896"/>
      <c r="O28" s="2950"/>
      <c r="P28" s="3385"/>
      <c r="Q28" s="1497"/>
      <c r="R28" s="710"/>
      <c r="S28" s="711"/>
      <c r="T28" s="710"/>
      <c r="U28" s="711"/>
      <c r="V28" s="710"/>
      <c r="W28" s="711"/>
      <c r="X28" s="712"/>
      <c r="Y28" s="3385"/>
      <c r="Z28" s="55"/>
      <c r="AA28" s="1507">
        <v>1</v>
      </c>
      <c r="AB28" s="1507">
        <v>1</v>
      </c>
      <c r="AC28" s="1507">
        <v>1</v>
      </c>
    </row>
    <row r="29" spans="1:29" s="113" customFormat="1" ht="15">
      <c r="A29" s="605"/>
      <c r="B29" s="1265" t="s">
        <v>2400</v>
      </c>
      <c r="C29" s="2056">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895"/>
      <c r="M29" s="2896"/>
      <c r="N29" s="2896"/>
      <c r="O29" s="2950"/>
      <c r="P29" s="3385"/>
      <c r="Q29" s="1497" t="str">
        <f t="shared" ref="Q29" si="9">B29</f>
        <v>基础设施水平</v>
      </c>
      <c r="R29" s="710" t="s">
        <v>17</v>
      </c>
      <c r="S29" s="711">
        <f>F29</f>
        <v>100</v>
      </c>
      <c r="T29" s="710" t="s">
        <v>17</v>
      </c>
      <c r="U29" s="711">
        <f>H29</f>
        <v>100</v>
      </c>
      <c r="V29" s="710" t="s">
        <v>17</v>
      </c>
      <c r="W29" s="711">
        <f>J29</f>
        <v>100</v>
      </c>
      <c r="X29" s="712"/>
      <c r="Y29" s="3385"/>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895"/>
      <c r="M30" s="2896"/>
      <c r="N30" s="2896"/>
      <c r="O30" s="2950"/>
      <c r="P30" s="3385"/>
      <c r="Q30" s="1497"/>
      <c r="R30" s="710"/>
      <c r="S30" s="711"/>
      <c r="T30" s="710"/>
      <c r="U30" s="711"/>
      <c r="V30" s="710"/>
      <c r="W30" s="711"/>
      <c r="X30" s="712"/>
      <c r="Y30" s="3385"/>
      <c r="Z30" s="55"/>
      <c r="AA30" s="1507">
        <v>1</v>
      </c>
      <c r="AB30" s="1507">
        <v>1</v>
      </c>
      <c r="AC30" s="1507">
        <v>1</v>
      </c>
    </row>
    <row r="31" spans="1:29" ht="15">
      <c r="A31" s="387"/>
      <c r="B31" s="415" t="s">
        <v>2401</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00"/>
      <c r="M31" s="2894"/>
      <c r="N31" s="2894"/>
      <c r="O31" s="2952"/>
      <c r="P31" s="338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385"/>
      <c r="Z31" s="1510" t="str">
        <f t="shared" ref="Z31:Z45" si="13">Q31</f>
        <v>临街状况</v>
      </c>
      <c r="AA31" s="1507">
        <f t="shared" si="3"/>
        <v>1</v>
      </c>
      <c r="AB31" s="1507">
        <f t="shared" si="4"/>
        <v>1</v>
      </c>
      <c r="AC31" s="1507">
        <f t="shared" si="5"/>
        <v>1</v>
      </c>
    </row>
    <row r="32" spans="1:29" ht="27">
      <c r="A32" s="387"/>
      <c r="B32" s="1265" t="s">
        <v>2436</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00"/>
      <c r="M32" s="2894"/>
      <c r="N32" s="2894"/>
      <c r="O32" s="2952"/>
      <c r="P32" s="3385"/>
      <c r="Q32" s="1506" t="str">
        <f t="shared" si="8"/>
        <v>毗邻道路的类型与等级</v>
      </c>
      <c r="R32" s="714" t="s">
        <v>17</v>
      </c>
      <c r="S32" s="715">
        <f t="shared" si="10"/>
        <v>100</v>
      </c>
      <c r="T32" s="714" t="s">
        <v>17</v>
      </c>
      <c r="U32" s="715">
        <f t="shared" si="11"/>
        <v>100</v>
      </c>
      <c r="V32" s="714" t="s">
        <v>17</v>
      </c>
      <c r="W32" s="715">
        <f t="shared" si="12"/>
        <v>100</v>
      </c>
      <c r="X32" s="1509"/>
      <c r="Y32" s="3385"/>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00"/>
      <c r="M33" s="2894"/>
      <c r="N33" s="2894"/>
      <c r="O33" s="2952"/>
      <c r="P33" s="3385"/>
      <c r="Q33" s="1506"/>
      <c r="R33" s="714"/>
      <c r="S33" s="715"/>
      <c r="T33" s="714"/>
      <c r="U33" s="715"/>
      <c r="V33" s="714"/>
      <c r="W33" s="715"/>
      <c r="X33" s="1509"/>
      <c r="Y33" s="3385"/>
      <c r="Z33" s="1510"/>
      <c r="AA33" s="1507">
        <v>1</v>
      </c>
      <c r="AB33" s="1507">
        <v>1</v>
      </c>
      <c r="AC33" s="1507">
        <v>1</v>
      </c>
    </row>
    <row r="34" spans="1:29" ht="15">
      <c r="A34" s="387"/>
      <c r="B34" s="381" t="s">
        <v>2495</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00"/>
      <c r="M34" s="2894"/>
      <c r="N34" s="2894"/>
      <c r="O34" s="2952"/>
      <c r="P34" s="3385"/>
      <c r="Q34" s="1506" t="str">
        <f t="shared" si="8"/>
        <v>土地级别</v>
      </c>
      <c r="R34" s="714" t="s">
        <v>17</v>
      </c>
      <c r="S34" s="715">
        <f t="shared" si="10"/>
        <v>100</v>
      </c>
      <c r="T34" s="714" t="s">
        <v>17</v>
      </c>
      <c r="U34" s="715">
        <f t="shared" si="11"/>
        <v>100</v>
      </c>
      <c r="V34" s="714" t="s">
        <v>17</v>
      </c>
      <c r="W34" s="715">
        <f t="shared" si="12"/>
        <v>100</v>
      </c>
      <c r="X34" s="1509"/>
      <c r="Y34" s="3385"/>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00"/>
      <c r="M35" s="2894"/>
      <c r="N35" s="2894"/>
      <c r="O35" s="2952"/>
      <c r="P35" s="3385"/>
      <c r="Q35" s="1506">
        <f t="shared" si="8"/>
        <v>111</v>
      </c>
      <c r="R35" s="714" t="s">
        <v>17</v>
      </c>
      <c r="S35" s="715">
        <f t="shared" si="10"/>
        <v>100</v>
      </c>
      <c r="T35" s="714" t="s">
        <v>17</v>
      </c>
      <c r="U35" s="715">
        <f t="shared" si="11"/>
        <v>100</v>
      </c>
      <c r="V35" s="714" t="s">
        <v>17</v>
      </c>
      <c r="W35" s="715">
        <f t="shared" si="12"/>
        <v>100</v>
      </c>
      <c r="X35" s="1509"/>
      <c r="Y35" s="3385"/>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00"/>
      <c r="M36" s="2894"/>
      <c r="N36" s="2894"/>
      <c r="O36" s="2952"/>
      <c r="P36" s="3386" t="s">
        <v>2310</v>
      </c>
      <c r="Q36" s="1506">
        <f t="shared" si="8"/>
        <v>111</v>
      </c>
      <c r="R36" s="714" t="s">
        <v>17</v>
      </c>
      <c r="S36" s="715">
        <f t="shared" si="10"/>
        <v>100</v>
      </c>
      <c r="T36" s="714" t="s">
        <v>17</v>
      </c>
      <c r="U36" s="715">
        <f t="shared" si="11"/>
        <v>100</v>
      </c>
      <c r="V36" s="714" t="s">
        <v>17</v>
      </c>
      <c r="W36" s="715">
        <f t="shared" si="12"/>
        <v>100</v>
      </c>
      <c r="X36" s="1509"/>
      <c r="Y36" s="3387" t="s">
        <v>2310</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899"/>
      <c r="M37" s="2901"/>
      <c r="N37" s="2901"/>
      <c r="O37" s="2953"/>
      <c r="P37" s="3387"/>
      <c r="Q37" s="1506">
        <f t="shared" si="8"/>
        <v>111</v>
      </c>
      <c r="R37" s="717" t="s">
        <v>17</v>
      </c>
      <c r="S37" s="718">
        <f t="shared" si="10"/>
        <v>100</v>
      </c>
      <c r="T37" s="717" t="s">
        <v>17</v>
      </c>
      <c r="U37" s="718">
        <f t="shared" si="11"/>
        <v>100</v>
      </c>
      <c r="V37" s="717" t="s">
        <v>17</v>
      </c>
      <c r="W37" s="718">
        <f t="shared" si="12"/>
        <v>100</v>
      </c>
      <c r="X37" s="719"/>
      <c r="Y37" s="3387"/>
      <c r="Z37" s="720">
        <f t="shared" si="13"/>
        <v>111</v>
      </c>
      <c r="AA37" s="1507">
        <f t="shared" si="3"/>
        <v>1</v>
      </c>
      <c r="AB37" s="1507">
        <f t="shared" si="4"/>
        <v>1</v>
      </c>
      <c r="AC37" s="1507">
        <f t="shared" si="5"/>
        <v>1</v>
      </c>
    </row>
    <row r="38" spans="1:29" ht="15">
      <c r="A38" s="431" t="s">
        <v>2308</v>
      </c>
      <c r="B38" s="415" t="s">
        <v>2496</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00"/>
      <c r="M38" s="2894"/>
      <c r="N38" s="2894"/>
      <c r="O38" s="2952"/>
      <c r="P38" s="3387"/>
      <c r="Q38" s="1506" t="str">
        <f>B38</f>
        <v>宗地面积</v>
      </c>
      <c r="R38" s="714" t="s">
        <v>17</v>
      </c>
      <c r="S38" s="715" t="e">
        <f t="shared" si="10"/>
        <v>#N/A</v>
      </c>
      <c r="T38" s="714" t="s">
        <v>17</v>
      </c>
      <c r="U38" s="715" t="e">
        <f t="shared" si="11"/>
        <v>#N/A</v>
      </c>
      <c r="V38" s="714" t="s">
        <v>17</v>
      </c>
      <c r="W38" s="715" t="e">
        <f t="shared" si="12"/>
        <v>#N/A</v>
      </c>
      <c r="X38" s="1509"/>
      <c r="Y38" s="3387"/>
      <c r="Z38" s="1510" t="str">
        <f t="shared" si="13"/>
        <v>宗地面积</v>
      </c>
      <c r="AA38" s="1507" t="e">
        <f t="shared" si="3"/>
        <v>#N/A</v>
      </c>
      <c r="AB38" s="1507" t="e">
        <f t="shared" si="4"/>
        <v>#N/A</v>
      </c>
      <c r="AC38" s="1507" t="e">
        <f t="shared" si="5"/>
        <v>#N/A</v>
      </c>
    </row>
    <row r="39" spans="1:29" ht="15">
      <c r="A39" s="431"/>
      <c r="B39" s="381" t="s">
        <v>2497</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00"/>
      <c r="M39" s="2894"/>
      <c r="N39" s="2894"/>
      <c r="O39" s="2952"/>
      <c r="P39" s="3387"/>
      <c r="Q39" s="1506" t="str">
        <f t="shared" ref="Q39:Q45" si="14">B39</f>
        <v>宗地形状</v>
      </c>
      <c r="R39" s="714" t="s">
        <v>17</v>
      </c>
      <c r="S39" s="715">
        <f t="shared" si="10"/>
        <v>100</v>
      </c>
      <c r="T39" s="714" t="s">
        <v>17</v>
      </c>
      <c r="U39" s="715">
        <f t="shared" si="11"/>
        <v>100</v>
      </c>
      <c r="V39" s="714" t="s">
        <v>17</v>
      </c>
      <c r="W39" s="715">
        <f t="shared" si="12"/>
        <v>100</v>
      </c>
      <c r="X39" s="1509"/>
      <c r="Y39" s="3387"/>
      <c r="Z39" s="1510" t="str">
        <f t="shared" si="13"/>
        <v>宗地形状</v>
      </c>
      <c r="AA39" s="1507">
        <f t="shared" si="3"/>
        <v>1</v>
      </c>
      <c r="AB39" s="1507">
        <f t="shared" si="4"/>
        <v>1</v>
      </c>
      <c r="AC39" s="1507">
        <f t="shared" si="5"/>
        <v>1</v>
      </c>
    </row>
    <row r="40" spans="1:29" ht="15">
      <c r="A40" s="431"/>
      <c r="B40" s="381" t="s">
        <v>2498</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00"/>
      <c r="M40" s="2894"/>
      <c r="N40" s="2894"/>
      <c r="O40" s="2952"/>
      <c r="P40" s="3387"/>
      <c r="Q40" s="1506" t="str">
        <f t="shared" si="14"/>
        <v>临街宽度及深度</v>
      </c>
      <c r="R40" s="714" t="s">
        <v>17</v>
      </c>
      <c r="S40" s="715">
        <f t="shared" si="10"/>
        <v>100</v>
      </c>
      <c r="T40" s="714" t="s">
        <v>17</v>
      </c>
      <c r="U40" s="715">
        <f t="shared" si="11"/>
        <v>100</v>
      </c>
      <c r="V40" s="714" t="s">
        <v>17</v>
      </c>
      <c r="W40" s="715">
        <f t="shared" si="12"/>
        <v>100</v>
      </c>
      <c r="X40" s="1509"/>
      <c r="Y40" s="3387"/>
      <c r="Z40" s="1510" t="str">
        <f t="shared" si="13"/>
        <v>临街宽度及深度</v>
      </c>
      <c r="AA40" s="1507">
        <f t="shared" si="3"/>
        <v>1</v>
      </c>
      <c r="AB40" s="1507">
        <f t="shared" si="4"/>
        <v>1</v>
      </c>
      <c r="AC40" s="1507">
        <f t="shared" si="5"/>
        <v>1</v>
      </c>
    </row>
    <row r="41" spans="1:29" s="113" customFormat="1" ht="15">
      <c r="A41" s="432"/>
      <c r="B41" s="381" t="s">
        <v>2499</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895"/>
      <c r="M41" s="2896"/>
      <c r="N41" s="2896"/>
      <c r="O41" s="2950"/>
      <c r="P41" s="3387"/>
      <c r="Q41" s="1506" t="str">
        <f t="shared" si="14"/>
        <v>宗地开发程度</v>
      </c>
      <c r="R41" s="710" t="s">
        <v>17</v>
      </c>
      <c r="S41" s="711">
        <f t="shared" si="10"/>
        <v>100</v>
      </c>
      <c r="T41" s="710" t="s">
        <v>17</v>
      </c>
      <c r="U41" s="711">
        <f t="shared" si="11"/>
        <v>100</v>
      </c>
      <c r="V41" s="710" t="s">
        <v>17</v>
      </c>
      <c r="W41" s="711">
        <f t="shared" si="12"/>
        <v>100</v>
      </c>
      <c r="X41" s="712"/>
      <c r="Y41" s="3387"/>
      <c r="Z41" s="55" t="str">
        <f t="shared" si="13"/>
        <v>宗地开发程度</v>
      </c>
      <c r="AA41" s="713">
        <f t="shared" si="3"/>
        <v>1</v>
      </c>
      <c r="AB41" s="713">
        <f t="shared" si="4"/>
        <v>1</v>
      </c>
      <c r="AC41" s="713">
        <f t="shared" si="5"/>
        <v>1</v>
      </c>
    </row>
    <row r="42" spans="1:29" ht="15">
      <c r="A42" s="431"/>
      <c r="B42" s="381" t="s">
        <v>2500</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00"/>
      <c r="M42" s="2894"/>
      <c r="N42" s="2894"/>
      <c r="O42" s="2952"/>
      <c r="P42" s="3387" t="s">
        <v>2310</v>
      </c>
      <c r="Q42" s="1506" t="str">
        <f t="shared" si="14"/>
        <v>工程地质条件</v>
      </c>
      <c r="R42" s="714" t="s">
        <v>17</v>
      </c>
      <c r="S42" s="715">
        <f t="shared" si="10"/>
        <v>100</v>
      </c>
      <c r="T42" s="714" t="s">
        <v>17</v>
      </c>
      <c r="U42" s="715">
        <f t="shared" si="11"/>
        <v>100</v>
      </c>
      <c r="V42" s="714" t="s">
        <v>17</v>
      </c>
      <c r="W42" s="715">
        <f t="shared" si="12"/>
        <v>100</v>
      </c>
      <c r="X42" s="1509"/>
      <c r="Y42" s="3387" t="s">
        <v>2310</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00"/>
      <c r="M43" s="2894"/>
      <c r="N43" s="2894"/>
      <c r="O43" s="2952"/>
      <c r="P43" s="3387"/>
      <c r="Q43" s="1506">
        <f t="shared" si="14"/>
        <v>111</v>
      </c>
      <c r="R43" s="714" t="s">
        <v>17</v>
      </c>
      <c r="S43" s="715">
        <f t="shared" si="10"/>
        <v>100</v>
      </c>
      <c r="T43" s="714" t="s">
        <v>17</v>
      </c>
      <c r="U43" s="715">
        <f t="shared" si="11"/>
        <v>100</v>
      </c>
      <c r="V43" s="714" t="s">
        <v>17</v>
      </c>
      <c r="W43" s="715">
        <f t="shared" si="12"/>
        <v>100</v>
      </c>
      <c r="X43" s="1509"/>
      <c r="Y43" s="3387"/>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00"/>
      <c r="M44" s="2894"/>
      <c r="N44" s="2894"/>
      <c r="O44" s="2952"/>
      <c r="P44" s="3387"/>
      <c r="Q44" s="1506">
        <f t="shared" si="14"/>
        <v>111</v>
      </c>
      <c r="R44" s="714" t="s">
        <v>17</v>
      </c>
      <c r="S44" s="715">
        <f t="shared" si="10"/>
        <v>100</v>
      </c>
      <c r="T44" s="714" t="s">
        <v>17</v>
      </c>
      <c r="U44" s="715">
        <f t="shared" si="11"/>
        <v>100</v>
      </c>
      <c r="V44" s="714" t="s">
        <v>17</v>
      </c>
      <c r="W44" s="715">
        <f t="shared" si="12"/>
        <v>100</v>
      </c>
      <c r="X44" s="1509"/>
      <c r="Y44" s="3387"/>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899"/>
      <c r="M45" s="2901"/>
      <c r="N45" s="2901"/>
      <c r="O45" s="2953"/>
      <c r="P45" s="3387"/>
      <c r="Q45" s="1506">
        <f t="shared" si="14"/>
        <v>111</v>
      </c>
      <c r="R45" s="717" t="s">
        <v>17</v>
      </c>
      <c r="S45" s="718">
        <f t="shared" si="10"/>
        <v>100</v>
      </c>
      <c r="T45" s="717" t="s">
        <v>17</v>
      </c>
      <c r="U45" s="718">
        <f t="shared" si="11"/>
        <v>100</v>
      </c>
      <c r="V45" s="717" t="s">
        <v>17</v>
      </c>
      <c r="W45" s="718">
        <f t="shared" si="12"/>
        <v>100</v>
      </c>
      <c r="X45" s="719"/>
      <c r="Y45" s="3387"/>
      <c r="Z45" s="720">
        <f t="shared" si="13"/>
        <v>111</v>
      </c>
      <c r="AA45" s="1507">
        <f t="shared" si="3"/>
        <v>1</v>
      </c>
      <c r="AB45" s="1507">
        <f t="shared" si="4"/>
        <v>1</v>
      </c>
      <c r="AC45" s="1507">
        <f t="shared" si="5"/>
        <v>1</v>
      </c>
    </row>
    <row r="46" spans="1:29" ht="15">
      <c r="A46" s="438" t="s">
        <v>2465</v>
      </c>
      <c r="B46" s="2138" t="s">
        <v>2501</v>
      </c>
      <c r="C46" s="638" t="s">
        <v>1</v>
      </c>
      <c r="D46" s="440"/>
      <c r="E46" s="441"/>
      <c r="F46" s="442"/>
      <c r="G46" s="443"/>
      <c r="H46" s="444"/>
      <c r="I46" s="441"/>
      <c r="J46" s="444"/>
      <c r="K46" s="723"/>
      <c r="L46" s="2902"/>
      <c r="M46" s="2903"/>
      <c r="N46" s="2894"/>
      <c r="O46" s="2903"/>
      <c r="P46" s="3379" t="str">
        <f>A46</f>
        <v>成交单价</v>
      </c>
      <c r="Q46" s="3379"/>
      <c r="R46" s="3408">
        <f>E46</f>
        <v>0</v>
      </c>
      <c r="S46" s="3408"/>
      <c r="T46" s="3408">
        <f>G46</f>
        <v>0</v>
      </c>
      <c r="U46" s="3408"/>
      <c r="V46" s="3408">
        <f>I46</f>
        <v>0</v>
      </c>
      <c r="W46" s="3408"/>
      <c r="X46" s="699"/>
      <c r="Y46" s="721"/>
      <c r="Z46" s="699"/>
      <c r="AA46" s="699"/>
      <c r="AB46" s="699"/>
      <c r="AC46" s="699"/>
    </row>
    <row r="47" spans="1:29" ht="15.75" thickBot="1">
      <c r="A47" s="445" t="s">
        <v>2414</v>
      </c>
      <c r="B47" s="639"/>
      <c r="C47" s="448" t="e">
        <f>R48</f>
        <v>#DIV/0!</v>
      </c>
      <c r="D47" s="2508" t="s">
        <v>2803</v>
      </c>
      <c r="E47" s="448" t="e">
        <f>R47</f>
        <v>#DIV/0!</v>
      </c>
      <c r="F47" s="2509"/>
      <c r="G47" s="447" t="e">
        <f>T47</f>
        <v>#DIV/0!</v>
      </c>
      <c r="H47" s="2509"/>
      <c r="I47" s="448" t="e">
        <f>V47</f>
        <v>#DIV/0!</v>
      </c>
      <c r="J47" s="2509"/>
      <c r="K47" s="2511">
        <f>F47+H47+J47</f>
        <v>0</v>
      </c>
      <c r="L47" s="2902"/>
      <c r="M47" s="2903"/>
      <c r="N47" s="2903"/>
      <c r="O47" s="2903"/>
      <c r="P47" s="3379" t="str">
        <f>A47</f>
        <v>比较价值（元/平方米）</v>
      </c>
      <c r="Q47" s="3379"/>
      <c r="R47" s="3499" t="e">
        <f>ROUND(PRODUCT(R46,AA7:AA45),0)</f>
        <v>#DIV/0!</v>
      </c>
      <c r="S47" s="3499"/>
      <c r="T47" s="3499" t="e">
        <f>ROUND(PRODUCT(T46,AB7:AB45),0)</f>
        <v>#DIV/0!</v>
      </c>
      <c r="U47" s="3499"/>
      <c r="V47" s="3499" t="e">
        <f>ROUND(PRODUCT(V46,AC7:AC45),0)</f>
        <v>#DIV/0!</v>
      </c>
      <c r="W47" s="3499"/>
      <c r="X47" s="699"/>
      <c r="Y47" s="699"/>
      <c r="Z47" s="699"/>
      <c r="AA47" s="699"/>
      <c r="AB47" s="699"/>
      <c r="AC47" s="699"/>
    </row>
    <row r="48" spans="1:29" ht="15.75" thickBot="1">
      <c r="A48" s="449" t="s">
        <v>2502</v>
      </c>
      <c r="B48" s="450"/>
      <c r="C48" s="451" t="e">
        <f>R48</f>
        <v>#DIV/0!</v>
      </c>
      <c r="D48" s="451"/>
      <c r="E48" s="451"/>
      <c r="F48" s="451"/>
      <c r="G48" s="451"/>
      <c r="H48" s="451"/>
      <c r="I48" s="451"/>
      <c r="J48" s="451"/>
      <c r="K48" s="724"/>
      <c r="L48" s="2902"/>
      <c r="M48" s="2903"/>
      <c r="N48" s="2903"/>
      <c r="O48" s="2903"/>
      <c r="P48" s="3381" t="str">
        <f>A48</f>
        <v>估价对象XX用房的比较价值（楼面单价，元/平方米）</v>
      </c>
      <c r="Q48" s="3382"/>
      <c r="R48" s="3500" t="e">
        <f>ROUND(IF(D47="简单平均",AVERAGE(R47:W47),R47*F47+T47*H47+V47*J47),0)</f>
        <v>#DIV/0!</v>
      </c>
      <c r="S48" s="3500"/>
      <c r="T48" s="3500"/>
      <c r="U48" s="3500"/>
      <c r="V48" s="3500"/>
      <c r="W48" s="3500"/>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2416</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2417</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2418</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2503</v>
      </c>
      <c r="B55" s="641" t="s">
        <v>2504</v>
      </c>
      <c r="C55" s="2139" t="s">
        <v>2505</v>
      </c>
      <c r="D55" s="2140" t="s">
        <v>2506</v>
      </c>
      <c r="E55" s="642" t="s">
        <v>2507</v>
      </c>
      <c r="F55" s="1021" t="s">
        <v>2508</v>
      </c>
      <c r="G55" s="3392" t="s">
        <v>2509</v>
      </c>
      <c r="H55" s="3501"/>
      <c r="I55" s="140" t="s">
        <v>2510</v>
      </c>
      <c r="J55" s="2141">
        <f>项目基本情况!F35</f>
        <v>0</v>
      </c>
      <c r="K55" s="2142" t="s">
        <v>2511</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2512</v>
      </c>
      <c r="B56" s="645" t="e">
        <f>C48</f>
        <v>#DIV/0!</v>
      </c>
      <c r="C56" s="646">
        <v>1</v>
      </c>
      <c r="D56" s="1075">
        <v>1</v>
      </c>
      <c r="E56" s="646">
        <f>'数据-汇总表'!E8+'数据-汇总表'!E9</f>
        <v>2555.66</v>
      </c>
      <c r="F56" s="1017" t="e">
        <f t="shared" ref="F56:F65" si="15">ROUND(B56*E56/10000,0)</f>
        <v>#DIV/0!</v>
      </c>
      <c r="G56" s="3481"/>
      <c r="H56" s="3379"/>
      <c r="I56" s="1022">
        <v>1</v>
      </c>
      <c r="J56" s="1025">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2513</v>
      </c>
      <c r="B57" s="224" t="e">
        <f>ROUND($C$48*C57*D57,0)</f>
        <v>#DIV/0!</v>
      </c>
      <c r="C57" s="176">
        <f t="shared" ref="C57:C65" si="16">IF($C$55="北京市系数",I57,J57)</f>
        <v>0</v>
      </c>
      <c r="D57" s="1076">
        <v>0.25</v>
      </c>
      <c r="E57" s="650"/>
      <c r="F57" s="1017" t="e">
        <f t="shared" si="15"/>
        <v>#DIV/0!</v>
      </c>
      <c r="G57" s="3502" t="s">
        <v>2514</v>
      </c>
      <c r="H57" s="1018">
        <f>项目基本情况!B37</f>
        <v>0</v>
      </c>
      <c r="I57" s="1022">
        <f>SUMIF(修正!A45:A56,H57,修正!B45:B56)</f>
        <v>0</v>
      </c>
      <c r="J57" s="1026"/>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2515</v>
      </c>
      <c r="B58" s="224" t="e">
        <f t="shared" ref="B58:B65" si="17">ROUND($C$48*C58*D58,0)</f>
        <v>#DIV/0!</v>
      </c>
      <c r="C58" s="176">
        <f t="shared" si="16"/>
        <v>0</v>
      </c>
      <c r="D58" s="1076">
        <v>0.25</v>
      </c>
      <c r="E58" s="650"/>
      <c r="F58" s="1017" t="e">
        <f t="shared" si="15"/>
        <v>#DIV/0!</v>
      </c>
      <c r="G58" s="3502"/>
      <c r="H58" s="1018">
        <f>项目基本情况!B37</f>
        <v>0</v>
      </c>
      <c r="I58" s="1022">
        <f>SUMIF(修正!A45:A56,H58,修正!C45:C56)</f>
        <v>0</v>
      </c>
      <c r="J58" s="1026"/>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2516</v>
      </c>
      <c r="B59" s="224" t="e">
        <f t="shared" si="17"/>
        <v>#DIV/0!</v>
      </c>
      <c r="C59" s="176">
        <f t="shared" si="16"/>
        <v>0</v>
      </c>
      <c r="D59" s="1076">
        <v>0.25</v>
      </c>
      <c r="E59" s="650"/>
      <c r="F59" s="1017" t="e">
        <f t="shared" si="15"/>
        <v>#DIV/0!</v>
      </c>
      <c r="G59" s="3502"/>
      <c r="H59" s="1018">
        <f>项目基本情况!B37</f>
        <v>0</v>
      </c>
      <c r="I59" s="1022">
        <f>SUMIF(修正!A45:A56,H59,修正!D45:D56)</f>
        <v>0</v>
      </c>
      <c r="J59" s="1026"/>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2517</v>
      </c>
      <c r="B60" s="224" t="e">
        <f t="shared" si="17"/>
        <v>#DIV/0!</v>
      </c>
      <c r="C60" s="176">
        <f t="shared" si="16"/>
        <v>0</v>
      </c>
      <c r="D60" s="1076">
        <v>0.25</v>
      </c>
      <c r="E60" s="650"/>
      <c r="F60" s="1017" t="e">
        <f t="shared" si="15"/>
        <v>#DIV/0!</v>
      </c>
      <c r="G60" s="3502"/>
      <c r="H60" s="1018">
        <f>项目基本情况!B37</f>
        <v>0</v>
      </c>
      <c r="I60" s="1022">
        <f>SUMIF(修正!A45:A56,H60,修正!E45:E56)</f>
        <v>0</v>
      </c>
      <c r="J60" s="1026"/>
      <c r="K60" s="2906"/>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2518</v>
      </c>
      <c r="B61" s="224" t="e">
        <f t="shared" si="17"/>
        <v>#DIV/0!</v>
      </c>
      <c r="C61" s="176">
        <f t="shared" si="16"/>
        <v>0</v>
      </c>
      <c r="D61" s="1076">
        <v>0.25</v>
      </c>
      <c r="E61" s="223">
        <f>'数据-汇总表'!E11</f>
        <v>0</v>
      </c>
      <c r="F61" s="1017" t="e">
        <f t="shared" si="15"/>
        <v>#DIV/0!</v>
      </c>
      <c r="G61" s="2143" t="s">
        <v>2519</v>
      </c>
      <c r="H61" s="1018">
        <f>项目基本情况!C37</f>
        <v>0</v>
      </c>
      <c r="I61" s="1022">
        <f>SUMIF(修正!A45:A56,H61,修正!F45:F56)</f>
        <v>0</v>
      </c>
      <c r="J61" s="1026"/>
      <c r="K61" s="2903"/>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2520</v>
      </c>
      <c r="B62" s="224" t="e">
        <f t="shared" si="17"/>
        <v>#DIV/0!</v>
      </c>
      <c r="C62" s="176">
        <f t="shared" si="16"/>
        <v>0</v>
      </c>
      <c r="D62" s="1076">
        <v>0.25</v>
      </c>
      <c r="E62" s="223">
        <f>'数据-汇总表'!E12</f>
        <v>0</v>
      </c>
      <c r="F62" s="1017" t="e">
        <f t="shared" si="15"/>
        <v>#DIV/0!</v>
      </c>
      <c r="G62" s="1023" t="s">
        <v>2521</v>
      </c>
      <c r="H62" s="1018">
        <f>IF(G62="商业",项目基本情况!B37,IF(G62="办公",项目基本情况!C37,IF(G62="住宅",项目基本情况!D37,项目基本情况!E37)))</f>
        <v>0</v>
      </c>
      <c r="I62" s="1022">
        <f>SUMIF(修正!A45:A56,H62,修正!G45:G56)</f>
        <v>0</v>
      </c>
      <c r="J62" s="1026"/>
      <c r="K62" s="2906"/>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2522</v>
      </c>
      <c r="B63" s="224" t="e">
        <f t="shared" si="17"/>
        <v>#DIV/0!</v>
      </c>
      <c r="C63" s="176">
        <f t="shared" si="16"/>
        <v>0</v>
      </c>
      <c r="D63" s="1076">
        <v>0.25</v>
      </c>
      <c r="E63" s="223">
        <f>'数据-汇总表'!E13</f>
        <v>0</v>
      </c>
      <c r="F63" s="1017" t="e">
        <f t="shared" si="15"/>
        <v>#DIV/0!</v>
      </c>
      <c r="G63" s="1023" t="s">
        <v>2523</v>
      </c>
      <c r="H63" s="1018">
        <f>IF(G63="商业",项目基本情况!B37,IF(G63="办公",项目基本情况!C37,IF(G63="住宅",项目基本情况!D37,项目基本情况!E37)))</f>
        <v>0</v>
      </c>
      <c r="I63" s="1022">
        <f>SUMIF(修正!A45:A56,H63,修正!H45:H56)</f>
        <v>0</v>
      </c>
      <c r="J63" s="1026"/>
      <c r="K63" s="2903"/>
      <c r="L63" s="2960"/>
      <c r="M63" s="2960"/>
      <c r="N63" s="2960"/>
      <c r="O63" s="2960"/>
      <c r="P63" s="2960"/>
      <c r="Q63" s="2960"/>
      <c r="R63" s="2960"/>
      <c r="S63" s="2960"/>
      <c r="T63" s="2960"/>
      <c r="U63" s="2960"/>
      <c r="V63" s="2960"/>
      <c r="W63" s="2960"/>
      <c r="X63" s="2960"/>
      <c r="Y63" s="2960"/>
      <c r="Z63" s="2960"/>
      <c r="AA63" s="2960"/>
      <c r="AB63" s="2960"/>
      <c r="AC63" s="2960"/>
    </row>
    <row r="64" spans="1:29" s="648" customFormat="1">
      <c r="A64" s="649" t="s">
        <v>2524</v>
      </c>
      <c r="B64" s="224" t="e">
        <f t="shared" si="17"/>
        <v>#DIV/0!</v>
      </c>
      <c r="C64" s="176">
        <f t="shared" si="16"/>
        <v>0</v>
      </c>
      <c r="D64" s="1076">
        <v>0.25</v>
      </c>
      <c r="E64" s="223">
        <f>'数据-汇总表'!E14</f>
        <v>0</v>
      </c>
      <c r="F64" s="1017" t="e">
        <f t="shared" si="15"/>
        <v>#DIV/0!</v>
      </c>
      <c r="G64" s="2143" t="s">
        <v>2514</v>
      </c>
      <c r="H64" s="1018">
        <f>项目基本情况!B37</f>
        <v>0</v>
      </c>
      <c r="I64" s="1022">
        <f>SUMIF(修正!A45:A56,H64,修正!H45:H56)</f>
        <v>0</v>
      </c>
      <c r="J64" s="1026"/>
      <c r="K64" s="2906"/>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5" thickBot="1">
      <c r="A65" s="649" t="s">
        <v>2525</v>
      </c>
      <c r="B65" s="224" t="e">
        <f t="shared" si="17"/>
        <v>#DIV/0!</v>
      </c>
      <c r="C65" s="176">
        <f t="shared" si="16"/>
        <v>0</v>
      </c>
      <c r="D65" s="1076">
        <v>0.25</v>
      </c>
      <c r="E65" s="223">
        <f>'数据-汇总表'!E15</f>
        <v>0</v>
      </c>
      <c r="F65" s="1017" t="e">
        <f t="shared" si="15"/>
        <v>#DIV/0!</v>
      </c>
      <c r="G65" s="2144" t="s">
        <v>2519</v>
      </c>
      <c r="H65" s="1028">
        <f>项目基本情况!C37</f>
        <v>0</v>
      </c>
      <c r="I65" s="1024">
        <f>SUMIF(修正!A45:A56,H65,修正!H45:H56)</f>
        <v>0</v>
      </c>
      <c r="J65" s="1027"/>
      <c r="K65" s="2903"/>
      <c r="L65" s="2960"/>
      <c r="M65" s="2960"/>
      <c r="N65" s="2960"/>
      <c r="O65" s="2960"/>
      <c r="P65" s="2960"/>
      <c r="Q65" s="2960"/>
      <c r="R65" s="2960"/>
      <c r="S65" s="2960"/>
      <c r="T65" s="2960"/>
      <c r="U65" s="2960"/>
      <c r="V65" s="2960"/>
      <c r="W65" s="2960"/>
      <c r="X65" s="2960"/>
      <c r="Y65" s="2960"/>
      <c r="Z65" s="2960"/>
      <c r="AA65" s="2960"/>
      <c r="AB65" s="2960"/>
      <c r="AC65" s="2960"/>
    </row>
    <row r="66" spans="1:29" s="648" customFormat="1" ht="13.5" thickBot="1">
      <c r="A66" s="651" t="s">
        <v>2526</v>
      </c>
      <c r="B66" s="652" t="s">
        <v>28</v>
      </c>
      <c r="C66" s="652" t="s">
        <v>29</v>
      </c>
      <c r="D66" s="652" t="s">
        <v>997</v>
      </c>
      <c r="E66" s="652">
        <f>IF(B46="楼面地价",SUM(E56:E65),'数据-汇总表'!D3)</f>
        <v>2555.66</v>
      </c>
      <c r="F66" s="653" t="e">
        <f>IF(B46="楼面地价",SUM(F56:F65),ROUND(C48*E66/10000,0))</f>
        <v>#DIV/0!</v>
      </c>
      <c r="G66" s="726"/>
      <c r="H66" s="726"/>
      <c r="I66" s="726"/>
      <c r="J66" s="726"/>
      <c r="K66" s="2961"/>
      <c r="L66" s="2960"/>
      <c r="M66" s="2960"/>
      <c r="N66" s="2960"/>
      <c r="O66" s="2960"/>
      <c r="P66" s="2960"/>
      <c r="Q66" s="2960"/>
      <c r="R66" s="2960"/>
      <c r="S66" s="2960"/>
      <c r="T66" s="2960"/>
      <c r="U66" s="2960"/>
      <c r="V66" s="2960"/>
      <c r="W66" s="2960"/>
      <c r="X66" s="2960"/>
      <c r="Y66" s="2960"/>
      <c r="Z66" s="2960"/>
      <c r="AA66" s="2960"/>
      <c r="AB66" s="2960"/>
      <c r="AC66" s="2960"/>
    </row>
    <row r="67" spans="1:29">
      <c r="A67" s="699"/>
      <c r="B67" s="701"/>
      <c r="C67" s="702"/>
      <c r="D67" s="699"/>
      <c r="E67" s="699"/>
      <c r="F67" s="699"/>
      <c r="G67" s="699"/>
      <c r="H67" s="699"/>
      <c r="I67" s="699"/>
      <c r="J67" s="1058"/>
      <c r="K67" s="1019"/>
      <c r="L67" s="1020"/>
      <c r="M67" s="1058"/>
      <c r="N67" s="1058"/>
      <c r="O67" s="1058"/>
      <c r="P67" s="2903"/>
      <c r="Q67" s="2903"/>
      <c r="R67" s="2903"/>
      <c r="S67" s="2903"/>
      <c r="T67" s="2903"/>
      <c r="U67" s="2903"/>
      <c r="V67" s="2903"/>
      <c r="W67" s="2903"/>
      <c r="X67" s="2903"/>
      <c r="Y67" s="2903"/>
      <c r="Z67" s="2903"/>
      <c r="AA67" s="2903"/>
      <c r="AB67" s="2903"/>
      <c r="AC67" s="290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03"/>
      <c r="Q68" s="2903"/>
      <c r="R68" s="2903"/>
      <c r="S68" s="2903"/>
      <c r="T68" s="2903"/>
      <c r="U68" s="2903"/>
      <c r="V68" s="2903"/>
      <c r="W68" s="2903"/>
      <c r="X68" s="2903"/>
      <c r="Y68" s="2903"/>
      <c r="Z68" s="2903"/>
      <c r="AA68" s="2903"/>
      <c r="AB68" s="2903"/>
      <c r="AC68" s="2903"/>
    </row>
    <row r="69" spans="1:29" ht="21.75" thickBot="1">
      <c r="A69" s="703" t="s">
        <v>2419</v>
      </c>
      <c r="B69" s="699"/>
      <c r="C69" s="704"/>
      <c r="D69" s="704"/>
      <c r="E69" s="704"/>
      <c r="F69" s="705"/>
      <c r="G69" s="705"/>
      <c r="H69" s="704"/>
      <c r="I69" s="704"/>
      <c r="J69" s="1071"/>
      <c r="K69" s="1072"/>
      <c r="L69" s="1073"/>
      <c r="M69" s="1071"/>
      <c r="N69" s="2947"/>
      <c r="O69" s="2947"/>
      <c r="P69" s="2947"/>
      <c r="Q69" s="2917"/>
      <c r="R69" s="2903"/>
      <c r="S69" s="2903"/>
      <c r="T69" s="2903"/>
      <c r="U69" s="2903"/>
      <c r="V69" s="2903"/>
      <c r="W69" s="2903"/>
      <c r="X69" s="2903"/>
      <c r="Y69" s="2903"/>
      <c r="Z69" s="2903"/>
      <c r="AA69" s="2903"/>
      <c r="AB69" s="2903"/>
      <c r="AC69" s="2903"/>
    </row>
    <row r="70" spans="1:29" s="465" customFormat="1" ht="15">
      <c r="A70" s="2145" t="s">
        <v>2527</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54"/>
      <c r="Q70" s="2919"/>
      <c r="R70" s="2919"/>
      <c r="S70" s="2919"/>
      <c r="T70" s="2919"/>
      <c r="U70" s="2919"/>
      <c r="V70" s="2919"/>
      <c r="W70" s="2919"/>
      <c r="X70" s="2919"/>
      <c r="Y70" s="2919"/>
      <c r="Z70" s="2919"/>
      <c r="AA70" s="2919"/>
      <c r="AB70" s="2919"/>
      <c r="AC70" s="2919"/>
    </row>
    <row r="71" spans="1:29" s="113" customFormat="1" ht="30" customHeight="1">
      <c r="A71" s="2146" t="s">
        <v>2528</v>
      </c>
      <c r="B71" s="294" t="str">
        <f>"北京市平均增长率"&amp;TEXT(SUMIF(基准地价修正!N21:N25,A71,基准地价修正!P21:P25),"0.00%")</f>
        <v>北京市平均增长率1.77%</v>
      </c>
      <c r="C71" s="560">
        <v>100</v>
      </c>
      <c r="D71" s="552"/>
      <c r="E71" s="552"/>
      <c r="F71" s="552"/>
      <c r="G71" s="552"/>
      <c r="H71" s="552"/>
      <c r="I71" s="552"/>
      <c r="J71" s="552"/>
      <c r="K71" s="552"/>
      <c r="L71" s="552"/>
      <c r="M71" s="1312"/>
      <c r="N71" s="552"/>
      <c r="O71" s="1313"/>
      <c r="P71" s="2917"/>
      <c r="Q71" s="2837"/>
      <c r="R71" s="2837"/>
      <c r="S71" s="2837"/>
      <c r="T71" s="2837"/>
      <c r="U71" s="2837"/>
      <c r="V71" s="2837"/>
      <c r="W71" s="2837"/>
      <c r="X71" s="2837"/>
      <c r="Y71" s="2837"/>
      <c r="Z71" s="2837"/>
      <c r="AA71" s="2837"/>
      <c r="AB71" s="2837"/>
      <c r="AC71" s="2837"/>
    </row>
    <row r="72" spans="1:29" s="113" customFormat="1" ht="15.75" thickBot="1">
      <c r="A72" s="472" t="s">
        <v>2330</v>
      </c>
      <c r="B72" s="473"/>
      <c r="C72" s="474"/>
      <c r="D72" s="475"/>
      <c r="E72" s="475"/>
      <c r="F72" s="475"/>
      <c r="G72" s="475"/>
      <c r="H72" s="475"/>
      <c r="I72" s="475"/>
      <c r="J72" s="475"/>
      <c r="K72" s="475"/>
      <c r="L72" s="475"/>
      <c r="M72" s="476"/>
      <c r="N72" s="475"/>
      <c r="O72" s="1074"/>
      <c r="P72" s="2917"/>
      <c r="Q72" s="2917"/>
      <c r="R72" s="2837"/>
      <c r="S72" s="2837"/>
      <c r="T72" s="2837"/>
      <c r="U72" s="2837"/>
      <c r="V72" s="2837"/>
      <c r="W72" s="2837"/>
      <c r="X72" s="2837"/>
      <c r="Y72" s="2837"/>
      <c r="Z72" s="2837"/>
      <c r="AA72" s="2837"/>
      <c r="AB72" s="2837"/>
      <c r="AC72" s="2837"/>
    </row>
    <row r="73" spans="1:29" s="113" customFormat="1" ht="15">
      <c r="A73" s="478" t="s">
        <v>2295</v>
      </c>
      <c r="B73" s="467"/>
      <c r="C73" s="479" t="s">
        <v>2397</v>
      </c>
      <c r="D73" s="480"/>
      <c r="E73" s="480"/>
      <c r="F73" s="480"/>
      <c r="G73" s="480"/>
      <c r="H73" s="480"/>
      <c r="I73" s="480"/>
      <c r="J73" s="480"/>
      <c r="K73" s="480"/>
      <c r="L73" s="481"/>
      <c r="M73" s="482"/>
      <c r="N73" s="2930"/>
      <c r="O73" s="2930"/>
      <c r="P73" s="2955"/>
      <c r="Q73" s="2917"/>
      <c r="R73" s="2837"/>
      <c r="S73" s="2837"/>
      <c r="T73" s="2837"/>
      <c r="U73" s="2837"/>
      <c r="V73" s="2837"/>
      <c r="W73" s="2837"/>
      <c r="X73" s="2837"/>
      <c r="Y73" s="2837"/>
      <c r="Z73" s="2837"/>
      <c r="AA73" s="2837"/>
      <c r="AB73" s="2837"/>
      <c r="AC73" s="2837"/>
    </row>
    <row r="74" spans="1:29" s="113" customFormat="1" ht="15.75" thickBot="1">
      <c r="A74" s="478"/>
      <c r="B74" s="467"/>
      <c r="C74" s="595">
        <v>100</v>
      </c>
      <c r="D74" s="469"/>
      <c r="E74" s="469"/>
      <c r="F74" s="469"/>
      <c r="G74" s="469"/>
      <c r="H74" s="469"/>
      <c r="I74" s="469"/>
      <c r="J74" s="469"/>
      <c r="K74" s="469"/>
      <c r="L74" s="469"/>
      <c r="M74" s="471"/>
      <c r="N74" s="2930"/>
      <c r="O74" s="2930"/>
      <c r="P74" s="2917"/>
      <c r="Q74" s="2917"/>
      <c r="R74" s="2837"/>
      <c r="S74" s="2837"/>
      <c r="T74" s="2837"/>
      <c r="U74" s="2837"/>
      <c r="V74" s="2837"/>
      <c r="W74" s="2837"/>
      <c r="X74" s="2837"/>
      <c r="Y74" s="2837"/>
      <c r="Z74" s="2837"/>
      <c r="AA74" s="2837"/>
      <c r="AB74" s="2837"/>
      <c r="AC74" s="2837"/>
    </row>
    <row r="75" spans="1:29">
      <c r="A75" s="484" t="s">
        <v>2333</v>
      </c>
      <c r="B75" s="485" t="s">
        <v>2299</v>
      </c>
      <c r="C75" s="487"/>
      <c r="D75" s="487"/>
      <c r="E75" s="487"/>
      <c r="F75" s="487"/>
      <c r="G75" s="487"/>
      <c r="H75" s="487"/>
      <c r="I75" s="487"/>
      <c r="J75" s="487"/>
      <c r="K75" s="488"/>
      <c r="L75" s="489"/>
      <c r="M75" s="490"/>
      <c r="N75" s="2931"/>
      <c r="O75" s="2931"/>
      <c r="P75" s="2956"/>
      <c r="Q75" s="2917"/>
      <c r="R75" s="2903"/>
      <c r="S75" s="2903"/>
      <c r="T75" s="2903"/>
      <c r="U75" s="2903"/>
      <c r="V75" s="2903"/>
      <c r="W75" s="2903"/>
      <c r="X75" s="2903"/>
      <c r="Y75" s="2903"/>
      <c r="Z75" s="2903"/>
      <c r="AA75" s="2903"/>
      <c r="AB75" s="2903"/>
      <c r="AC75" s="2903"/>
    </row>
    <row r="76" spans="1:29" ht="15.75" thickBot="1">
      <c r="A76" s="491"/>
      <c r="B76" s="492"/>
      <c r="C76" s="493"/>
      <c r="D76" s="493"/>
      <c r="E76" s="493"/>
      <c r="F76" s="493"/>
      <c r="G76" s="493"/>
      <c r="H76" s="493"/>
      <c r="I76" s="493"/>
      <c r="J76" s="493"/>
      <c r="K76" s="493"/>
      <c r="L76" s="493"/>
      <c r="M76" s="494"/>
      <c r="N76" s="2932"/>
      <c r="O76" s="2932"/>
      <c r="P76" s="2956"/>
      <c r="Q76" s="2917"/>
      <c r="R76" s="2903"/>
      <c r="S76" s="2903"/>
      <c r="T76" s="2903"/>
      <c r="U76" s="2903"/>
      <c r="V76" s="2903"/>
      <c r="W76" s="2903"/>
      <c r="X76" s="2903"/>
      <c r="Y76" s="2903"/>
      <c r="Z76" s="2903"/>
      <c r="AA76" s="2903"/>
      <c r="AB76" s="2903"/>
      <c r="AC76" s="2903"/>
    </row>
    <row r="77" spans="1:29" ht="27.75" thickTop="1">
      <c r="A77" s="491"/>
      <c r="B77" s="495" t="s">
        <v>2302</v>
      </c>
      <c r="C77" s="496"/>
      <c r="D77" s="496"/>
      <c r="E77" s="496"/>
      <c r="F77" s="496"/>
      <c r="G77" s="496"/>
      <c r="H77" s="496"/>
      <c r="I77" s="496"/>
      <c r="J77" s="496"/>
      <c r="K77" s="497"/>
      <c r="L77" s="498"/>
      <c r="M77" s="499"/>
      <c r="N77" s="2931"/>
      <c r="O77" s="2931"/>
      <c r="P77" s="2956"/>
      <c r="Q77" s="2917"/>
      <c r="R77" s="2903"/>
      <c r="S77" s="2903"/>
      <c r="T77" s="2903"/>
      <c r="U77" s="2903"/>
      <c r="V77" s="2903"/>
      <c r="W77" s="2903"/>
      <c r="X77" s="2903"/>
      <c r="Y77" s="2903"/>
      <c r="Z77" s="2903"/>
      <c r="AA77" s="2903"/>
      <c r="AB77" s="2903"/>
      <c r="AC77" s="2903"/>
    </row>
    <row r="78" spans="1:29" ht="15.75" thickBot="1">
      <c r="A78" s="491"/>
      <c r="B78" s="500"/>
      <c r="C78" s="501"/>
      <c r="D78" s="501"/>
      <c r="E78" s="501"/>
      <c r="F78" s="501"/>
      <c r="G78" s="501"/>
      <c r="H78" s="501"/>
      <c r="I78" s="501"/>
      <c r="J78" s="501"/>
      <c r="K78" s="501"/>
      <c r="L78" s="501"/>
      <c r="M78" s="502"/>
      <c r="N78" s="2932"/>
      <c r="O78" s="2932"/>
      <c r="P78" s="2956"/>
      <c r="Q78" s="2917"/>
      <c r="R78" s="2903"/>
      <c r="S78" s="2903"/>
      <c r="T78" s="2903"/>
      <c r="U78" s="2903"/>
      <c r="V78" s="2903"/>
      <c r="W78" s="2903"/>
      <c r="X78" s="2903"/>
      <c r="Y78" s="2903"/>
      <c r="Z78" s="2903"/>
      <c r="AA78" s="2903"/>
      <c r="AB78" s="2903"/>
      <c r="AC78" s="2903"/>
    </row>
    <row r="79" spans="1:29" ht="15.75" thickTop="1">
      <c r="A79" s="491"/>
      <c r="B79" s="503" t="s">
        <v>2303</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32"/>
      <c r="O79" s="2932"/>
      <c r="P79" s="2956"/>
      <c r="Q79" s="2917"/>
      <c r="R79" s="2903"/>
      <c r="S79" s="2903"/>
      <c r="T79" s="2903"/>
      <c r="U79" s="2903"/>
      <c r="V79" s="2903"/>
      <c r="W79" s="2903"/>
      <c r="X79" s="2903"/>
      <c r="Y79" s="2903"/>
      <c r="Z79" s="2903"/>
      <c r="AA79" s="2903"/>
      <c r="AB79" s="2903"/>
      <c r="AC79" s="2903"/>
    </row>
    <row r="80" spans="1:29" ht="15">
      <c r="A80" s="491"/>
      <c r="B80" s="505"/>
      <c r="C80" s="506"/>
      <c r="D80" s="506"/>
      <c r="E80" s="506"/>
      <c r="F80" s="506"/>
      <c r="G80" s="506"/>
      <c r="H80" s="506"/>
      <c r="I80" s="506"/>
      <c r="J80" s="506"/>
      <c r="K80" s="507"/>
      <c r="L80" s="508"/>
      <c r="M80" s="509"/>
      <c r="N80" s="2931"/>
      <c r="O80" s="2931"/>
      <c r="P80" s="2956"/>
      <c r="Q80" s="2917"/>
      <c r="R80" s="2903"/>
      <c r="S80" s="2903"/>
      <c r="T80" s="2903"/>
      <c r="U80" s="2903"/>
      <c r="V80" s="2903"/>
      <c r="W80" s="2903"/>
      <c r="X80" s="2903"/>
      <c r="Y80" s="2903"/>
      <c r="Z80" s="2903"/>
      <c r="AA80" s="2903"/>
      <c r="AB80" s="2903"/>
      <c r="AC80" s="290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32"/>
      <c r="O81" s="2932"/>
      <c r="P81" s="2956"/>
      <c r="Q81" s="2917"/>
      <c r="R81" s="2903"/>
      <c r="S81" s="2903"/>
      <c r="T81" s="2903"/>
      <c r="U81" s="2903"/>
      <c r="V81" s="2903"/>
      <c r="W81" s="2903"/>
      <c r="X81" s="2903"/>
      <c r="Y81" s="2903"/>
      <c r="Z81" s="2903"/>
      <c r="AA81" s="2903"/>
      <c r="AB81" s="2903"/>
      <c r="AC81" s="2903"/>
    </row>
    <row r="82" spans="1:29" s="430" customFormat="1" ht="15.75" thickTop="1">
      <c r="A82" s="510"/>
      <c r="B82" s="495" t="str">
        <f>B12</f>
        <v>配建</v>
      </c>
      <c r="C82" s="511"/>
      <c r="D82" s="511"/>
      <c r="E82" s="511"/>
      <c r="F82" s="511"/>
      <c r="G82" s="511"/>
      <c r="H82" s="512"/>
      <c r="I82" s="512"/>
      <c r="J82" s="512"/>
      <c r="K82" s="512"/>
      <c r="L82" s="513"/>
      <c r="M82" s="514"/>
      <c r="N82" s="2933"/>
      <c r="O82" s="2933"/>
      <c r="P82" s="2957"/>
      <c r="Q82" s="2924"/>
      <c r="R82" s="2925"/>
      <c r="S82" s="2925"/>
      <c r="T82" s="2925"/>
      <c r="U82" s="2925"/>
      <c r="V82" s="2925"/>
      <c r="W82" s="2925"/>
      <c r="X82" s="2925"/>
      <c r="Y82" s="2925"/>
      <c r="Z82" s="2925"/>
      <c r="AA82" s="2925"/>
      <c r="AB82" s="2925"/>
      <c r="AC82" s="2925"/>
    </row>
    <row r="83" spans="1:29" s="430" customFormat="1" ht="15.75" thickBot="1">
      <c r="A83" s="510"/>
      <c r="B83" s="500"/>
      <c r="C83" s="517"/>
      <c r="D83" s="493"/>
      <c r="E83" s="493"/>
      <c r="F83" s="493"/>
      <c r="G83" s="493"/>
      <c r="H83" s="493"/>
      <c r="I83" s="493"/>
      <c r="J83" s="493"/>
      <c r="K83" s="493"/>
      <c r="L83" s="493"/>
      <c r="M83" s="494"/>
      <c r="N83" s="2932"/>
      <c r="O83" s="2932"/>
      <c r="P83" s="2957"/>
      <c r="Q83" s="2924"/>
      <c r="R83" s="2925"/>
      <c r="S83" s="2925"/>
      <c r="T83" s="2925"/>
      <c r="U83" s="2925"/>
      <c r="V83" s="2925"/>
      <c r="W83" s="2925"/>
      <c r="X83" s="2925"/>
      <c r="Y83" s="2925"/>
      <c r="Z83" s="2925"/>
      <c r="AA83" s="2925"/>
      <c r="AB83" s="2925"/>
      <c r="AC83" s="2925"/>
    </row>
    <row r="84" spans="1:29" s="430" customFormat="1" ht="15.75" thickTop="1">
      <c r="A84" s="510"/>
      <c r="B84" s="495">
        <f>B13</f>
        <v>111</v>
      </c>
      <c r="C84" s="511"/>
      <c r="D84" s="511"/>
      <c r="E84" s="511"/>
      <c r="F84" s="511"/>
      <c r="G84" s="511"/>
      <c r="H84" s="512"/>
      <c r="I84" s="512"/>
      <c r="J84" s="512"/>
      <c r="K84" s="512"/>
      <c r="L84" s="513"/>
      <c r="M84" s="514"/>
      <c r="N84" s="2933"/>
      <c r="O84" s="2933"/>
      <c r="P84" s="2901"/>
      <c r="Q84" s="2927"/>
      <c r="R84" s="2925"/>
      <c r="S84" s="2925"/>
      <c r="T84" s="2925"/>
      <c r="U84" s="2925"/>
      <c r="V84" s="2925"/>
      <c r="W84" s="2925"/>
      <c r="X84" s="2925"/>
      <c r="Y84" s="2925"/>
      <c r="Z84" s="2925"/>
      <c r="AA84" s="2925"/>
      <c r="AB84" s="2925"/>
      <c r="AC84" s="2925"/>
    </row>
    <row r="85" spans="1:29" s="430" customFormat="1" ht="15.75" thickBot="1">
      <c r="A85" s="510"/>
      <c r="B85" s="500"/>
      <c r="C85" s="517"/>
      <c r="D85" s="517"/>
      <c r="E85" s="517"/>
      <c r="F85" s="517"/>
      <c r="G85" s="517"/>
      <c r="H85" s="519"/>
      <c r="I85" s="519"/>
      <c r="J85" s="519"/>
      <c r="K85" s="519"/>
      <c r="L85" s="519"/>
      <c r="M85" s="520"/>
      <c r="N85" s="2933"/>
      <c r="O85" s="2933"/>
      <c r="P85" s="2957"/>
      <c r="Q85" s="2924"/>
      <c r="R85" s="2925"/>
      <c r="S85" s="2925"/>
      <c r="T85" s="2925"/>
      <c r="U85" s="2925"/>
      <c r="V85" s="2925"/>
      <c r="W85" s="2925"/>
      <c r="X85" s="2925"/>
      <c r="Y85" s="2925"/>
      <c r="Z85" s="2925"/>
      <c r="AA85" s="2925"/>
      <c r="AB85" s="2925"/>
      <c r="AC85" s="2925"/>
    </row>
    <row r="86" spans="1:29" s="430" customFormat="1" ht="15.75" thickTop="1">
      <c r="A86" s="510"/>
      <c r="B86" s="503">
        <f>B14</f>
        <v>111</v>
      </c>
      <c r="C86" s="480"/>
      <c r="D86" s="480"/>
      <c r="E86" s="480"/>
      <c r="F86" s="480"/>
      <c r="G86" s="480"/>
      <c r="H86" s="521"/>
      <c r="I86" s="521"/>
      <c r="J86" s="521"/>
      <c r="K86" s="521"/>
      <c r="L86" s="522"/>
      <c r="M86" s="523"/>
      <c r="N86" s="2933"/>
      <c r="O86" s="2933"/>
      <c r="P86" s="2962"/>
      <c r="Q86" s="2924"/>
      <c r="R86" s="2925"/>
      <c r="S86" s="2925"/>
      <c r="T86" s="2925"/>
      <c r="U86" s="2925"/>
      <c r="V86" s="2925"/>
      <c r="W86" s="2925"/>
      <c r="X86" s="2925"/>
      <c r="Y86" s="2925"/>
      <c r="Z86" s="2925"/>
      <c r="AA86" s="2925"/>
      <c r="AB86" s="2925"/>
      <c r="AC86" s="2925"/>
    </row>
    <row r="87" spans="1:29" s="430" customFormat="1" ht="15.75" thickBot="1">
      <c r="A87" s="525"/>
      <c r="B87" s="526"/>
      <c r="C87" s="527"/>
      <c r="D87" s="527"/>
      <c r="E87" s="527"/>
      <c r="F87" s="527"/>
      <c r="G87" s="527"/>
      <c r="H87" s="528"/>
      <c r="I87" s="528"/>
      <c r="J87" s="528"/>
      <c r="K87" s="528"/>
      <c r="L87" s="528"/>
      <c r="M87" s="529"/>
      <c r="N87" s="2933"/>
      <c r="O87" s="2933"/>
      <c r="P87" s="2957"/>
      <c r="Q87" s="2924"/>
      <c r="R87" s="2925"/>
      <c r="S87" s="2925"/>
      <c r="T87" s="2925"/>
      <c r="U87" s="2925"/>
      <c r="V87" s="2925"/>
      <c r="W87" s="2925"/>
      <c r="X87" s="2925"/>
      <c r="Y87" s="2925"/>
      <c r="Z87" s="2925"/>
      <c r="AA87" s="2925"/>
      <c r="AB87" s="2925"/>
      <c r="AC87" s="2925"/>
    </row>
    <row r="88" spans="1:29">
      <c r="A88" s="484" t="s">
        <v>2304</v>
      </c>
      <c r="B88" s="485" t="s">
        <v>2341</v>
      </c>
      <c r="C88" s="530" t="s">
        <v>2342</v>
      </c>
      <c r="D88" s="530" t="s">
        <v>2343</v>
      </c>
      <c r="E88" s="530" t="s">
        <v>2344</v>
      </c>
      <c r="F88" s="530" t="s">
        <v>2345</v>
      </c>
      <c r="G88" s="530" t="s">
        <v>2346</v>
      </c>
      <c r="H88" s="486"/>
      <c r="I88" s="486"/>
      <c r="J88" s="486"/>
      <c r="K88" s="531"/>
      <c r="L88" s="532"/>
      <c r="M88" s="533"/>
      <c r="N88" s="2931"/>
      <c r="O88" s="2931"/>
      <c r="P88" s="2958"/>
      <c r="Q88" s="2917"/>
      <c r="R88" s="2903"/>
      <c r="S88" s="2903"/>
      <c r="T88" s="2903"/>
      <c r="U88" s="2903"/>
      <c r="V88" s="2903"/>
      <c r="W88" s="2903"/>
      <c r="X88" s="2903"/>
      <c r="Y88" s="2903"/>
      <c r="Z88" s="2903"/>
      <c r="AA88" s="2903"/>
      <c r="AB88" s="2903"/>
      <c r="AC88" s="290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32"/>
      <c r="O89" s="2932"/>
      <c r="P89" s="2956"/>
      <c r="Q89" s="2917"/>
      <c r="R89" s="2903"/>
      <c r="S89" s="2903"/>
      <c r="T89" s="2903"/>
      <c r="U89" s="2903"/>
      <c r="V89" s="2903"/>
      <c r="W89" s="2903"/>
      <c r="X89" s="2903"/>
      <c r="Y89" s="2903"/>
      <c r="Z89" s="2903"/>
      <c r="AA89" s="2903"/>
      <c r="AB89" s="2903"/>
      <c r="AC89" s="2903"/>
    </row>
    <row r="90" spans="1:29" ht="15.75" thickTop="1">
      <c r="A90" s="491"/>
      <c r="B90" s="495" t="s">
        <v>2529</v>
      </c>
      <c r="C90" s="535" t="s">
        <v>2342</v>
      </c>
      <c r="D90" s="535" t="s">
        <v>2343</v>
      </c>
      <c r="E90" s="535" t="s">
        <v>2344</v>
      </c>
      <c r="F90" s="535" t="s">
        <v>2345</v>
      </c>
      <c r="G90" s="535" t="s">
        <v>2346</v>
      </c>
      <c r="H90" s="496"/>
      <c r="I90" s="496"/>
      <c r="J90" s="496"/>
      <c r="K90" s="497"/>
      <c r="L90" s="498"/>
      <c r="M90" s="499"/>
      <c r="N90" s="2931"/>
      <c r="O90" s="2931"/>
      <c r="P90" s="2956"/>
      <c r="Q90" s="2917"/>
      <c r="R90" s="2903"/>
      <c r="S90" s="2903"/>
      <c r="T90" s="2903"/>
      <c r="U90" s="2903"/>
      <c r="V90" s="2903"/>
      <c r="W90" s="2903"/>
      <c r="X90" s="2903"/>
      <c r="Y90" s="2903"/>
      <c r="Z90" s="2903"/>
      <c r="AA90" s="2903"/>
      <c r="AB90" s="2903"/>
      <c r="AC90" s="290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32"/>
      <c r="O91" s="2932"/>
      <c r="P91" s="2956"/>
      <c r="Q91" s="2917"/>
      <c r="R91" s="2903"/>
      <c r="S91" s="2903"/>
      <c r="T91" s="2903"/>
      <c r="U91" s="2903"/>
      <c r="V91" s="2903"/>
      <c r="W91" s="2903"/>
      <c r="X91" s="2903"/>
      <c r="Y91" s="2903"/>
      <c r="Z91" s="2903"/>
      <c r="AA91" s="2903"/>
      <c r="AB91" s="2903"/>
      <c r="AC91" s="2903"/>
    </row>
    <row r="92" spans="1:29" ht="15.75" thickTop="1">
      <c r="A92" s="491"/>
      <c r="B92" s="495" t="s">
        <v>2442</v>
      </c>
      <c r="C92" s="535" t="s">
        <v>2342</v>
      </c>
      <c r="D92" s="535" t="s">
        <v>2343</v>
      </c>
      <c r="E92" s="535" t="s">
        <v>2344</v>
      </c>
      <c r="F92" s="535" t="s">
        <v>2345</v>
      </c>
      <c r="G92" s="535" t="s">
        <v>2346</v>
      </c>
      <c r="H92" s="496"/>
      <c r="I92" s="496"/>
      <c r="J92" s="496"/>
      <c r="K92" s="497"/>
      <c r="L92" s="498"/>
      <c r="M92" s="499"/>
      <c r="N92" s="2931"/>
      <c r="O92" s="2931"/>
      <c r="P92" s="2956"/>
      <c r="Q92" s="2917"/>
      <c r="R92" s="2903"/>
      <c r="S92" s="2903"/>
      <c r="T92" s="2903"/>
      <c r="U92" s="2903"/>
      <c r="V92" s="2903"/>
      <c r="W92" s="2903"/>
      <c r="X92" s="2903"/>
      <c r="Y92" s="2903"/>
      <c r="Z92" s="2903"/>
      <c r="AA92" s="2903"/>
      <c r="AB92" s="2903"/>
      <c r="AC92" s="290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32"/>
      <c r="O93" s="2932"/>
      <c r="P93" s="2956"/>
      <c r="Q93" s="2917"/>
      <c r="R93" s="2903"/>
      <c r="S93" s="2903"/>
      <c r="T93" s="2903"/>
      <c r="U93" s="2903"/>
      <c r="V93" s="2903"/>
      <c r="W93" s="2903"/>
      <c r="X93" s="2903"/>
      <c r="Y93" s="2903"/>
      <c r="Z93" s="2903"/>
      <c r="AA93" s="2903"/>
      <c r="AB93" s="2903"/>
      <c r="AC93" s="2903"/>
    </row>
    <row r="94" spans="1:29" ht="15.75" thickTop="1">
      <c r="A94" s="491"/>
      <c r="B94" s="495" t="s">
        <v>2347</v>
      </c>
      <c r="C94" s="535" t="s">
        <v>2342</v>
      </c>
      <c r="D94" s="535" t="s">
        <v>2343</v>
      </c>
      <c r="E94" s="535" t="s">
        <v>2344</v>
      </c>
      <c r="F94" s="535" t="s">
        <v>2345</v>
      </c>
      <c r="G94" s="535" t="s">
        <v>2346</v>
      </c>
      <c r="H94" s="496"/>
      <c r="I94" s="496"/>
      <c r="J94" s="496"/>
      <c r="K94" s="497"/>
      <c r="L94" s="498"/>
      <c r="M94" s="499"/>
      <c r="N94" s="2931"/>
      <c r="O94" s="2931"/>
      <c r="P94" s="2956"/>
      <c r="Q94" s="2917"/>
      <c r="R94" s="2903"/>
      <c r="S94" s="2903"/>
      <c r="T94" s="2903"/>
      <c r="U94" s="2903"/>
      <c r="V94" s="2903"/>
      <c r="W94" s="2903"/>
      <c r="X94" s="2903"/>
      <c r="Y94" s="2903"/>
      <c r="Z94" s="2903"/>
      <c r="AA94" s="2903"/>
      <c r="AB94" s="2903"/>
      <c r="AC94" s="290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32"/>
      <c r="O95" s="2932"/>
      <c r="P95" s="2956"/>
      <c r="Q95" s="2917"/>
      <c r="R95" s="2903"/>
      <c r="S95" s="2903"/>
      <c r="T95" s="2903"/>
      <c r="U95" s="2903"/>
      <c r="V95" s="2903"/>
      <c r="W95" s="2903"/>
      <c r="X95" s="2903"/>
      <c r="Y95" s="2903"/>
      <c r="Z95" s="2903"/>
      <c r="AA95" s="2903"/>
      <c r="AB95" s="2903"/>
      <c r="AC95" s="2903"/>
    </row>
    <row r="96" spans="1:29" s="113" customFormat="1" ht="15.75" thickTop="1">
      <c r="A96" s="536"/>
      <c r="B96" s="495" t="s">
        <v>2530</v>
      </c>
      <c r="C96" s="535" t="s">
        <v>2342</v>
      </c>
      <c r="D96" s="535" t="s">
        <v>2343</v>
      </c>
      <c r="E96" s="535" t="s">
        <v>2344</v>
      </c>
      <c r="F96" s="535" t="s">
        <v>2345</v>
      </c>
      <c r="G96" s="535" t="s">
        <v>2346</v>
      </c>
      <c r="H96" s="535"/>
      <c r="I96" s="535"/>
      <c r="J96" s="535"/>
      <c r="K96" s="535"/>
      <c r="L96" s="654"/>
      <c r="M96" s="578"/>
      <c r="N96" s="2930"/>
      <c r="O96" s="2930"/>
      <c r="P96" s="2956"/>
      <c r="Q96" s="2917"/>
      <c r="R96" s="2837"/>
      <c r="S96" s="2837"/>
      <c r="T96" s="2837"/>
      <c r="U96" s="2837"/>
      <c r="V96" s="2837"/>
      <c r="W96" s="2837"/>
      <c r="X96" s="2837"/>
      <c r="Y96" s="2837"/>
      <c r="Z96" s="2837"/>
      <c r="AA96" s="2837"/>
      <c r="AB96" s="2837"/>
      <c r="AC96" s="283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32"/>
      <c r="O97" s="2932"/>
      <c r="P97" s="2956"/>
      <c r="Q97" s="2917"/>
      <c r="R97" s="2837"/>
      <c r="S97" s="2837"/>
      <c r="T97" s="2837"/>
      <c r="U97" s="2837"/>
      <c r="V97" s="2837"/>
      <c r="W97" s="2837"/>
      <c r="X97" s="2837"/>
      <c r="Y97" s="2837"/>
      <c r="Z97" s="2837"/>
      <c r="AA97" s="2837"/>
      <c r="AB97" s="2837"/>
      <c r="AC97" s="2837"/>
    </row>
    <row r="98" spans="1:29" s="113" customFormat="1" ht="27.75" thickTop="1">
      <c r="A98" s="536"/>
      <c r="B98" s="495" t="s">
        <v>2531</v>
      </c>
      <c r="C98" s="530" t="s">
        <v>2342</v>
      </c>
      <c r="D98" s="530" t="s">
        <v>2343</v>
      </c>
      <c r="E98" s="530" t="s">
        <v>2344</v>
      </c>
      <c r="F98" s="530" t="s">
        <v>2345</v>
      </c>
      <c r="G98" s="530" t="s">
        <v>2346</v>
      </c>
      <c r="H98" s="535"/>
      <c r="I98" s="535"/>
      <c r="J98" s="535"/>
      <c r="K98" s="535"/>
      <c r="L98" s="535"/>
      <c r="M98" s="578"/>
      <c r="N98" s="2930"/>
      <c r="O98" s="2930"/>
      <c r="P98" s="2956"/>
      <c r="Q98" s="2917"/>
      <c r="R98" s="2837"/>
      <c r="S98" s="2837"/>
      <c r="T98" s="2837"/>
      <c r="U98" s="2837"/>
      <c r="V98" s="2837"/>
      <c r="W98" s="2837"/>
      <c r="X98" s="2837"/>
      <c r="Y98" s="2837"/>
      <c r="Z98" s="2837"/>
      <c r="AA98" s="2837"/>
      <c r="AB98" s="2837"/>
      <c r="AC98" s="283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32"/>
      <c r="O99" s="2932"/>
      <c r="P99" s="2956"/>
      <c r="Q99" s="2917"/>
      <c r="R99" s="2837"/>
      <c r="S99" s="2837"/>
      <c r="T99" s="2837"/>
      <c r="U99" s="2837"/>
      <c r="V99" s="2837"/>
      <c r="W99" s="2837"/>
      <c r="X99" s="2837"/>
      <c r="Y99" s="2837"/>
      <c r="Z99" s="2837"/>
      <c r="AA99" s="2837"/>
      <c r="AB99" s="2837"/>
      <c r="AC99" s="2837"/>
    </row>
    <row r="100" spans="1:29" s="430" customFormat="1" ht="15.75" thickTop="1">
      <c r="A100" s="510"/>
      <c r="B100" s="495" t="s">
        <v>2399</v>
      </c>
      <c r="C100" s="530" t="s">
        <v>2342</v>
      </c>
      <c r="D100" s="530" t="s">
        <v>2343</v>
      </c>
      <c r="E100" s="530" t="s">
        <v>2344</v>
      </c>
      <c r="F100" s="530" t="s">
        <v>2345</v>
      </c>
      <c r="G100" s="530" t="s">
        <v>2346</v>
      </c>
      <c r="H100" s="557"/>
      <c r="I100" s="557"/>
      <c r="J100" s="557"/>
      <c r="K100" s="557"/>
      <c r="L100" s="558"/>
      <c r="M100" s="559"/>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Top="1">
      <c r="A102" s="510"/>
      <c r="B102" s="503" t="s">
        <v>2400</v>
      </c>
      <c r="C102" s="616" t="s">
        <v>2420</v>
      </c>
      <c r="D102" s="616" t="s">
        <v>2421</v>
      </c>
      <c r="E102" s="616" t="s">
        <v>2422</v>
      </c>
      <c r="F102" s="616" t="s">
        <v>2423</v>
      </c>
      <c r="G102" s="616" t="s">
        <v>2424</v>
      </c>
      <c r="H102" s="557"/>
      <c r="I102" s="557"/>
      <c r="J102" s="557"/>
      <c r="K102" s="557"/>
      <c r="L102" s="557"/>
      <c r="M102" s="1266"/>
      <c r="N102" s="2933"/>
      <c r="O102" s="2933"/>
      <c r="P102" s="2957"/>
      <c r="Q102" s="2924"/>
      <c r="R102" s="2925"/>
      <c r="S102" s="2925"/>
      <c r="T102" s="2925"/>
      <c r="U102" s="2925"/>
      <c r="V102" s="2925"/>
      <c r="W102" s="2925"/>
      <c r="X102" s="2925"/>
      <c r="Y102" s="2925"/>
      <c r="Z102" s="2925"/>
      <c r="AA102" s="2925"/>
      <c r="AB102" s="2925"/>
      <c r="AC102" s="292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33"/>
      <c r="O103" s="2933"/>
      <c r="P103" s="2957"/>
      <c r="Q103" s="2924"/>
      <c r="R103" s="2925"/>
      <c r="S103" s="2925"/>
      <c r="T103" s="2925"/>
      <c r="U103" s="2925"/>
      <c r="V103" s="2925"/>
      <c r="W103" s="2925"/>
      <c r="X103" s="2925"/>
      <c r="Y103" s="2925"/>
      <c r="Z103" s="2925"/>
      <c r="AA103" s="2925"/>
      <c r="AB103" s="2925"/>
      <c r="AC103" s="2925"/>
    </row>
    <row r="104" spans="1:29" ht="15.75" thickTop="1">
      <c r="A104" s="491"/>
      <c r="B104" s="495" t="str">
        <f>B31</f>
        <v>临街状况</v>
      </c>
      <c r="C104" s="496" t="s">
        <v>2532</v>
      </c>
      <c r="D104" s="496" t="s">
        <v>2533</v>
      </c>
      <c r="E104" s="496" t="s">
        <v>2534</v>
      </c>
      <c r="F104" s="496" t="s">
        <v>2535</v>
      </c>
      <c r="G104" s="496"/>
      <c r="H104" s="496"/>
      <c r="I104" s="496"/>
      <c r="J104" s="496"/>
      <c r="K104" s="497"/>
      <c r="L104" s="498"/>
      <c r="M104" s="499"/>
      <c r="N104" s="2931"/>
      <c r="O104" s="2931"/>
      <c r="P104" s="2956"/>
      <c r="Q104" s="2917"/>
      <c r="R104" s="2903"/>
      <c r="S104" s="2903"/>
      <c r="T104" s="2903"/>
      <c r="U104" s="2903"/>
      <c r="V104" s="2903"/>
      <c r="W104" s="2903"/>
      <c r="X104" s="2903"/>
      <c r="Y104" s="2903"/>
      <c r="Z104" s="2903"/>
      <c r="AA104" s="2903"/>
      <c r="AB104" s="2903"/>
      <c r="AC104" s="290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32"/>
      <c r="O105" s="2932"/>
      <c r="P105" s="2956"/>
      <c r="Q105" s="2917"/>
      <c r="R105" s="2903"/>
      <c r="S105" s="2903"/>
      <c r="T105" s="2903"/>
      <c r="U105" s="2903"/>
      <c r="V105" s="2903"/>
      <c r="W105" s="2903"/>
      <c r="X105" s="2903"/>
      <c r="Y105" s="2903"/>
      <c r="Z105" s="2903"/>
      <c r="AA105" s="2903"/>
      <c r="AB105" s="2903"/>
      <c r="AC105" s="2903"/>
    </row>
    <row r="106" spans="1:29" ht="27.75" thickTop="1">
      <c r="A106" s="491"/>
      <c r="B106" s="495" t="s">
        <v>2436</v>
      </c>
      <c r="C106" s="511"/>
      <c r="D106" s="511"/>
      <c r="E106" s="511"/>
      <c r="F106" s="511"/>
      <c r="G106" s="511"/>
      <c r="H106" s="540"/>
      <c r="I106" s="540"/>
      <c r="J106" s="540"/>
      <c r="K106" s="541"/>
      <c r="L106" s="542"/>
      <c r="M106" s="543"/>
      <c r="N106" s="2931"/>
      <c r="O106" s="2931"/>
      <c r="P106" s="2956"/>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32"/>
      <c r="O107" s="2932"/>
      <c r="P107" s="2956"/>
      <c r="Q107" s="2917"/>
      <c r="R107" s="2903"/>
      <c r="S107" s="2903"/>
      <c r="T107" s="2903"/>
      <c r="U107" s="2903"/>
      <c r="V107" s="2903"/>
      <c r="W107" s="2903"/>
      <c r="X107" s="2903"/>
      <c r="Y107" s="2903"/>
      <c r="Z107" s="2903"/>
      <c r="AA107" s="2903"/>
      <c r="AB107" s="2903"/>
      <c r="AC107" s="2903"/>
    </row>
    <row r="108" spans="1:29" ht="15.75" thickTop="1">
      <c r="A108" s="491"/>
      <c r="B108" s="495" t="s">
        <v>2495</v>
      </c>
      <c r="C108" s="540"/>
      <c r="D108" s="540"/>
      <c r="E108" s="540"/>
      <c r="F108" s="540"/>
      <c r="G108" s="540"/>
      <c r="H108" s="540"/>
      <c r="I108" s="540"/>
      <c r="J108" s="540"/>
      <c r="K108" s="541"/>
      <c r="L108" s="542"/>
      <c r="M108" s="543"/>
      <c r="N108" s="2931"/>
      <c r="O108" s="2931"/>
      <c r="P108" s="2956"/>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32"/>
      <c r="O109" s="2932"/>
      <c r="P109" s="2956"/>
      <c r="Q109" s="2917"/>
      <c r="R109" s="2903"/>
      <c r="S109" s="2903"/>
      <c r="T109" s="2903"/>
      <c r="U109" s="2903"/>
      <c r="V109" s="2903"/>
      <c r="W109" s="2903"/>
      <c r="X109" s="2903"/>
      <c r="Y109" s="2903"/>
      <c r="Z109" s="2903"/>
      <c r="AA109" s="2903"/>
      <c r="AB109" s="2903"/>
      <c r="AC109" s="2903"/>
    </row>
    <row r="110" spans="1:29" ht="15.75" thickTop="1">
      <c r="A110" s="491"/>
      <c r="B110" s="503">
        <f>B35</f>
        <v>111</v>
      </c>
      <c r="C110" s="511"/>
      <c r="D110" s="511"/>
      <c r="E110" s="511"/>
      <c r="F110" s="511"/>
      <c r="G110" s="544"/>
      <c r="H110" s="544"/>
      <c r="I110" s="544"/>
      <c r="J110" s="544"/>
      <c r="K110" s="545"/>
      <c r="L110" s="546"/>
      <c r="M110" s="547"/>
      <c r="N110" s="2931"/>
      <c r="O110" s="2931"/>
      <c r="P110" s="2956"/>
      <c r="Q110" s="2917"/>
      <c r="R110" s="2903"/>
      <c r="S110" s="2903"/>
      <c r="T110" s="2903"/>
      <c r="U110" s="2903"/>
      <c r="V110" s="2903"/>
      <c r="W110" s="2903"/>
      <c r="X110" s="2903"/>
      <c r="Y110" s="2903"/>
      <c r="Z110" s="2903"/>
      <c r="AA110" s="2903"/>
      <c r="AB110" s="2903"/>
      <c r="AC110" s="2903"/>
    </row>
    <row r="111" spans="1:29" ht="15.75" thickBot="1">
      <c r="A111" s="491"/>
      <c r="B111" s="526"/>
      <c r="C111" s="517"/>
      <c r="D111" s="517"/>
      <c r="E111" s="517"/>
      <c r="F111" s="517"/>
      <c r="G111" s="548"/>
      <c r="H111" s="548"/>
      <c r="I111" s="548"/>
      <c r="J111" s="548"/>
      <c r="K111" s="548"/>
      <c r="L111" s="548"/>
      <c r="M111" s="549"/>
      <c r="N111" s="2932"/>
      <c r="O111" s="2932"/>
      <c r="P111" s="2956"/>
      <c r="Q111" s="2917"/>
      <c r="R111" s="2903"/>
      <c r="S111" s="2903"/>
      <c r="T111" s="2903"/>
      <c r="U111" s="2903"/>
      <c r="V111" s="2903"/>
      <c r="W111" s="2903"/>
      <c r="X111" s="2903"/>
      <c r="Y111" s="2903"/>
      <c r="Z111" s="2903"/>
      <c r="AA111" s="2903"/>
      <c r="AB111" s="2903"/>
      <c r="AC111" s="2903"/>
    </row>
    <row r="112" spans="1:29" ht="15" thickTop="1">
      <c r="A112" s="631"/>
      <c r="B112" s="495">
        <f>B36</f>
        <v>111</v>
      </c>
      <c r="C112" s="480"/>
      <c r="D112" s="480"/>
      <c r="E112" s="480"/>
      <c r="F112" s="480"/>
      <c r="G112" s="540"/>
      <c r="H112" s="540"/>
      <c r="I112" s="540"/>
      <c r="J112" s="540"/>
      <c r="K112" s="541"/>
      <c r="L112" s="542"/>
      <c r="M112" s="543"/>
      <c r="N112" s="2931"/>
      <c r="O112" s="2931"/>
      <c r="P112" s="2956"/>
      <c r="Q112" s="2917"/>
      <c r="R112" s="2903"/>
      <c r="S112" s="2903"/>
      <c r="T112" s="2903"/>
      <c r="U112" s="2903"/>
      <c r="V112" s="2903"/>
      <c r="W112" s="2903"/>
      <c r="X112" s="2903"/>
      <c r="Y112" s="2903"/>
      <c r="Z112" s="2903"/>
      <c r="AA112" s="2903"/>
      <c r="AB112" s="2903"/>
      <c r="AC112" s="2903"/>
    </row>
    <row r="113" spans="1:29" ht="15.75" thickBot="1">
      <c r="A113" s="491"/>
      <c r="B113" s="500"/>
      <c r="C113" s="527"/>
      <c r="D113" s="527"/>
      <c r="E113" s="527"/>
      <c r="F113" s="527"/>
      <c r="G113" s="493"/>
      <c r="H113" s="493"/>
      <c r="I113" s="493"/>
      <c r="J113" s="493"/>
      <c r="K113" s="493"/>
      <c r="L113" s="493"/>
      <c r="M113" s="494"/>
      <c r="N113" s="2932"/>
      <c r="O113" s="2932"/>
      <c r="P113" s="2956"/>
      <c r="Q113" s="2917"/>
      <c r="R113" s="2903"/>
      <c r="S113" s="2903"/>
      <c r="T113" s="2903"/>
      <c r="U113" s="2903"/>
      <c r="V113" s="2903"/>
      <c r="W113" s="2903"/>
      <c r="X113" s="2903"/>
      <c r="Y113" s="2903"/>
      <c r="Z113" s="2903"/>
      <c r="AA113" s="2903"/>
      <c r="AB113" s="2903"/>
      <c r="AC113" s="2903"/>
    </row>
    <row r="114" spans="1:29" s="430" customFormat="1" ht="15" thickTop="1">
      <c r="A114" s="550"/>
      <c r="B114" s="551">
        <f>B37</f>
        <v>111</v>
      </c>
      <c r="C114" s="552"/>
      <c r="D114" s="552"/>
      <c r="E114" s="552"/>
      <c r="F114" s="552"/>
      <c r="G114" s="552"/>
      <c r="H114" s="552"/>
      <c r="I114" s="552"/>
      <c r="J114" s="553"/>
      <c r="K114" s="553"/>
      <c r="L114" s="554"/>
      <c r="M114" s="555"/>
      <c r="N114" s="2933"/>
      <c r="O114" s="2933"/>
      <c r="P114" s="2957"/>
      <c r="Q114" s="2924"/>
      <c r="R114" s="2925"/>
      <c r="S114" s="2925"/>
      <c r="T114" s="2925"/>
      <c r="U114" s="2925"/>
      <c r="V114" s="2925"/>
      <c r="W114" s="2925"/>
      <c r="X114" s="2925"/>
      <c r="Y114" s="2925"/>
      <c r="Z114" s="2925"/>
      <c r="AA114" s="2925"/>
      <c r="AB114" s="2925"/>
      <c r="AC114" s="2925"/>
    </row>
    <row r="115" spans="1:29" s="430" customFormat="1" ht="15.75" thickBot="1">
      <c r="A115" s="510"/>
      <c r="B115" s="503"/>
      <c r="C115" s="469"/>
      <c r="D115" s="633"/>
      <c r="E115" s="633"/>
      <c r="F115" s="633"/>
      <c r="G115" s="633"/>
      <c r="H115" s="633"/>
      <c r="I115" s="633"/>
      <c r="J115" s="633"/>
      <c r="K115" s="633"/>
      <c r="L115" s="633"/>
      <c r="M115" s="655"/>
      <c r="N115" s="2932"/>
      <c r="O115" s="2932"/>
      <c r="P115" s="2957"/>
      <c r="Q115" s="2924"/>
      <c r="R115" s="2925"/>
      <c r="S115" s="2925"/>
      <c r="T115" s="2925"/>
      <c r="U115" s="2925"/>
      <c r="V115" s="2925"/>
      <c r="W115" s="2925"/>
      <c r="X115" s="2925"/>
      <c r="Y115" s="2925"/>
      <c r="Z115" s="2925"/>
      <c r="AA115" s="2925"/>
      <c r="AB115" s="2925"/>
      <c r="AC115" s="2925"/>
    </row>
    <row r="116" spans="1:29">
      <c r="A116" s="484" t="s">
        <v>2308</v>
      </c>
      <c r="B116" s="485" t="s">
        <v>2536</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31"/>
      <c r="O116" s="2931"/>
      <c r="P116" s="2956"/>
      <c r="Q116" s="2917"/>
      <c r="R116" s="2903"/>
      <c r="S116" s="2903"/>
      <c r="T116" s="2903"/>
      <c r="U116" s="2903"/>
      <c r="V116" s="2903"/>
      <c r="W116" s="2903"/>
      <c r="X116" s="2903"/>
      <c r="Y116" s="2903"/>
      <c r="Z116" s="2903"/>
      <c r="AA116" s="2903"/>
      <c r="AB116" s="2903"/>
      <c r="AC116" s="2903"/>
    </row>
    <row r="117" spans="1:29" ht="15">
      <c r="A117" s="491"/>
      <c r="B117" s="503"/>
      <c r="C117" s="552"/>
      <c r="D117" s="552"/>
      <c r="E117" s="552"/>
      <c r="F117" s="552"/>
      <c r="G117" s="552"/>
      <c r="H117" s="552"/>
      <c r="I117" s="552"/>
      <c r="J117" s="553"/>
      <c r="K117" s="553"/>
      <c r="L117" s="554"/>
      <c r="M117" s="555"/>
      <c r="N117" s="2931"/>
      <c r="O117" s="2931"/>
      <c r="P117" s="2956"/>
      <c r="Q117" s="2917"/>
      <c r="R117" s="2903"/>
      <c r="S117" s="2903"/>
      <c r="T117" s="2903"/>
      <c r="U117" s="2903"/>
      <c r="V117" s="2903"/>
      <c r="W117" s="2903"/>
      <c r="X117" s="2903"/>
      <c r="Y117" s="2903"/>
      <c r="Z117" s="2903"/>
      <c r="AA117" s="2903"/>
      <c r="AB117" s="2903"/>
      <c r="AC117" s="2903"/>
    </row>
    <row r="118" spans="1:29" ht="15.75" thickBot="1">
      <c r="A118" s="491"/>
      <c r="B118" s="500"/>
      <c r="C118" s="527"/>
      <c r="D118" s="548"/>
      <c r="E118" s="548"/>
      <c r="F118" s="548"/>
      <c r="G118" s="548"/>
      <c r="H118" s="548"/>
      <c r="I118" s="548"/>
      <c r="J118" s="548"/>
      <c r="K118" s="548"/>
      <c r="L118" s="548"/>
      <c r="M118" s="549"/>
      <c r="N118" s="2932"/>
      <c r="O118" s="2932"/>
      <c r="P118" s="2956"/>
      <c r="Q118" s="2917"/>
      <c r="R118" s="2903"/>
      <c r="S118" s="2903"/>
      <c r="T118" s="2903"/>
      <c r="U118" s="2903"/>
      <c r="V118" s="2903"/>
      <c r="W118" s="2903"/>
      <c r="X118" s="2903"/>
      <c r="Y118" s="2903"/>
      <c r="Z118" s="2903"/>
      <c r="AA118" s="2903"/>
      <c r="AB118" s="2903"/>
      <c r="AC118" s="2903"/>
    </row>
    <row r="119" spans="1:29" ht="15" thickTop="1">
      <c r="A119" s="556"/>
      <c r="B119" s="495" t="s">
        <v>2537</v>
      </c>
      <c r="C119" s="540"/>
      <c r="D119" s="540"/>
      <c r="E119" s="540"/>
      <c r="F119" s="540"/>
      <c r="G119" s="540"/>
      <c r="H119" s="540"/>
      <c r="I119" s="540"/>
      <c r="J119" s="540"/>
      <c r="K119" s="541"/>
      <c r="L119" s="542"/>
      <c r="M119" s="543"/>
      <c r="N119" s="2931"/>
      <c r="O119" s="2931"/>
      <c r="P119" s="2956"/>
      <c r="Q119" s="2917"/>
      <c r="R119" s="2903"/>
      <c r="S119" s="2903"/>
      <c r="T119" s="2903"/>
      <c r="U119" s="2903"/>
      <c r="V119" s="2903"/>
      <c r="W119" s="2903"/>
      <c r="X119" s="2903"/>
      <c r="Y119" s="2903"/>
      <c r="Z119" s="2903"/>
      <c r="AA119" s="2903"/>
      <c r="AB119" s="2903"/>
      <c r="AC119" s="290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32"/>
      <c r="O120" s="2932"/>
      <c r="P120" s="2956"/>
      <c r="Q120" s="2917"/>
      <c r="R120" s="2903"/>
      <c r="S120" s="2903"/>
      <c r="T120" s="2903"/>
      <c r="U120" s="2903"/>
      <c r="V120" s="2903"/>
      <c r="W120" s="2903"/>
      <c r="X120" s="2903"/>
      <c r="Y120" s="2903"/>
      <c r="Z120" s="2903"/>
      <c r="AA120" s="2903"/>
      <c r="AB120" s="2903"/>
      <c r="AC120" s="2903"/>
    </row>
    <row r="121" spans="1:29" ht="15" thickTop="1">
      <c r="A121" s="556"/>
      <c r="B121" s="495" t="s">
        <v>2538</v>
      </c>
      <c r="C121" s="511"/>
      <c r="D121" s="511"/>
      <c r="E121" s="511"/>
      <c r="F121" s="540"/>
      <c r="G121" s="540"/>
      <c r="H121" s="540"/>
      <c r="I121" s="540"/>
      <c r="J121" s="540"/>
      <c r="K121" s="541"/>
      <c r="L121" s="542"/>
      <c r="M121" s="543"/>
      <c r="N121" s="2931"/>
      <c r="O121" s="2931"/>
      <c r="P121" s="2956"/>
      <c r="Q121" s="2917"/>
      <c r="R121" s="2903"/>
      <c r="S121" s="2903"/>
      <c r="T121" s="2903"/>
      <c r="U121" s="2903"/>
      <c r="V121" s="2903"/>
      <c r="W121" s="2903"/>
      <c r="X121" s="2903"/>
      <c r="Y121" s="2903"/>
      <c r="Z121" s="2903"/>
      <c r="AA121" s="2903"/>
      <c r="AB121" s="2903"/>
      <c r="AC121" s="290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32"/>
      <c r="O122" s="2932"/>
      <c r="P122" s="2956"/>
      <c r="Q122" s="2917"/>
      <c r="R122" s="2903"/>
      <c r="S122" s="2903"/>
      <c r="T122" s="2903"/>
      <c r="U122" s="2903"/>
      <c r="V122" s="2903"/>
      <c r="W122" s="2903"/>
      <c r="X122" s="2903"/>
      <c r="Y122" s="2903"/>
      <c r="Z122" s="2903"/>
      <c r="AA122" s="2903"/>
      <c r="AB122" s="2903"/>
      <c r="AC122" s="2903"/>
    </row>
    <row r="123" spans="1:29" s="430" customFormat="1" ht="15" thickTop="1">
      <c r="A123" s="550"/>
      <c r="B123" s="495" t="s">
        <v>2539</v>
      </c>
      <c r="C123" s="511"/>
      <c r="D123" s="511"/>
      <c r="E123" s="511"/>
      <c r="F123" s="511"/>
      <c r="G123" s="511"/>
      <c r="H123" s="540"/>
      <c r="I123" s="540"/>
      <c r="J123" s="540"/>
      <c r="K123" s="541"/>
      <c r="L123" s="542"/>
      <c r="M123" s="543"/>
      <c r="N123" s="2933"/>
      <c r="O123" s="2933"/>
      <c r="P123" s="2957"/>
      <c r="Q123" s="2924"/>
      <c r="R123" s="2925"/>
      <c r="S123" s="2925"/>
      <c r="T123" s="2925"/>
      <c r="U123" s="2925"/>
      <c r="V123" s="2925"/>
      <c r="W123" s="2925"/>
      <c r="X123" s="2925"/>
      <c r="Y123" s="2925"/>
      <c r="Z123" s="2925"/>
      <c r="AA123" s="2925"/>
      <c r="AB123" s="2925"/>
      <c r="AC123" s="292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33"/>
      <c r="O124" s="2933"/>
      <c r="P124" s="2957"/>
      <c r="Q124" s="2924"/>
      <c r="R124" s="2925"/>
      <c r="S124" s="2925"/>
      <c r="T124" s="2925"/>
      <c r="U124" s="2925"/>
      <c r="V124" s="2925"/>
      <c r="W124" s="2925"/>
      <c r="X124" s="2925"/>
      <c r="Y124" s="2925"/>
      <c r="Z124" s="2925"/>
      <c r="AA124" s="2925"/>
      <c r="AB124" s="2925"/>
      <c r="AC124" s="2925"/>
    </row>
    <row r="125" spans="1:29" ht="15" thickTop="1">
      <c r="A125" s="556"/>
      <c r="B125" s="495" t="s">
        <v>2540</v>
      </c>
      <c r="C125" s="511"/>
      <c r="D125" s="511"/>
      <c r="E125" s="540"/>
      <c r="F125" s="540"/>
      <c r="G125" s="540"/>
      <c r="H125" s="540"/>
      <c r="I125" s="540"/>
      <c r="J125" s="540"/>
      <c r="K125" s="541"/>
      <c r="L125" s="542"/>
      <c r="M125" s="543"/>
      <c r="N125" s="2931"/>
      <c r="O125" s="2931"/>
      <c r="P125" s="2956"/>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32"/>
      <c r="O126" s="2932"/>
      <c r="P126" s="2956"/>
      <c r="Q126" s="2917"/>
      <c r="R126" s="2903"/>
      <c r="S126" s="2903"/>
      <c r="T126" s="2903"/>
      <c r="U126" s="2903"/>
      <c r="V126" s="2903"/>
      <c r="W126" s="2903"/>
      <c r="X126" s="2903"/>
      <c r="Y126" s="2903"/>
      <c r="Z126" s="2903"/>
      <c r="AA126" s="2903"/>
      <c r="AB126" s="2903"/>
      <c r="AC126" s="2903"/>
    </row>
    <row r="127" spans="1:29" ht="15" thickTop="1">
      <c r="A127" s="556"/>
      <c r="B127" s="495">
        <f>B43</f>
        <v>111</v>
      </c>
      <c r="C127" s="511"/>
      <c r="D127" s="511"/>
      <c r="E127" s="511"/>
      <c r="F127" s="511"/>
      <c r="G127" s="511"/>
      <c r="H127" s="540"/>
      <c r="I127" s="540"/>
      <c r="J127" s="540"/>
      <c r="K127" s="541"/>
      <c r="L127" s="542"/>
      <c r="M127" s="543"/>
      <c r="N127" s="2931"/>
      <c r="O127" s="2931"/>
      <c r="P127" s="2956"/>
      <c r="Q127" s="2917"/>
      <c r="R127" s="2903"/>
      <c r="S127" s="2903"/>
      <c r="T127" s="2903"/>
      <c r="U127" s="2903"/>
      <c r="V127" s="2903"/>
      <c r="W127" s="2903"/>
      <c r="X127" s="2903"/>
      <c r="Y127" s="2903"/>
      <c r="Z127" s="2903"/>
      <c r="AA127" s="2903"/>
      <c r="AB127" s="2903"/>
      <c r="AC127" s="2903"/>
    </row>
    <row r="128" spans="1:29" ht="15.75" thickBot="1">
      <c r="A128" s="491"/>
      <c r="B128" s="500"/>
      <c r="C128" s="517"/>
      <c r="D128" s="517"/>
      <c r="E128" s="517"/>
      <c r="F128" s="517"/>
      <c r="G128" s="493"/>
      <c r="H128" s="493"/>
      <c r="I128" s="493"/>
      <c r="J128" s="493"/>
      <c r="K128" s="493"/>
      <c r="L128" s="493"/>
      <c r="M128" s="494"/>
      <c r="N128" s="2932"/>
      <c r="O128" s="2932"/>
      <c r="P128" s="2956"/>
      <c r="Q128" s="2917"/>
      <c r="R128" s="2903"/>
      <c r="S128" s="2903"/>
      <c r="T128" s="2903"/>
      <c r="U128" s="2903"/>
      <c r="V128" s="2903"/>
      <c r="W128" s="2903"/>
      <c r="X128" s="2903"/>
      <c r="Y128" s="2903"/>
      <c r="Z128" s="2903"/>
      <c r="AA128" s="2903"/>
      <c r="AB128" s="2903"/>
      <c r="AC128" s="2903"/>
    </row>
    <row r="129" spans="1:29" ht="15" thickTop="1">
      <c r="A129" s="556"/>
      <c r="B129" s="495">
        <f>B44</f>
        <v>111</v>
      </c>
      <c r="C129" s="480"/>
      <c r="D129" s="480"/>
      <c r="E129" s="480"/>
      <c r="F129" s="480"/>
      <c r="G129" s="540"/>
      <c r="H129" s="540"/>
      <c r="I129" s="540"/>
      <c r="J129" s="540"/>
      <c r="K129" s="541"/>
      <c r="L129" s="542"/>
      <c r="M129" s="543"/>
      <c r="N129" s="2931"/>
      <c r="O129" s="2931"/>
      <c r="P129" s="2956"/>
      <c r="Q129" s="2917"/>
      <c r="R129" s="2903"/>
      <c r="S129" s="2903"/>
      <c r="T129" s="2903"/>
      <c r="U129" s="2903"/>
      <c r="V129" s="2903"/>
      <c r="W129" s="2903"/>
      <c r="X129" s="2903"/>
      <c r="Y129" s="2903"/>
      <c r="Z129" s="2903"/>
      <c r="AA129" s="2903"/>
      <c r="AB129" s="2903"/>
      <c r="AC129" s="2903"/>
    </row>
    <row r="130" spans="1:29" ht="15.75" thickBot="1">
      <c r="A130" s="491"/>
      <c r="B130" s="500"/>
      <c r="C130" s="527"/>
      <c r="D130" s="527"/>
      <c r="E130" s="527"/>
      <c r="F130" s="527"/>
      <c r="G130" s="493"/>
      <c r="H130" s="493"/>
      <c r="I130" s="493"/>
      <c r="J130" s="493"/>
      <c r="K130" s="493"/>
      <c r="L130" s="493"/>
      <c r="M130" s="494"/>
      <c r="N130" s="2932"/>
      <c r="O130" s="2932"/>
      <c r="P130" s="2956"/>
      <c r="Q130" s="2917"/>
      <c r="R130" s="2903"/>
      <c r="S130" s="2903"/>
      <c r="T130" s="2903"/>
      <c r="U130" s="2903"/>
      <c r="V130" s="2903"/>
      <c r="W130" s="2903"/>
      <c r="X130" s="2903"/>
      <c r="Y130" s="2903"/>
      <c r="Z130" s="2903"/>
      <c r="AA130" s="2903"/>
      <c r="AB130" s="2903"/>
      <c r="AC130" s="2903"/>
    </row>
    <row r="131" spans="1:29" s="430" customFormat="1" ht="15" thickTop="1">
      <c r="A131" s="550"/>
      <c r="B131" s="495">
        <f>B45</f>
        <v>111</v>
      </c>
      <c r="C131" s="480"/>
      <c r="D131" s="480"/>
      <c r="E131" s="480"/>
      <c r="F131" s="480"/>
      <c r="G131" s="512"/>
      <c r="H131" s="512"/>
      <c r="I131" s="512"/>
      <c r="J131" s="512"/>
      <c r="K131" s="512"/>
      <c r="L131" s="513"/>
      <c r="M131" s="514"/>
      <c r="N131" s="2933"/>
      <c r="O131" s="2933"/>
      <c r="P131" s="2957"/>
      <c r="Q131" s="2924"/>
      <c r="R131" s="2925"/>
      <c r="S131" s="2925"/>
      <c r="T131" s="2925"/>
      <c r="U131" s="2925"/>
      <c r="V131" s="2925"/>
      <c r="W131" s="2925"/>
      <c r="X131" s="2925"/>
      <c r="Y131" s="2925"/>
      <c r="Z131" s="2925"/>
      <c r="AA131" s="2925"/>
      <c r="AB131" s="2925"/>
      <c r="AC131" s="2925"/>
    </row>
    <row r="132" spans="1:29" s="430" customFormat="1" ht="15.75" thickBot="1">
      <c r="A132" s="525"/>
      <c r="B132" s="656"/>
      <c r="C132" s="527"/>
      <c r="D132" s="527"/>
      <c r="E132" s="527"/>
      <c r="F132" s="527"/>
      <c r="G132" s="548"/>
      <c r="H132" s="548"/>
      <c r="I132" s="548"/>
      <c r="J132" s="548"/>
      <c r="K132" s="548"/>
      <c r="L132" s="548"/>
      <c r="M132" s="549"/>
      <c r="N132" s="2933"/>
      <c r="O132" s="2933"/>
      <c r="P132" s="2957"/>
      <c r="Q132" s="2924"/>
      <c r="R132" s="2925"/>
      <c r="S132" s="2925"/>
      <c r="T132" s="2925"/>
      <c r="U132" s="2925"/>
      <c r="V132" s="2925"/>
      <c r="W132" s="2925"/>
      <c r="X132" s="2925"/>
      <c r="Y132" s="2925"/>
      <c r="Z132" s="2925"/>
      <c r="AA132" s="2925"/>
      <c r="AB132" s="2925"/>
      <c r="AC132" s="292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2489</v>
      </c>
      <c r="B1" s="355"/>
      <c r="C1" s="356" t="s">
        <v>2541</v>
      </c>
      <c r="D1" s="695"/>
      <c r="E1" s="695"/>
      <c r="F1" s="694" t="s">
        <v>2388</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2072</v>
      </c>
      <c r="B2" s="627" t="e">
        <f>F61</f>
        <v>#DIV/0!</v>
      </c>
      <c r="C2" s="1039"/>
      <c r="D2" s="1039"/>
      <c r="E2" s="1039"/>
      <c r="F2" s="1040"/>
      <c r="G2" s="1039"/>
      <c r="H2" s="1039"/>
      <c r="I2" s="1039"/>
      <c r="J2" s="1039"/>
      <c r="K2" s="1041"/>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2074</v>
      </c>
      <c r="B3" s="566" t="e">
        <f>ROUND(IF(D3="",B2*10000/'数据-汇总表'!E3,B2*10000/D3),0)</f>
        <v>#DIV/0!</v>
      </c>
      <c r="C3" s="209" t="s">
        <v>2491</v>
      </c>
      <c r="D3" s="1327"/>
      <c r="E3" s="1039"/>
      <c r="F3" s="1040"/>
      <c r="G3" s="1039"/>
      <c r="H3" s="1039"/>
      <c r="I3" s="1039"/>
      <c r="J3" s="1039"/>
      <c r="K3" s="1041"/>
      <c r="L3" s="2912"/>
      <c r="M3" s="2913"/>
      <c r="N3" s="2913"/>
      <c r="O3" s="2913"/>
      <c r="P3" s="708"/>
      <c r="Q3" s="708"/>
      <c r="R3" s="708"/>
      <c r="S3" s="708"/>
      <c r="T3" s="708"/>
      <c r="U3" s="708"/>
      <c r="V3" s="708"/>
      <c r="W3" s="708"/>
      <c r="X3" s="708"/>
      <c r="Y3" s="708"/>
      <c r="Z3" s="708"/>
      <c r="AA3" s="708"/>
      <c r="AB3" s="725"/>
      <c r="AC3" s="722"/>
    </row>
    <row r="4" spans="1:29" ht="15">
      <c r="A4" s="361" t="s">
        <v>2390</v>
      </c>
      <c r="B4" s="362"/>
      <c r="C4" s="3392" t="s">
        <v>2391</v>
      </c>
      <c r="D4" s="3393"/>
      <c r="E4" s="3394" t="s">
        <v>2392</v>
      </c>
      <c r="F4" s="3395"/>
      <c r="G4" s="3392" t="s">
        <v>2393</v>
      </c>
      <c r="H4" s="3393"/>
      <c r="I4" s="3392" t="s">
        <v>2394</v>
      </c>
      <c r="J4" s="3393"/>
      <c r="K4" s="567" t="s">
        <v>2395</v>
      </c>
      <c r="L4" s="2893"/>
      <c r="M4" s="2894"/>
      <c r="N4" s="2894"/>
      <c r="O4" s="2894"/>
      <c r="P4" s="3396" t="s">
        <v>2396</v>
      </c>
      <c r="Q4" s="3397"/>
      <c r="R4" s="3402" t="s">
        <v>2392</v>
      </c>
      <c r="S4" s="3403"/>
      <c r="T4" s="3402" t="s">
        <v>2393</v>
      </c>
      <c r="U4" s="3403"/>
      <c r="V4" s="3408" t="s">
        <v>2394</v>
      </c>
      <c r="W4" s="3408"/>
      <c r="X4" s="1509"/>
      <c r="Y4" s="3402" t="s">
        <v>2396</v>
      </c>
      <c r="Z4" s="3403"/>
      <c r="AA4" s="3389" t="s">
        <v>2392</v>
      </c>
      <c r="AB4" s="3390" t="s">
        <v>2393</v>
      </c>
      <c r="AC4" s="3389" t="s">
        <v>2394</v>
      </c>
    </row>
    <row r="5" spans="1:29" ht="15">
      <c r="A5" s="364"/>
      <c r="B5" s="365"/>
      <c r="C5" s="3416" t="s">
        <v>2287</v>
      </c>
      <c r="D5" s="3412"/>
      <c r="E5" s="3482" t="s">
        <v>2288</v>
      </c>
      <c r="F5" s="3420"/>
      <c r="G5" s="3416" t="s">
        <v>2289</v>
      </c>
      <c r="H5" s="3412"/>
      <c r="I5" s="3416" t="s">
        <v>2290</v>
      </c>
      <c r="J5" s="3412"/>
      <c r="K5" s="567"/>
      <c r="L5" s="2893"/>
      <c r="M5" s="2894"/>
      <c r="N5" s="2894"/>
      <c r="O5" s="2894"/>
      <c r="P5" s="3398"/>
      <c r="Q5" s="3399"/>
      <c r="R5" s="3404"/>
      <c r="S5" s="3405"/>
      <c r="T5" s="3404"/>
      <c r="U5" s="3405"/>
      <c r="V5" s="3408"/>
      <c r="W5" s="3408"/>
      <c r="X5" s="1509"/>
      <c r="Y5" s="3404"/>
      <c r="Z5" s="3405"/>
      <c r="AA5" s="3390"/>
      <c r="AB5" s="3390"/>
      <c r="AC5" s="3390"/>
    </row>
    <row r="6" spans="1:29" ht="15.75" thickBot="1">
      <c r="A6" s="366"/>
      <c r="B6" s="367"/>
      <c r="C6" s="3503" t="s">
        <v>2542</v>
      </c>
      <c r="D6" s="3504"/>
      <c r="E6" s="3505" t="s">
        <v>2542</v>
      </c>
      <c r="F6" s="3506"/>
      <c r="G6" s="3503" t="s">
        <v>2542</v>
      </c>
      <c r="H6" s="3504"/>
      <c r="I6" s="3503" t="s">
        <v>2542</v>
      </c>
      <c r="J6" s="3504"/>
      <c r="K6" s="567" t="s">
        <v>2292</v>
      </c>
      <c r="L6" s="2893"/>
      <c r="M6" s="2894"/>
      <c r="N6" s="2894"/>
      <c r="O6" s="2894"/>
      <c r="P6" s="3400"/>
      <c r="Q6" s="3401"/>
      <c r="R6" s="3404"/>
      <c r="S6" s="3405"/>
      <c r="T6" s="3406"/>
      <c r="U6" s="3407"/>
      <c r="V6" s="3408"/>
      <c r="W6" s="3408"/>
      <c r="X6" s="1509"/>
      <c r="Y6" s="3406"/>
      <c r="Z6" s="3407"/>
      <c r="AA6" s="3391"/>
      <c r="AB6" s="3391"/>
      <c r="AC6" s="3391"/>
    </row>
    <row r="7" spans="1:29" s="113" customFormat="1" ht="15.75" thickBot="1">
      <c r="A7" s="368" t="s">
        <v>2293</v>
      </c>
      <c r="B7" s="369"/>
      <c r="C7" s="370">
        <f>'数据-取费表'!B2</f>
        <v>44628</v>
      </c>
      <c r="D7" s="371">
        <v>100</v>
      </c>
      <c r="E7" s="372"/>
      <c r="F7" s="373">
        <f>SUMIF(65:65,YEAR(E7)&amp;"-"&amp;INT((MONTH(E7)+2)/3),66:66)</f>
        <v>0</v>
      </c>
      <c r="G7" s="2130"/>
      <c r="H7" s="371">
        <f>SUMIF(65:65,YEAR(G7)&amp;"-"&amp;INT((MONTH(G7)+2)/3),66:66)</f>
        <v>0</v>
      </c>
      <c r="I7" s="2130"/>
      <c r="J7" s="371">
        <f>SUMIF(65:65,YEAR(I7)&amp;"-"&amp;INT((MONTH(I7)+2)/3),66:66)</f>
        <v>0</v>
      </c>
      <c r="K7" s="568"/>
      <c r="L7" s="2895"/>
      <c r="M7" s="2896"/>
      <c r="N7" s="2896"/>
      <c r="O7" s="2896"/>
      <c r="P7" s="3413" t="s">
        <v>2294</v>
      </c>
      <c r="Q7" s="3415"/>
      <c r="R7" s="710" t="s">
        <v>17</v>
      </c>
      <c r="S7" s="711">
        <f t="shared" ref="S7:S15" si="0">F7</f>
        <v>0</v>
      </c>
      <c r="T7" s="710" t="s">
        <v>17</v>
      </c>
      <c r="U7" s="711">
        <f t="shared" ref="U7:U15" si="1">H7</f>
        <v>0</v>
      </c>
      <c r="V7" s="710" t="s">
        <v>17</v>
      </c>
      <c r="W7" s="711">
        <f t="shared" ref="W7:W15" si="2">J7</f>
        <v>0</v>
      </c>
      <c r="X7" s="712"/>
      <c r="Y7" s="3413" t="s">
        <v>2294</v>
      </c>
      <c r="Z7" s="3414"/>
      <c r="AA7" s="713" t="e">
        <f>D7/F7</f>
        <v>#DIV/0!</v>
      </c>
      <c r="AB7" s="713" t="e">
        <f>D7/H7</f>
        <v>#DIV/0!</v>
      </c>
      <c r="AC7" s="713" t="e">
        <f>D7/J7</f>
        <v>#DIV/0!</v>
      </c>
    </row>
    <row r="8" spans="1:29" s="113" customFormat="1" ht="15.75" thickBot="1">
      <c r="A8" s="368" t="s">
        <v>2295</v>
      </c>
      <c r="B8" s="369"/>
      <c r="C8" s="374" t="s">
        <v>2296</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13" t="s">
        <v>2297</v>
      </c>
      <c r="Q8" s="3414"/>
      <c r="R8" s="710" t="s">
        <v>17</v>
      </c>
      <c r="S8" s="711">
        <f t="shared" si="0"/>
        <v>0</v>
      </c>
      <c r="T8" s="710" t="s">
        <v>17</v>
      </c>
      <c r="U8" s="711">
        <f t="shared" si="1"/>
        <v>0</v>
      </c>
      <c r="V8" s="710" t="s">
        <v>17</v>
      </c>
      <c r="W8" s="711">
        <f t="shared" si="2"/>
        <v>0</v>
      </c>
      <c r="X8" s="712"/>
      <c r="Y8" s="3413" t="s">
        <v>2297</v>
      </c>
      <c r="Z8" s="3414"/>
      <c r="AA8" s="713" t="e">
        <f t="shared" ref="AA8:AA40" si="3">D8/F8</f>
        <v>#DIV/0!</v>
      </c>
      <c r="AB8" s="713" t="e">
        <f t="shared" ref="AB8:AB40" si="4">D8/H8</f>
        <v>#DIV/0!</v>
      </c>
      <c r="AC8" s="713" t="e">
        <f t="shared" ref="AC8:AC40" si="5">D8/J8</f>
        <v>#DIV/0!</v>
      </c>
    </row>
    <row r="9" spans="1:29" s="113" customFormat="1">
      <c r="A9" s="375" t="s">
        <v>2298</v>
      </c>
      <c r="B9" s="67" t="s">
        <v>2299</v>
      </c>
      <c r="C9" s="2133"/>
      <c r="D9" s="131">
        <v>100</v>
      </c>
      <c r="E9" s="2133"/>
      <c r="F9" s="131">
        <f>SUMIF(70:70,E9,71:71)-SUMIF(70:70,C9,71:71)+100</f>
        <v>100</v>
      </c>
      <c r="G9" s="2133"/>
      <c r="H9" s="131">
        <f>SUMIF(70:70,G9,71:71)-SUMIF(70:70,C9,71:71)+100</f>
        <v>100</v>
      </c>
      <c r="I9" s="2133"/>
      <c r="J9" s="131">
        <f>SUMIF(70:70,I9,71:71)-SUMIF(70:70,C9,71:71)+100</f>
        <v>100</v>
      </c>
      <c r="K9" s="568"/>
      <c r="L9" s="2895"/>
      <c r="M9" s="2896"/>
      <c r="N9" s="2896"/>
      <c r="O9" s="2950"/>
      <c r="P9" s="3379" t="s">
        <v>2300</v>
      </c>
      <c r="Q9" s="1497" t="str">
        <f t="shared" ref="Q9:Q15" si="6">B9</f>
        <v>用途</v>
      </c>
      <c r="R9" s="710" t="s">
        <v>17</v>
      </c>
      <c r="S9" s="711">
        <f t="shared" si="0"/>
        <v>100</v>
      </c>
      <c r="T9" s="710" t="s">
        <v>17</v>
      </c>
      <c r="U9" s="711">
        <f t="shared" si="1"/>
        <v>100</v>
      </c>
      <c r="V9" s="710" t="s">
        <v>17</v>
      </c>
      <c r="W9" s="711">
        <f t="shared" si="2"/>
        <v>100</v>
      </c>
      <c r="X9" s="712"/>
      <c r="Y9" s="3291" t="s">
        <v>2301</v>
      </c>
      <c r="Z9" s="55" t="str">
        <f t="shared" ref="Z9:Z15" si="7">Q9</f>
        <v>用途</v>
      </c>
      <c r="AA9" s="713">
        <f t="shared" si="3"/>
        <v>1</v>
      </c>
      <c r="AB9" s="713">
        <f t="shared" si="4"/>
        <v>1</v>
      </c>
      <c r="AC9" s="713">
        <f t="shared" si="5"/>
        <v>1</v>
      </c>
    </row>
    <row r="10" spans="1:29" s="386" customFormat="1" ht="27">
      <c r="A10" s="380"/>
      <c r="B10" s="381" t="s">
        <v>2302</v>
      </c>
      <c r="C10" s="391"/>
      <c r="D10" s="132">
        <v>100</v>
      </c>
      <c r="E10" s="391"/>
      <c r="F10" s="132">
        <f>ROUND(100/'数据-取费表'!G16,0)</f>
        <v>108</v>
      </c>
      <c r="G10" s="391"/>
      <c r="H10" s="132">
        <f>ROUND(100/'数据-取费表'!G16,0)</f>
        <v>108</v>
      </c>
      <c r="I10" s="391"/>
      <c r="J10" s="132">
        <f>ROUND(100/'数据-取费表'!G16,0)</f>
        <v>108</v>
      </c>
      <c r="K10" s="628"/>
      <c r="L10" s="2897"/>
      <c r="M10" s="2898"/>
      <c r="N10" s="2898"/>
      <c r="O10" s="2951"/>
      <c r="P10" s="3379"/>
      <c r="Q10" s="1497" t="str">
        <f t="shared" si="6"/>
        <v>土地使用年限（年）</v>
      </c>
      <c r="R10" s="710" t="s">
        <v>17</v>
      </c>
      <c r="S10" s="711">
        <f t="shared" si="0"/>
        <v>108</v>
      </c>
      <c r="T10" s="710" t="s">
        <v>17</v>
      </c>
      <c r="U10" s="711">
        <f t="shared" si="1"/>
        <v>108</v>
      </c>
      <c r="V10" s="710" t="s">
        <v>17</v>
      </c>
      <c r="W10" s="711">
        <f t="shared" si="2"/>
        <v>108</v>
      </c>
      <c r="X10" s="712"/>
      <c r="Y10" s="3291"/>
      <c r="Z10" s="55" t="str">
        <f t="shared" si="7"/>
        <v>土地使用年限（年）</v>
      </c>
      <c r="AA10" s="713">
        <f t="shared" si="3"/>
        <v>0.92592592592592593</v>
      </c>
      <c r="AB10" s="713">
        <f t="shared" si="4"/>
        <v>0.92592592592592593</v>
      </c>
      <c r="AC10" s="713">
        <f t="shared" si="5"/>
        <v>0.92592592592592593</v>
      </c>
    </row>
    <row r="11" spans="1:29" ht="15">
      <c r="A11" s="387"/>
      <c r="B11" s="381" t="s">
        <v>2303</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379"/>
      <c r="Q11" s="1497" t="str">
        <f t="shared" si="6"/>
        <v>容积率</v>
      </c>
      <c r="R11" s="710" t="s">
        <v>17</v>
      </c>
      <c r="S11" s="711" t="e">
        <f t="shared" si="0"/>
        <v>#N/A</v>
      </c>
      <c r="T11" s="710" t="s">
        <v>17</v>
      </c>
      <c r="U11" s="711" t="e">
        <f t="shared" si="1"/>
        <v>#N/A</v>
      </c>
      <c r="V11" s="710" t="s">
        <v>17</v>
      </c>
      <c r="W11" s="711" t="e">
        <f t="shared" si="2"/>
        <v>#N/A</v>
      </c>
      <c r="X11" s="712"/>
      <c r="Y11" s="3291"/>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379"/>
      <c r="Q12" s="1497">
        <f t="shared" si="6"/>
        <v>111</v>
      </c>
      <c r="R12" s="710" t="s">
        <v>17</v>
      </c>
      <c r="S12" s="711">
        <f t="shared" si="0"/>
        <v>100</v>
      </c>
      <c r="T12" s="710" t="s">
        <v>17</v>
      </c>
      <c r="U12" s="711">
        <f t="shared" si="1"/>
        <v>100</v>
      </c>
      <c r="V12" s="710" t="s">
        <v>17</v>
      </c>
      <c r="W12" s="711">
        <f t="shared" si="2"/>
        <v>100</v>
      </c>
      <c r="X12" s="712"/>
      <c r="Y12" s="3291"/>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379"/>
      <c r="Q13" s="1497">
        <f t="shared" si="6"/>
        <v>111</v>
      </c>
      <c r="R13" s="710" t="s">
        <v>17</v>
      </c>
      <c r="S13" s="711">
        <f t="shared" si="0"/>
        <v>100</v>
      </c>
      <c r="T13" s="710" t="s">
        <v>17</v>
      </c>
      <c r="U13" s="711">
        <f t="shared" si="1"/>
        <v>100</v>
      </c>
      <c r="V13" s="710" t="s">
        <v>17</v>
      </c>
      <c r="W13" s="711">
        <f t="shared" si="2"/>
        <v>100</v>
      </c>
      <c r="X13" s="712"/>
      <c r="Y13" s="3291"/>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379"/>
      <c r="Q14" s="1497">
        <f t="shared" si="6"/>
        <v>111</v>
      </c>
      <c r="R14" s="710" t="s">
        <v>17</v>
      </c>
      <c r="S14" s="711">
        <f t="shared" si="0"/>
        <v>100</v>
      </c>
      <c r="T14" s="710" t="s">
        <v>17</v>
      </c>
      <c r="U14" s="711">
        <f t="shared" si="1"/>
        <v>100</v>
      </c>
      <c r="V14" s="710" t="s">
        <v>17</v>
      </c>
      <c r="W14" s="711">
        <f t="shared" si="2"/>
        <v>100</v>
      </c>
      <c r="X14" s="712"/>
      <c r="Y14" s="3291"/>
      <c r="Z14" s="55">
        <f t="shared" si="7"/>
        <v>111</v>
      </c>
      <c r="AA14" s="713">
        <f t="shared" si="3"/>
        <v>1</v>
      </c>
      <c r="AB14" s="713">
        <f t="shared" si="4"/>
        <v>1</v>
      </c>
      <c r="AC14" s="713">
        <f t="shared" si="5"/>
        <v>1</v>
      </c>
    </row>
    <row r="15" spans="1:29" ht="15">
      <c r="A15" s="399" t="s">
        <v>2304</v>
      </c>
      <c r="B15" s="585" t="s">
        <v>2543</v>
      </c>
      <c r="C15" s="2127" t="str">
        <f>估价对象房地状况!G15</f>
        <v>一般</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384" t="s">
        <v>2305</v>
      </c>
      <c r="Q15" s="1506" t="str">
        <f t="shared" si="6"/>
        <v>产业集聚程度</v>
      </c>
      <c r="R15" s="714" t="s">
        <v>17</v>
      </c>
      <c r="S15" s="715">
        <f t="shared" si="0"/>
        <v>100</v>
      </c>
      <c r="T15" s="714" t="s">
        <v>17</v>
      </c>
      <c r="U15" s="715">
        <f t="shared" si="1"/>
        <v>100</v>
      </c>
      <c r="V15" s="714" t="s">
        <v>17</v>
      </c>
      <c r="W15" s="715">
        <f t="shared" si="2"/>
        <v>100</v>
      </c>
      <c r="X15" s="1509"/>
      <c r="Y15" s="3384" t="s">
        <v>2305</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00"/>
      <c r="M16" s="2894"/>
      <c r="N16" s="2894"/>
      <c r="O16" s="2952"/>
      <c r="P16" s="3385"/>
      <c r="Q16" s="1506"/>
      <c r="R16" s="714"/>
      <c r="S16" s="715"/>
      <c r="T16" s="714"/>
      <c r="U16" s="715"/>
      <c r="V16" s="714"/>
      <c r="W16" s="715"/>
      <c r="X16" s="1509"/>
      <c r="Y16" s="3385"/>
      <c r="Z16" s="1510"/>
      <c r="AA16" s="1507">
        <v>1</v>
      </c>
      <c r="AB16" s="1507">
        <v>1</v>
      </c>
      <c r="AC16" s="1507">
        <v>1</v>
      </c>
    </row>
    <row r="17" spans="1:29" ht="15">
      <c r="A17" s="387"/>
      <c r="B17" s="587" t="s">
        <v>2454</v>
      </c>
      <c r="C17" s="2056" t="str">
        <f>估价对象房地状况!G16</f>
        <v>一般</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385"/>
      <c r="Q17" s="1506" t="str">
        <f>B17</f>
        <v>交通便捷度</v>
      </c>
      <c r="R17" s="714" t="s">
        <v>17</v>
      </c>
      <c r="S17" s="715">
        <f>F17</f>
        <v>100</v>
      </c>
      <c r="T17" s="714" t="s">
        <v>17</v>
      </c>
      <c r="U17" s="715">
        <f>H17</f>
        <v>100</v>
      </c>
      <c r="V17" s="714" t="s">
        <v>17</v>
      </c>
      <c r="W17" s="715">
        <f>J17</f>
        <v>100</v>
      </c>
      <c r="X17" s="1509"/>
      <c r="Y17" s="3385"/>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00"/>
      <c r="M18" s="2894"/>
      <c r="N18" s="2894"/>
      <c r="O18" s="2952"/>
      <c r="P18" s="3385"/>
      <c r="Q18" s="1506"/>
      <c r="R18" s="714"/>
      <c r="S18" s="715"/>
      <c r="T18" s="714"/>
      <c r="U18" s="715"/>
      <c r="V18" s="714"/>
      <c r="W18" s="715"/>
      <c r="X18" s="1509"/>
      <c r="Y18" s="3385"/>
      <c r="Z18" s="1510"/>
      <c r="AA18" s="1507">
        <v>1</v>
      </c>
      <c r="AB18" s="1507">
        <v>1</v>
      </c>
      <c r="AC18" s="1507">
        <v>1</v>
      </c>
    </row>
    <row r="19" spans="1:29" ht="15">
      <c r="A19" s="387"/>
      <c r="B19" s="587" t="s">
        <v>2493</v>
      </c>
      <c r="C19" s="2056" t="str">
        <f>估价对象房地状况!G17</f>
        <v>一般</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385"/>
      <c r="Q19" s="1506" t="str">
        <f t="shared" ref="Q19:Q33" si="8">B19</f>
        <v>区域土地利用方向</v>
      </c>
      <c r="R19" s="714" t="s">
        <v>17</v>
      </c>
      <c r="S19" s="715">
        <f>F19</f>
        <v>100</v>
      </c>
      <c r="T19" s="714" t="s">
        <v>17</v>
      </c>
      <c r="U19" s="715">
        <f>H19</f>
        <v>100</v>
      </c>
      <c r="V19" s="714" t="s">
        <v>17</v>
      </c>
      <c r="W19" s="715">
        <f>J19</f>
        <v>100</v>
      </c>
      <c r="X19" s="1509"/>
      <c r="Y19" s="3385"/>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00"/>
      <c r="M20" s="2894"/>
      <c r="N20" s="2894"/>
      <c r="O20" s="2952"/>
      <c r="P20" s="3385"/>
      <c r="Q20" s="1506"/>
      <c r="R20" s="714"/>
      <c r="S20" s="715"/>
      <c r="T20" s="714"/>
      <c r="U20" s="715"/>
      <c r="V20" s="714"/>
      <c r="W20" s="715"/>
      <c r="X20" s="1509"/>
      <c r="Y20" s="3385"/>
      <c r="Z20" s="1510"/>
      <c r="AA20" s="1507"/>
      <c r="AB20" s="1507"/>
      <c r="AC20" s="1507"/>
    </row>
    <row r="21" spans="1:29" ht="15">
      <c r="A21" s="364"/>
      <c r="B21" s="587" t="s">
        <v>2544</v>
      </c>
      <c r="C21" s="2056" t="str">
        <f>估价对象房地状况!G18</f>
        <v>较好</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385"/>
      <c r="Q21" s="1506" t="str">
        <f t="shared" si="8"/>
        <v>环境状况</v>
      </c>
      <c r="R21" s="714" t="s">
        <v>17</v>
      </c>
      <c r="S21" s="715">
        <f>F21</f>
        <v>100</v>
      </c>
      <c r="T21" s="714" t="s">
        <v>17</v>
      </c>
      <c r="U21" s="715">
        <f>H21</f>
        <v>100</v>
      </c>
      <c r="V21" s="714" t="s">
        <v>17</v>
      </c>
      <c r="W21" s="715">
        <f>J21</f>
        <v>100</v>
      </c>
      <c r="X21" s="1509"/>
      <c r="Y21" s="3385"/>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00"/>
      <c r="M22" s="2894"/>
      <c r="N22" s="2894"/>
      <c r="O22" s="2952"/>
      <c r="P22" s="3385"/>
      <c r="Q22" s="1506"/>
      <c r="R22" s="714"/>
      <c r="S22" s="715"/>
      <c r="T22" s="714"/>
      <c r="U22" s="715"/>
      <c r="V22" s="714"/>
      <c r="W22" s="715"/>
      <c r="X22" s="1509"/>
      <c r="Y22" s="3385"/>
      <c r="Z22" s="1510"/>
      <c r="AA22" s="1507">
        <v>1</v>
      </c>
      <c r="AB22" s="1507">
        <v>1</v>
      </c>
      <c r="AC22" s="1507">
        <v>1</v>
      </c>
    </row>
    <row r="23" spans="1:29" s="113" customFormat="1" ht="15">
      <c r="A23" s="605"/>
      <c r="B23" s="589" t="s">
        <v>2399</v>
      </c>
      <c r="C23" s="2056" t="str">
        <f>估价对象房地状况!G19</f>
        <v>较差</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385"/>
      <c r="Q23" s="1497" t="str">
        <f t="shared" si="8"/>
        <v>公共配套设施</v>
      </c>
      <c r="R23" s="710" t="s">
        <v>17</v>
      </c>
      <c r="S23" s="711">
        <f>F23</f>
        <v>100</v>
      </c>
      <c r="T23" s="710" t="s">
        <v>17</v>
      </c>
      <c r="U23" s="711">
        <f>H23</f>
        <v>100</v>
      </c>
      <c r="V23" s="710" t="s">
        <v>17</v>
      </c>
      <c r="W23" s="711">
        <f>J23</f>
        <v>100</v>
      </c>
      <c r="X23" s="712"/>
      <c r="Y23" s="3385"/>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895"/>
      <c r="M24" s="2896"/>
      <c r="N24" s="2896"/>
      <c r="O24" s="2950"/>
      <c r="P24" s="3385"/>
      <c r="Q24" s="1497"/>
      <c r="R24" s="710"/>
      <c r="S24" s="711"/>
      <c r="T24" s="710"/>
      <c r="U24" s="711"/>
      <c r="V24" s="710"/>
      <c r="W24" s="711"/>
      <c r="X24" s="712"/>
      <c r="Y24" s="3385"/>
      <c r="Z24" s="55"/>
      <c r="AA24" s="713">
        <v>1</v>
      </c>
      <c r="AB24" s="713">
        <v>1</v>
      </c>
      <c r="AC24" s="713">
        <v>1</v>
      </c>
    </row>
    <row r="25" spans="1:29" s="113" customFormat="1" ht="15">
      <c r="A25" s="605"/>
      <c r="B25" s="589" t="s">
        <v>2400</v>
      </c>
      <c r="C25" s="2056" t="str">
        <f>估价对象房地状况!G20</f>
        <v>五通</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385"/>
      <c r="Q25" s="1497" t="str">
        <f t="shared" ref="Q25" si="9">B25</f>
        <v>基础设施水平</v>
      </c>
      <c r="R25" s="710" t="s">
        <v>17</v>
      </c>
      <c r="S25" s="711">
        <f>F25</f>
        <v>100</v>
      </c>
      <c r="T25" s="710" t="s">
        <v>17</v>
      </c>
      <c r="U25" s="711">
        <f>H25</f>
        <v>100</v>
      </c>
      <c r="V25" s="710" t="s">
        <v>17</v>
      </c>
      <c r="W25" s="711">
        <f>J25</f>
        <v>100</v>
      </c>
      <c r="X25" s="712"/>
      <c r="Y25" s="3385"/>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895"/>
      <c r="M26" s="2896"/>
      <c r="N26" s="2896"/>
      <c r="O26" s="2950"/>
      <c r="P26" s="3385"/>
      <c r="Q26" s="1497"/>
      <c r="R26" s="710"/>
      <c r="S26" s="711"/>
      <c r="T26" s="710"/>
      <c r="U26" s="711"/>
      <c r="V26" s="710"/>
      <c r="W26" s="711"/>
      <c r="X26" s="712"/>
      <c r="Y26" s="3385"/>
      <c r="Z26" s="55"/>
      <c r="AA26" s="713">
        <v>1</v>
      </c>
      <c r="AB26" s="713">
        <v>1</v>
      </c>
      <c r="AC26" s="713">
        <v>1</v>
      </c>
    </row>
    <row r="27" spans="1:29" ht="15">
      <c r="A27" s="387"/>
      <c r="B27" s="588" t="s">
        <v>2401</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38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385"/>
      <c r="Z27" s="1510" t="str">
        <f t="shared" ref="Z27:Z40" si="13">Q27</f>
        <v>临街状况</v>
      </c>
      <c r="AA27" s="1507">
        <f t="shared" si="3"/>
        <v>1</v>
      </c>
      <c r="AB27" s="1507">
        <f t="shared" si="4"/>
        <v>1</v>
      </c>
      <c r="AC27" s="1507">
        <f t="shared" si="5"/>
        <v>1</v>
      </c>
    </row>
    <row r="28" spans="1:29" ht="27">
      <c r="A28" s="387"/>
      <c r="B28" s="589" t="s">
        <v>2436</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385"/>
      <c r="Q28" s="1506" t="str">
        <f t="shared" si="8"/>
        <v>毗邻道路的类型与等级</v>
      </c>
      <c r="R28" s="714" t="s">
        <v>17</v>
      </c>
      <c r="S28" s="715">
        <f t="shared" si="10"/>
        <v>100</v>
      </c>
      <c r="T28" s="714" t="s">
        <v>17</v>
      </c>
      <c r="U28" s="715">
        <f t="shared" si="11"/>
        <v>100</v>
      </c>
      <c r="V28" s="714" t="s">
        <v>17</v>
      </c>
      <c r="W28" s="715">
        <f t="shared" si="12"/>
        <v>100</v>
      </c>
      <c r="X28" s="1509"/>
      <c r="Y28" s="3385"/>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00"/>
      <c r="M29" s="2894"/>
      <c r="N29" s="2894"/>
      <c r="O29" s="2952"/>
      <c r="P29" s="3385"/>
      <c r="Q29" s="1506"/>
      <c r="R29" s="714"/>
      <c r="S29" s="715"/>
      <c r="T29" s="714"/>
      <c r="U29" s="715"/>
      <c r="V29" s="714"/>
      <c r="W29" s="715"/>
      <c r="X29" s="1509"/>
      <c r="Y29" s="3385"/>
      <c r="Z29" s="1510"/>
      <c r="AA29" s="1507">
        <v>1</v>
      </c>
      <c r="AB29" s="1507">
        <v>1</v>
      </c>
      <c r="AC29" s="1507">
        <v>1</v>
      </c>
    </row>
    <row r="30" spans="1:29" ht="15">
      <c r="A30" s="387"/>
      <c r="B30" s="610" t="s">
        <v>2495</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385"/>
      <c r="Q30" s="1506" t="str">
        <f t="shared" si="8"/>
        <v>土地级别</v>
      </c>
      <c r="R30" s="714" t="s">
        <v>17</v>
      </c>
      <c r="S30" s="715">
        <f t="shared" si="10"/>
        <v>100</v>
      </c>
      <c r="T30" s="714" t="s">
        <v>17</v>
      </c>
      <c r="U30" s="715">
        <f t="shared" si="11"/>
        <v>100</v>
      </c>
      <c r="V30" s="714" t="s">
        <v>17</v>
      </c>
      <c r="W30" s="715">
        <f t="shared" si="12"/>
        <v>100</v>
      </c>
      <c r="X30" s="1509"/>
      <c r="Y30" s="3385"/>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385"/>
      <c r="Q31" s="1506">
        <f t="shared" si="8"/>
        <v>111</v>
      </c>
      <c r="R31" s="714" t="s">
        <v>17</v>
      </c>
      <c r="S31" s="715">
        <f t="shared" si="10"/>
        <v>100</v>
      </c>
      <c r="T31" s="714" t="s">
        <v>17</v>
      </c>
      <c r="U31" s="715">
        <f t="shared" si="11"/>
        <v>100</v>
      </c>
      <c r="V31" s="714" t="s">
        <v>17</v>
      </c>
      <c r="W31" s="715">
        <f t="shared" si="12"/>
        <v>100</v>
      </c>
      <c r="X31" s="1509"/>
      <c r="Y31" s="3385"/>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386" t="s">
        <v>2310</v>
      </c>
      <c r="Q32" s="1506">
        <f t="shared" si="8"/>
        <v>111</v>
      </c>
      <c r="R32" s="714" t="s">
        <v>17</v>
      </c>
      <c r="S32" s="715">
        <f t="shared" si="10"/>
        <v>100</v>
      </c>
      <c r="T32" s="714" t="s">
        <v>17</v>
      </c>
      <c r="U32" s="715">
        <f t="shared" si="11"/>
        <v>100</v>
      </c>
      <c r="V32" s="714" t="s">
        <v>17</v>
      </c>
      <c r="W32" s="715">
        <f t="shared" si="12"/>
        <v>100</v>
      </c>
      <c r="X32" s="1509"/>
      <c r="Y32" s="3387" t="s">
        <v>2310</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387"/>
      <c r="Q33" s="1506">
        <f t="shared" si="8"/>
        <v>111</v>
      </c>
      <c r="R33" s="717" t="s">
        <v>17</v>
      </c>
      <c r="S33" s="718">
        <f t="shared" si="10"/>
        <v>100</v>
      </c>
      <c r="T33" s="717" t="s">
        <v>17</v>
      </c>
      <c r="U33" s="718">
        <f t="shared" si="11"/>
        <v>100</v>
      </c>
      <c r="V33" s="717" t="s">
        <v>17</v>
      </c>
      <c r="W33" s="718">
        <f t="shared" si="12"/>
        <v>100</v>
      </c>
      <c r="X33" s="719"/>
      <c r="Y33" s="3387"/>
      <c r="Z33" s="720">
        <f t="shared" si="13"/>
        <v>111</v>
      </c>
      <c r="AA33" s="1507">
        <f t="shared" si="3"/>
        <v>1</v>
      </c>
      <c r="AB33" s="1507">
        <f t="shared" si="4"/>
        <v>1</v>
      </c>
      <c r="AC33" s="1507">
        <f t="shared" si="5"/>
        <v>1</v>
      </c>
    </row>
    <row r="34" spans="1:31" ht="15">
      <c r="A34" s="399" t="s">
        <v>2308</v>
      </c>
      <c r="B34" s="415" t="s">
        <v>2496</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387"/>
      <c r="Q34" s="1506" t="str">
        <f>B34</f>
        <v>宗地面积</v>
      </c>
      <c r="R34" s="714" t="s">
        <v>17</v>
      </c>
      <c r="S34" s="715" t="e">
        <f t="shared" si="10"/>
        <v>#N/A</v>
      </c>
      <c r="T34" s="714" t="s">
        <v>17</v>
      </c>
      <c r="U34" s="715" t="e">
        <f t="shared" si="11"/>
        <v>#N/A</v>
      </c>
      <c r="V34" s="714" t="s">
        <v>17</v>
      </c>
      <c r="W34" s="715" t="e">
        <f t="shared" si="12"/>
        <v>#N/A</v>
      </c>
      <c r="X34" s="1509"/>
      <c r="Y34" s="3387"/>
      <c r="Z34" s="1510" t="str">
        <f t="shared" si="13"/>
        <v>宗地面积</v>
      </c>
      <c r="AA34" s="1507" t="e">
        <f t="shared" si="3"/>
        <v>#N/A</v>
      </c>
      <c r="AB34" s="1507" t="e">
        <f t="shared" si="4"/>
        <v>#N/A</v>
      </c>
      <c r="AC34" s="1507" t="e">
        <f t="shared" si="5"/>
        <v>#N/A</v>
      </c>
    </row>
    <row r="35" spans="1:31" ht="15">
      <c r="A35" s="431"/>
      <c r="B35" s="381" t="s">
        <v>2497</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00"/>
      <c r="M35" s="2894"/>
      <c r="N35" s="2894"/>
      <c r="O35" s="2952"/>
      <c r="P35" s="3387"/>
      <c r="Q35" s="1506" t="str">
        <f t="shared" ref="Q35:Q40" si="14">B35</f>
        <v>宗地形状</v>
      </c>
      <c r="R35" s="714" t="s">
        <v>17</v>
      </c>
      <c r="S35" s="715">
        <f t="shared" si="10"/>
        <v>100</v>
      </c>
      <c r="T35" s="714" t="s">
        <v>17</v>
      </c>
      <c r="U35" s="715">
        <f t="shared" si="11"/>
        <v>100</v>
      </c>
      <c r="V35" s="714" t="s">
        <v>17</v>
      </c>
      <c r="W35" s="715">
        <f t="shared" si="12"/>
        <v>100</v>
      </c>
      <c r="X35" s="1509"/>
      <c r="Y35" s="3387"/>
      <c r="Z35" s="1510" t="str">
        <f t="shared" si="13"/>
        <v>宗地形状</v>
      </c>
      <c r="AA35" s="1507">
        <f t="shared" si="3"/>
        <v>1</v>
      </c>
      <c r="AB35" s="1507">
        <f t="shared" si="4"/>
        <v>1</v>
      </c>
      <c r="AC35" s="1507">
        <f t="shared" si="5"/>
        <v>1</v>
      </c>
    </row>
    <row r="36" spans="1:31" s="113" customFormat="1" ht="15">
      <c r="A36" s="432"/>
      <c r="B36" s="381" t="s">
        <v>2499</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895"/>
      <c r="M36" s="2896"/>
      <c r="N36" s="2896"/>
      <c r="O36" s="2950"/>
      <c r="P36" s="3387"/>
      <c r="Q36" s="1506" t="str">
        <f t="shared" si="14"/>
        <v>宗地开发程度</v>
      </c>
      <c r="R36" s="710" t="s">
        <v>17</v>
      </c>
      <c r="S36" s="711">
        <f t="shared" si="10"/>
        <v>100</v>
      </c>
      <c r="T36" s="710" t="s">
        <v>17</v>
      </c>
      <c r="U36" s="711">
        <f t="shared" si="11"/>
        <v>100</v>
      </c>
      <c r="V36" s="710" t="s">
        <v>17</v>
      </c>
      <c r="W36" s="711">
        <f t="shared" si="12"/>
        <v>100</v>
      </c>
      <c r="X36" s="712"/>
      <c r="Y36" s="3387"/>
      <c r="Z36" s="55" t="str">
        <f t="shared" si="13"/>
        <v>宗地开发程度</v>
      </c>
      <c r="AA36" s="713">
        <f t="shared" si="3"/>
        <v>1</v>
      </c>
      <c r="AB36" s="713">
        <f t="shared" si="4"/>
        <v>1</v>
      </c>
      <c r="AC36" s="713">
        <f t="shared" si="5"/>
        <v>1</v>
      </c>
    </row>
    <row r="37" spans="1:31" ht="15">
      <c r="A37" s="431"/>
      <c r="B37" s="381" t="s">
        <v>2500</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00"/>
      <c r="M37" s="2894"/>
      <c r="N37" s="2894"/>
      <c r="O37" s="2952"/>
      <c r="P37" s="3387" t="s">
        <v>2310</v>
      </c>
      <c r="Q37" s="1506" t="str">
        <f t="shared" si="14"/>
        <v>工程地质条件</v>
      </c>
      <c r="R37" s="714" t="s">
        <v>17</v>
      </c>
      <c r="S37" s="715">
        <f t="shared" si="10"/>
        <v>100</v>
      </c>
      <c r="T37" s="714" t="s">
        <v>17</v>
      </c>
      <c r="U37" s="715">
        <f t="shared" si="11"/>
        <v>100</v>
      </c>
      <c r="V37" s="714" t="s">
        <v>17</v>
      </c>
      <c r="W37" s="715">
        <f t="shared" si="12"/>
        <v>100</v>
      </c>
      <c r="X37" s="1509"/>
      <c r="Y37" s="3387" t="s">
        <v>2310</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387"/>
      <c r="Q38" s="1506">
        <f t="shared" si="14"/>
        <v>111</v>
      </c>
      <c r="R38" s="714" t="s">
        <v>17</v>
      </c>
      <c r="S38" s="715">
        <f t="shared" si="10"/>
        <v>100</v>
      </c>
      <c r="T38" s="714" t="s">
        <v>17</v>
      </c>
      <c r="U38" s="715">
        <f t="shared" si="11"/>
        <v>100</v>
      </c>
      <c r="V38" s="714" t="s">
        <v>17</v>
      </c>
      <c r="W38" s="715">
        <f t="shared" si="12"/>
        <v>100</v>
      </c>
      <c r="X38" s="1509"/>
      <c r="Y38" s="3387"/>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387"/>
      <c r="Q39" s="1506">
        <f t="shared" si="14"/>
        <v>111</v>
      </c>
      <c r="R39" s="714" t="s">
        <v>17</v>
      </c>
      <c r="S39" s="715">
        <f t="shared" si="10"/>
        <v>100</v>
      </c>
      <c r="T39" s="714" t="s">
        <v>17</v>
      </c>
      <c r="U39" s="715">
        <f t="shared" si="11"/>
        <v>100</v>
      </c>
      <c r="V39" s="714" t="s">
        <v>17</v>
      </c>
      <c r="W39" s="715">
        <f t="shared" si="12"/>
        <v>100</v>
      </c>
      <c r="X39" s="1509"/>
      <c r="Y39" s="3387"/>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387"/>
      <c r="Q40" s="1506">
        <f t="shared" si="14"/>
        <v>111</v>
      </c>
      <c r="R40" s="717" t="s">
        <v>17</v>
      </c>
      <c r="S40" s="718">
        <f t="shared" si="10"/>
        <v>100</v>
      </c>
      <c r="T40" s="717" t="s">
        <v>17</v>
      </c>
      <c r="U40" s="718">
        <f t="shared" si="11"/>
        <v>100</v>
      </c>
      <c r="V40" s="717" t="s">
        <v>17</v>
      </c>
      <c r="W40" s="718">
        <f t="shared" si="12"/>
        <v>100</v>
      </c>
      <c r="X40" s="719"/>
      <c r="Y40" s="3387"/>
      <c r="Z40" s="720">
        <f t="shared" si="13"/>
        <v>111</v>
      </c>
      <c r="AA40" s="1507">
        <f t="shared" si="3"/>
        <v>1</v>
      </c>
      <c r="AB40" s="1507">
        <f t="shared" si="4"/>
        <v>1</v>
      </c>
      <c r="AC40" s="1507">
        <f t="shared" si="5"/>
        <v>1</v>
      </c>
    </row>
    <row r="41" spans="1:31" ht="15">
      <c r="A41" s="438" t="s">
        <v>2465</v>
      </c>
      <c r="B41" s="2138" t="s">
        <v>2545</v>
      </c>
      <c r="C41" s="638" t="s">
        <v>1</v>
      </c>
      <c r="D41" s="440"/>
      <c r="E41" s="441"/>
      <c r="F41" s="442"/>
      <c r="G41" s="443"/>
      <c r="H41" s="444"/>
      <c r="I41" s="441"/>
      <c r="J41" s="444"/>
      <c r="K41" s="723"/>
      <c r="L41" s="2902"/>
      <c r="M41" s="2894"/>
      <c r="N41" s="2894"/>
      <c r="O41" s="2903"/>
      <c r="P41" s="3379" t="str">
        <f>A41</f>
        <v>成交单价</v>
      </c>
      <c r="Q41" s="3379"/>
      <c r="R41" s="3408">
        <f>E41</f>
        <v>0</v>
      </c>
      <c r="S41" s="3408"/>
      <c r="T41" s="3408">
        <f>G41</f>
        <v>0</v>
      </c>
      <c r="U41" s="3408"/>
      <c r="V41" s="3408">
        <f>I41</f>
        <v>0</v>
      </c>
      <c r="W41" s="3408"/>
      <c r="X41" s="699"/>
      <c r="Y41" s="721"/>
      <c r="Z41" s="699"/>
      <c r="AA41" s="699"/>
      <c r="AB41" s="699"/>
      <c r="AC41" s="699"/>
    </row>
    <row r="42" spans="1:31" ht="15.75" thickBot="1">
      <c r="A42" s="445" t="s">
        <v>2414</v>
      </c>
      <c r="B42" s="639"/>
      <c r="C42" s="448" t="e">
        <f>R43</f>
        <v>#DIV/0!</v>
      </c>
      <c r="D42" s="2508" t="s">
        <v>2803</v>
      </c>
      <c r="E42" s="448" t="e">
        <f>R42</f>
        <v>#DIV/0!</v>
      </c>
      <c r="F42" s="2509"/>
      <c r="G42" s="447" t="e">
        <f>T42</f>
        <v>#DIV/0!</v>
      </c>
      <c r="H42" s="2509"/>
      <c r="I42" s="448" t="e">
        <f>V42</f>
        <v>#DIV/0!</v>
      </c>
      <c r="J42" s="2509"/>
      <c r="K42" s="2511">
        <f>F42+H42+J42</f>
        <v>0</v>
      </c>
      <c r="L42" s="2902"/>
      <c r="M42" s="2894"/>
      <c r="N42" s="2894"/>
      <c r="O42" s="2903"/>
      <c r="P42" s="3379" t="str">
        <f>A42</f>
        <v>比较价值（元/平方米）</v>
      </c>
      <c r="Q42" s="3379"/>
      <c r="R42" s="3499" t="e">
        <f>ROUND(PRODUCT(R41,AA7:AA40),0)</f>
        <v>#DIV/0!</v>
      </c>
      <c r="S42" s="3499"/>
      <c r="T42" s="3499" t="e">
        <f>ROUND(PRODUCT(T41,AB7:AB40),0)</f>
        <v>#DIV/0!</v>
      </c>
      <c r="U42" s="3499"/>
      <c r="V42" s="3499" t="e">
        <f>ROUND(PRODUCT(V41,AC7:AC40),0)</f>
        <v>#DIV/0!</v>
      </c>
      <c r="W42" s="3499"/>
      <c r="X42" s="699"/>
      <c r="Y42" s="699"/>
      <c r="Z42" s="699"/>
      <c r="AA42" s="699"/>
      <c r="AB42" s="699"/>
      <c r="AC42" s="699"/>
    </row>
    <row r="43" spans="1:31" ht="15.75" thickBot="1">
      <c r="A43" s="449" t="s">
        <v>2415</v>
      </c>
      <c r="B43" s="450"/>
      <c r="C43" s="451" t="e">
        <f>R43</f>
        <v>#DIV/0!</v>
      </c>
      <c r="D43" s="451"/>
      <c r="E43" s="451"/>
      <c r="F43" s="451"/>
      <c r="G43" s="451"/>
      <c r="H43" s="451"/>
      <c r="I43" s="451"/>
      <c r="J43" s="451"/>
      <c r="K43" s="724"/>
      <c r="L43" s="2902"/>
      <c r="M43" s="2894"/>
      <c r="N43" s="2894"/>
      <c r="O43" s="2903"/>
      <c r="P43" s="3381" t="str">
        <f>A43</f>
        <v>估价对象XX用房的比较价值（楼面单价，元/平方米）</v>
      </c>
      <c r="Q43" s="3382"/>
      <c r="R43" s="3500" t="e">
        <f>ROUND(IF(D42="简单平均",AVERAGE(R42:W42),R42*F42+T42*H42+V42*J42),0)</f>
        <v>#DIV/0!</v>
      </c>
      <c r="S43" s="3500"/>
      <c r="T43" s="3500"/>
      <c r="U43" s="3500"/>
      <c r="V43" s="3500"/>
      <c r="W43" s="3500"/>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2416</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2417</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2418</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2503</v>
      </c>
      <c r="B50" s="641" t="s">
        <v>2504</v>
      </c>
      <c r="C50" s="2139" t="s">
        <v>2505</v>
      </c>
      <c r="D50" s="2140" t="s">
        <v>2506</v>
      </c>
      <c r="E50" s="642" t="s">
        <v>2507</v>
      </c>
      <c r="F50" s="643" t="s">
        <v>2508</v>
      </c>
      <c r="G50" s="3392" t="s">
        <v>2509</v>
      </c>
      <c r="H50" s="3501"/>
      <c r="I50" s="1510" t="s">
        <v>2546</v>
      </c>
      <c r="J50" s="1510">
        <f>项目基本情况!F35</f>
        <v>0</v>
      </c>
      <c r="K50" s="2142" t="s">
        <v>2511</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2512</v>
      </c>
      <c r="B51" s="645" t="e">
        <f>C43</f>
        <v>#DIV/0!</v>
      </c>
      <c r="C51" s="646">
        <v>1</v>
      </c>
      <c r="D51" s="1075">
        <v>1</v>
      </c>
      <c r="E51" s="646">
        <f>'数据-汇总表'!E8+'数据-汇总表'!E9</f>
        <v>2555.66</v>
      </c>
      <c r="F51" s="647" t="e">
        <f t="shared" ref="F51:F60" si="15">ROUND(B51*E51/10000,0)</f>
        <v>#DIV/0!</v>
      </c>
      <c r="G51" s="3481"/>
      <c r="H51" s="3379"/>
      <c r="I51" s="879">
        <v>1</v>
      </c>
      <c r="J51" s="879">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2513</v>
      </c>
      <c r="B52" s="224" t="e">
        <f>ROUND($C$43*C52*D52,0)</f>
        <v>#DIV/0!</v>
      </c>
      <c r="C52" s="176">
        <f t="shared" ref="C52:C60" si="16">IF($C$50="北京市系数",I52,J52)</f>
        <v>0</v>
      </c>
      <c r="D52" s="1076">
        <v>0.25</v>
      </c>
      <c r="E52" s="650"/>
      <c r="F52" s="647" t="e">
        <f t="shared" si="15"/>
        <v>#DIV/0!</v>
      </c>
      <c r="G52" s="3502" t="s">
        <v>2514</v>
      </c>
      <c r="H52" s="1018">
        <f>项目基本情况!B37</f>
        <v>0</v>
      </c>
      <c r="I52" s="879">
        <f>SUMIF(修正!A45:A56,H52,修正!B45:B56)</f>
        <v>0</v>
      </c>
      <c r="J52" s="880"/>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2515</v>
      </c>
      <c r="B53" s="224" t="e">
        <f t="shared" ref="B53:B60" si="17">ROUND($C$43*C53*D53,0)</f>
        <v>#DIV/0!</v>
      </c>
      <c r="C53" s="176">
        <f t="shared" si="16"/>
        <v>0</v>
      </c>
      <c r="D53" s="1076">
        <v>0.25</v>
      </c>
      <c r="E53" s="650"/>
      <c r="F53" s="647" t="e">
        <f t="shared" si="15"/>
        <v>#DIV/0!</v>
      </c>
      <c r="G53" s="3502"/>
      <c r="H53" s="1018">
        <f>项目基本情况!B37</f>
        <v>0</v>
      </c>
      <c r="I53" s="879">
        <f>SUMIF(修正!A45:A56,H53,修正!C45:C56)</f>
        <v>0</v>
      </c>
      <c r="J53" s="880"/>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2516</v>
      </c>
      <c r="B54" s="224" t="e">
        <f t="shared" si="17"/>
        <v>#DIV/0!</v>
      </c>
      <c r="C54" s="176">
        <f t="shared" si="16"/>
        <v>0</v>
      </c>
      <c r="D54" s="1076">
        <v>0.25</v>
      </c>
      <c r="E54" s="650"/>
      <c r="F54" s="647" t="e">
        <f t="shared" si="15"/>
        <v>#DIV/0!</v>
      </c>
      <c r="G54" s="3502"/>
      <c r="H54" s="1018">
        <f>项目基本情况!B37</f>
        <v>0</v>
      </c>
      <c r="I54" s="879">
        <f>SUMIF(修正!A45:A56,H54,修正!D45:D56)</f>
        <v>0</v>
      </c>
      <c r="J54" s="880"/>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c r="A55" s="649" t="s">
        <v>2517</v>
      </c>
      <c r="B55" s="224" t="e">
        <f t="shared" si="17"/>
        <v>#DIV/0!</v>
      </c>
      <c r="C55" s="176">
        <f t="shared" si="16"/>
        <v>0</v>
      </c>
      <c r="D55" s="1076">
        <v>0.25</v>
      </c>
      <c r="E55" s="650"/>
      <c r="F55" s="647" t="e">
        <f t="shared" si="15"/>
        <v>#DIV/0!</v>
      </c>
      <c r="G55" s="3502"/>
      <c r="H55" s="1018">
        <f>项目基本情况!B37</f>
        <v>0</v>
      </c>
      <c r="I55" s="879">
        <f>SUMIF(修正!A45:A56,H55,修正!E45:E56)</f>
        <v>0</v>
      </c>
      <c r="J55" s="880"/>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2518</v>
      </c>
      <c r="B56" s="224" t="e">
        <f t="shared" si="17"/>
        <v>#DIV/0!</v>
      </c>
      <c r="C56" s="176">
        <f t="shared" si="16"/>
        <v>0</v>
      </c>
      <c r="D56" s="1076">
        <v>0.25</v>
      </c>
      <c r="E56" s="223">
        <f>'数据-汇总表'!E11</f>
        <v>0</v>
      </c>
      <c r="F56" s="647" t="e">
        <f t="shared" si="15"/>
        <v>#DIV/0!</v>
      </c>
      <c r="G56" s="2143" t="s">
        <v>2519</v>
      </c>
      <c r="H56" s="1018">
        <f>项目基本情况!C37</f>
        <v>0</v>
      </c>
      <c r="I56" s="879">
        <f>SUMIF(修正!A45:A56,H56,修正!F45:F56)</f>
        <v>0</v>
      </c>
      <c r="J56" s="880"/>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2520</v>
      </c>
      <c r="B57" s="224" t="e">
        <f t="shared" si="17"/>
        <v>#DIV/0!</v>
      </c>
      <c r="C57" s="176">
        <f t="shared" si="16"/>
        <v>0</v>
      </c>
      <c r="D57" s="1076">
        <v>0.25</v>
      </c>
      <c r="E57" s="223">
        <f>'数据-汇总表'!E12</f>
        <v>0</v>
      </c>
      <c r="F57" s="647" t="e">
        <f t="shared" si="15"/>
        <v>#DIV/0!</v>
      </c>
      <c r="G57" s="1023" t="s">
        <v>2521</v>
      </c>
      <c r="H57" s="1018">
        <f>IF(G57="商业",项目基本情况!B37,IF(G57="办公",项目基本情况!C37,IF(G57="住宅",项目基本情况!D37,项目基本情况!E37)))</f>
        <v>0</v>
      </c>
      <c r="I57" s="879">
        <f>SUMIF(修正!A45:A56,H57,修正!G45:G56)</f>
        <v>0</v>
      </c>
      <c r="J57" s="880"/>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2522</v>
      </c>
      <c r="B58" s="224" t="e">
        <f t="shared" si="17"/>
        <v>#DIV/0!</v>
      </c>
      <c r="C58" s="176">
        <f t="shared" si="16"/>
        <v>0</v>
      </c>
      <c r="D58" s="1076">
        <v>0.25</v>
      </c>
      <c r="E58" s="223">
        <f>'数据-汇总表'!E13</f>
        <v>0</v>
      </c>
      <c r="F58" s="647" t="e">
        <f t="shared" si="15"/>
        <v>#DIV/0!</v>
      </c>
      <c r="G58" s="1023" t="s">
        <v>2523</v>
      </c>
      <c r="H58" s="1018">
        <f>IF(G58="商业",项目基本情况!B37,IF(G58="办公",项目基本情况!C37,IF(G58="住宅",项目基本情况!D37,项目基本情况!E37)))</f>
        <v>0</v>
      </c>
      <c r="I58" s="879">
        <f>SUMIF(修正!A45:A56,H58,修正!H45:H56)</f>
        <v>0</v>
      </c>
      <c r="J58" s="880"/>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2524</v>
      </c>
      <c r="B59" s="224" t="e">
        <f t="shared" si="17"/>
        <v>#DIV/0!</v>
      </c>
      <c r="C59" s="176">
        <f t="shared" si="16"/>
        <v>0</v>
      </c>
      <c r="D59" s="1076">
        <v>0.25</v>
      </c>
      <c r="E59" s="223">
        <f>'数据-汇总表'!E14</f>
        <v>0</v>
      </c>
      <c r="F59" s="647" t="e">
        <f t="shared" si="15"/>
        <v>#DIV/0!</v>
      </c>
      <c r="G59" s="2143" t="s">
        <v>2514</v>
      </c>
      <c r="H59" s="1018">
        <f>项目基本情况!B37</f>
        <v>0</v>
      </c>
      <c r="I59" s="879">
        <f>SUMIF(修正!A45:A56,H59,修正!H45:H56)</f>
        <v>0</v>
      </c>
      <c r="J59" s="880"/>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2525</v>
      </c>
      <c r="B60" s="224" t="e">
        <f t="shared" si="17"/>
        <v>#DIV/0!</v>
      </c>
      <c r="C60" s="176">
        <f t="shared" si="16"/>
        <v>0</v>
      </c>
      <c r="D60" s="1076">
        <v>0.25</v>
      </c>
      <c r="E60" s="223">
        <f>'数据-汇总表'!E15</f>
        <v>0</v>
      </c>
      <c r="F60" s="647" t="e">
        <f t="shared" si="15"/>
        <v>#DIV/0!</v>
      </c>
      <c r="G60" s="2144" t="s">
        <v>2519</v>
      </c>
      <c r="H60" s="1028">
        <f>项目基本情况!C37</f>
        <v>0</v>
      </c>
      <c r="I60" s="879">
        <f>SUMIF(修正!A45:A56,H60,修正!H45:H56)</f>
        <v>0</v>
      </c>
      <c r="J60" s="880"/>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2526</v>
      </c>
      <c r="B61" s="652" t="s">
        <v>28</v>
      </c>
      <c r="C61" s="652" t="s">
        <v>29</v>
      </c>
      <c r="D61" s="652" t="s">
        <v>997</v>
      </c>
      <c r="E61" s="652">
        <f>IF(B41="楼面地价",SUM(E51:E60),'数据-汇总表'!D3)</f>
        <v>0</v>
      </c>
      <c r="F61" s="653" t="e">
        <f>IF(B41="楼面地价",SUM(F51:F60),ROUND(C43*E61/10000,0))</f>
        <v>#DIV/0!</v>
      </c>
      <c r="G61" s="1070"/>
      <c r="H61" s="1070"/>
      <c r="I61" s="1070"/>
      <c r="J61" s="1070"/>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58"/>
      <c r="B62" s="1060"/>
      <c r="C62" s="1062"/>
      <c r="D62" s="1058"/>
      <c r="E62" s="1058"/>
      <c r="F62" s="1058"/>
      <c r="G62" s="1058"/>
      <c r="H62" s="1058"/>
      <c r="I62" s="1058"/>
      <c r="J62" s="1058"/>
      <c r="K62" s="1019"/>
      <c r="L62" s="1020"/>
      <c r="M62" s="1058"/>
      <c r="N62" s="1058"/>
      <c r="O62" s="1058"/>
      <c r="P62" s="2903"/>
      <c r="Q62" s="2903"/>
      <c r="R62" s="2903"/>
      <c r="S62" s="2903"/>
      <c r="T62" s="2903"/>
      <c r="U62" s="2903"/>
      <c r="V62" s="2903"/>
      <c r="W62" s="2903"/>
      <c r="X62" s="2903"/>
      <c r="Y62" s="2903"/>
      <c r="Z62" s="2903"/>
      <c r="AA62" s="2903"/>
      <c r="AB62" s="2903"/>
      <c r="AC62" s="2903"/>
      <c r="AD62" s="2903"/>
      <c r="AE62" s="290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03"/>
      <c r="Q63" s="2903"/>
      <c r="R63" s="2903"/>
      <c r="S63" s="2903"/>
      <c r="T63" s="2903"/>
      <c r="U63" s="2903"/>
      <c r="V63" s="2903"/>
      <c r="W63" s="2903"/>
      <c r="X63" s="2903"/>
      <c r="Y63" s="2903"/>
      <c r="Z63" s="2903"/>
      <c r="AA63" s="2903"/>
      <c r="AB63" s="2903"/>
      <c r="AC63" s="2903"/>
      <c r="AD63" s="2903"/>
      <c r="AE63" s="2903"/>
    </row>
    <row r="64" spans="1:31" ht="21.75" thickBot="1">
      <c r="A64" s="703" t="s">
        <v>2419</v>
      </c>
      <c r="B64" s="699"/>
      <c r="C64" s="704"/>
      <c r="D64" s="704"/>
      <c r="E64" s="704"/>
      <c r="F64" s="705"/>
      <c r="G64" s="705"/>
      <c r="H64" s="704"/>
      <c r="I64" s="704"/>
      <c r="J64" s="704"/>
      <c r="K64" s="706"/>
      <c r="L64" s="707"/>
      <c r="M64" s="704"/>
      <c r="N64" s="704"/>
      <c r="O64" s="1071"/>
      <c r="P64" s="2947"/>
      <c r="Q64" s="2917"/>
      <c r="R64" s="2903"/>
      <c r="S64" s="2903"/>
      <c r="T64" s="2903"/>
      <c r="U64" s="2903"/>
      <c r="V64" s="2903"/>
      <c r="W64" s="2903"/>
      <c r="X64" s="2903"/>
      <c r="Y64" s="2903"/>
      <c r="Z64" s="2903"/>
      <c r="AA64" s="2903"/>
      <c r="AB64" s="2903"/>
      <c r="AC64" s="2903"/>
      <c r="AD64" s="2903"/>
      <c r="AE64" s="2903"/>
    </row>
    <row r="65" spans="1:31" s="465" customFormat="1" ht="15">
      <c r="A65" s="2145" t="s">
        <v>2527</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50" t="s">
        <v>2547</v>
      </c>
      <c r="B66" s="294" t="str">
        <f>"北京市平均增长率"&amp;TEXT(基准地价修正!P24,"0.00%")</f>
        <v>北京市平均增长率1.18%</v>
      </c>
      <c r="C66" s="560">
        <v>100</v>
      </c>
      <c r="D66" s="552"/>
      <c r="E66" s="552"/>
      <c r="F66" s="552"/>
      <c r="G66" s="552"/>
      <c r="H66" s="552"/>
      <c r="I66" s="552"/>
      <c r="J66" s="552"/>
      <c r="K66" s="552"/>
      <c r="L66" s="552"/>
      <c r="M66" s="1312"/>
      <c r="N66" s="1312"/>
      <c r="O66" s="131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2330</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2295</v>
      </c>
      <c r="B68" s="467"/>
      <c r="C68" s="479" t="s">
        <v>2397</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2333</v>
      </c>
      <c r="B70" s="485" t="s">
        <v>2299</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2302</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2303</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2304</v>
      </c>
      <c r="B83" s="485" t="s">
        <v>2450</v>
      </c>
      <c r="C83" s="530" t="s">
        <v>2342</v>
      </c>
      <c r="D83" s="530" t="s">
        <v>2343</v>
      </c>
      <c r="E83" s="530" t="s">
        <v>2344</v>
      </c>
      <c r="F83" s="530" t="s">
        <v>2345</v>
      </c>
      <c r="G83" s="530" t="s">
        <v>2346</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2347</v>
      </c>
      <c r="C85" s="535" t="s">
        <v>2342</v>
      </c>
      <c r="D85" s="535" t="s">
        <v>2343</v>
      </c>
      <c r="E85" s="535" t="s">
        <v>2344</v>
      </c>
      <c r="F85" s="535" t="s">
        <v>2345</v>
      </c>
      <c r="G85" s="535" t="s">
        <v>2346</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2530</v>
      </c>
      <c r="C87" s="530" t="s">
        <v>2342</v>
      </c>
      <c r="D87" s="530" t="s">
        <v>2343</v>
      </c>
      <c r="E87" s="530" t="s">
        <v>2344</v>
      </c>
      <c r="F87" s="530" t="s">
        <v>2345</v>
      </c>
      <c r="G87" s="530" t="s">
        <v>2346</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2531</v>
      </c>
      <c r="C89" s="530" t="s">
        <v>2342</v>
      </c>
      <c r="D89" s="530" t="s">
        <v>2343</v>
      </c>
      <c r="E89" s="530" t="s">
        <v>2344</v>
      </c>
      <c r="F89" s="530" t="s">
        <v>2345</v>
      </c>
      <c r="G89" s="530" t="s">
        <v>2346</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2399</v>
      </c>
      <c r="C91" s="530" t="s">
        <v>2342</v>
      </c>
      <c r="D91" s="530" t="s">
        <v>2343</v>
      </c>
      <c r="E91" s="530" t="s">
        <v>2344</v>
      </c>
      <c r="F91" s="530" t="s">
        <v>2345</v>
      </c>
      <c r="G91" s="530" t="s">
        <v>2346</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2548</v>
      </c>
      <c r="C93" s="616" t="s">
        <v>2420</v>
      </c>
      <c r="D93" s="616" t="s">
        <v>2421</v>
      </c>
      <c r="E93" s="616" t="s">
        <v>2422</v>
      </c>
      <c r="F93" s="616" t="s">
        <v>2423</v>
      </c>
      <c r="G93" s="616" t="s">
        <v>2424</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2532</v>
      </c>
      <c r="D95" s="496" t="s">
        <v>2533</v>
      </c>
      <c r="E95" s="496" t="s">
        <v>2534</v>
      </c>
      <c r="F95" s="496" t="s">
        <v>2535</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2436</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2495</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2308</v>
      </c>
      <c r="B107" s="485" t="s">
        <v>2536</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2537</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2539</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2540</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2788</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07" t="s">
        <v>183</v>
      </c>
      <c r="B18" s="821" t="s">
        <v>560</v>
      </c>
      <c r="C18" s="822" t="s">
        <v>561</v>
      </c>
      <c r="D18" s="823"/>
      <c r="E18" s="821">
        <v>1</v>
      </c>
      <c r="F18" s="824" t="s">
        <v>562</v>
      </c>
      <c r="G18" s="825"/>
      <c r="H18" s="817"/>
      <c r="I18" s="817"/>
    </row>
    <row r="19" spans="1:9" s="826" customFormat="1" ht="19.5" customHeight="1">
      <c r="A19" s="3507"/>
      <c r="B19" s="3507" t="s">
        <v>563</v>
      </c>
      <c r="C19" s="822" t="s">
        <v>564</v>
      </c>
      <c r="D19" s="823"/>
      <c r="E19" s="821">
        <v>0.9</v>
      </c>
      <c r="F19" s="824" t="s">
        <v>565</v>
      </c>
      <c r="G19" s="825"/>
      <c r="H19" s="817"/>
      <c r="I19" s="817"/>
    </row>
    <row r="20" spans="1:9" s="826" customFormat="1" ht="19.5" customHeight="1">
      <c r="A20" s="3507"/>
      <c r="B20" s="3507"/>
      <c r="C20" s="822" t="s">
        <v>566</v>
      </c>
      <c r="D20" s="823"/>
      <c r="E20" s="821">
        <v>1.1000000000000001</v>
      </c>
      <c r="F20" s="824" t="s">
        <v>567</v>
      </c>
      <c r="G20" s="825"/>
      <c r="H20" s="817"/>
      <c r="I20" s="817"/>
    </row>
    <row r="21" spans="1:9" s="826" customFormat="1" ht="19.5" customHeight="1">
      <c r="A21" s="3507"/>
      <c r="B21" s="3507"/>
      <c r="C21" s="822" t="s">
        <v>568</v>
      </c>
      <c r="D21" s="823"/>
      <c r="E21" s="821">
        <v>0.8</v>
      </c>
      <c r="F21" s="824" t="s">
        <v>569</v>
      </c>
      <c r="G21" s="825"/>
      <c r="H21" s="817"/>
      <c r="I21" s="817"/>
    </row>
    <row r="22" spans="1:9" s="826" customFormat="1" ht="19.5" customHeight="1">
      <c r="A22" s="3507"/>
      <c r="B22" s="3507"/>
      <c r="C22" s="822" t="s">
        <v>570</v>
      </c>
      <c r="D22" s="823"/>
      <c r="E22" s="821">
        <v>0.5</v>
      </c>
      <c r="F22" s="824"/>
      <c r="G22" s="825"/>
      <c r="H22" s="817"/>
      <c r="I22" s="817"/>
    </row>
    <row r="23" spans="1:9" s="826" customFormat="1" ht="19.5" customHeight="1">
      <c r="A23" s="3507" t="s">
        <v>184</v>
      </c>
      <c r="B23" s="821" t="s">
        <v>560</v>
      </c>
      <c r="C23" s="822" t="s">
        <v>571</v>
      </c>
      <c r="D23" s="823"/>
      <c r="E23" s="821">
        <v>1</v>
      </c>
      <c r="F23" s="824" t="s">
        <v>572</v>
      </c>
      <c r="G23" s="825"/>
      <c r="H23" s="817"/>
      <c r="I23" s="817"/>
    </row>
    <row r="24" spans="1:9" s="826" customFormat="1" ht="19.5" customHeight="1">
      <c r="A24" s="3507"/>
      <c r="B24" s="3507" t="s">
        <v>563</v>
      </c>
      <c r="C24" s="822" t="s">
        <v>573</v>
      </c>
      <c r="D24" s="823"/>
      <c r="E24" s="821">
        <v>0.5</v>
      </c>
      <c r="F24" s="824"/>
      <c r="G24" s="825"/>
      <c r="H24" s="817"/>
      <c r="I24" s="817"/>
    </row>
    <row r="25" spans="1:9" s="826" customFormat="1" ht="19.5" customHeight="1">
      <c r="A25" s="3507"/>
      <c r="B25" s="3507"/>
      <c r="C25" s="822" t="s">
        <v>574</v>
      </c>
      <c r="D25" s="823"/>
      <c r="E25" s="821">
        <v>1.1000000000000001</v>
      </c>
      <c r="F25" s="824"/>
      <c r="G25" s="825"/>
      <c r="H25" s="817"/>
      <c r="I25" s="817"/>
    </row>
    <row r="26" spans="1:9" s="826" customFormat="1" ht="19.5" customHeight="1">
      <c r="A26" s="3507"/>
      <c r="B26" s="3507"/>
      <c r="C26" s="822" t="s">
        <v>575</v>
      </c>
      <c r="D26" s="823"/>
      <c r="E26" s="821">
        <v>1.1000000000000001</v>
      </c>
      <c r="F26" s="824"/>
      <c r="G26" s="825"/>
      <c r="H26" s="817"/>
      <c r="I26" s="817"/>
    </row>
    <row r="27" spans="1:9" s="826" customFormat="1" ht="19.5" customHeight="1">
      <c r="A27" s="3507"/>
      <c r="B27" s="3507"/>
      <c r="C27" s="822" t="s">
        <v>576</v>
      </c>
      <c r="D27" s="823"/>
      <c r="E27" s="821">
        <v>0.9</v>
      </c>
      <c r="F27" s="824" t="s">
        <v>577</v>
      </c>
      <c r="G27" s="825"/>
      <c r="H27" s="817"/>
      <c r="I27" s="817"/>
    </row>
    <row r="28" spans="1:9" s="826" customFormat="1" ht="19.5" customHeight="1">
      <c r="A28" s="3507"/>
      <c r="B28" s="3507"/>
      <c r="C28" s="822" t="s">
        <v>578</v>
      </c>
      <c r="D28" s="823"/>
      <c r="E28" s="821">
        <v>0.9</v>
      </c>
      <c r="F28" s="824" t="s">
        <v>579</v>
      </c>
      <c r="G28" s="825"/>
      <c r="H28" s="817"/>
      <c r="I28" s="817"/>
    </row>
    <row r="29" spans="1:9" s="826" customFormat="1" ht="19.5" customHeight="1">
      <c r="A29" s="3507"/>
      <c r="B29" s="3507"/>
      <c r="C29" s="822" t="s">
        <v>580</v>
      </c>
      <c r="D29" s="823"/>
      <c r="E29" s="821">
        <v>0.9</v>
      </c>
      <c r="F29" s="824" t="s">
        <v>581</v>
      </c>
      <c r="G29" s="825"/>
      <c r="H29" s="817"/>
      <c r="I29" s="817"/>
    </row>
    <row r="30" spans="1:9" s="826" customFormat="1" ht="19.5" customHeight="1">
      <c r="A30" s="3507"/>
      <c r="B30" s="3507"/>
      <c r="C30" s="822" t="s">
        <v>582</v>
      </c>
      <c r="D30" s="823"/>
      <c r="E30" s="821">
        <v>0.9</v>
      </c>
      <c r="F30" s="824" t="s">
        <v>583</v>
      </c>
      <c r="G30" s="825"/>
      <c r="H30" s="817"/>
      <c r="I30" s="817"/>
    </row>
    <row r="31" spans="1:9" s="826" customFormat="1" ht="19.5" customHeight="1">
      <c r="A31" s="3507"/>
      <c r="B31" s="3507"/>
      <c r="C31" s="822" t="s">
        <v>584</v>
      </c>
      <c r="D31" s="823"/>
      <c r="E31" s="821">
        <v>0.8</v>
      </c>
      <c r="F31" s="824" t="s">
        <v>585</v>
      </c>
      <c r="G31" s="825"/>
      <c r="H31" s="817"/>
      <c r="I31" s="817"/>
    </row>
    <row r="32" spans="1:9" s="826" customFormat="1" ht="19.5" customHeight="1">
      <c r="A32" s="3507"/>
      <c r="B32" s="3507"/>
      <c r="C32" s="822" t="s">
        <v>586</v>
      </c>
      <c r="D32" s="823"/>
      <c r="E32" s="821">
        <v>0.8</v>
      </c>
      <c r="F32" s="824" t="s">
        <v>587</v>
      </c>
      <c r="G32" s="825"/>
      <c r="H32" s="817"/>
      <c r="I32" s="817"/>
    </row>
    <row r="33" spans="1:9" s="826" customFormat="1" ht="19.5" customHeight="1">
      <c r="A33" s="3507" t="s">
        <v>185</v>
      </c>
      <c r="B33" s="821" t="s">
        <v>560</v>
      </c>
      <c r="C33" s="822" t="s">
        <v>588</v>
      </c>
      <c r="D33" s="823"/>
      <c r="E33" s="821">
        <v>1</v>
      </c>
      <c r="F33" s="824" t="s">
        <v>589</v>
      </c>
      <c r="G33" s="825"/>
      <c r="H33" s="817"/>
      <c r="I33" s="817"/>
    </row>
    <row r="34" spans="1:9" s="826" customFormat="1" ht="19.5" customHeight="1">
      <c r="A34" s="3507"/>
      <c r="B34" s="821" t="s">
        <v>563</v>
      </c>
      <c r="C34" s="822" t="s">
        <v>590</v>
      </c>
      <c r="D34" s="823"/>
      <c r="E34" s="821">
        <v>1.5</v>
      </c>
      <c r="F34" s="824" t="s">
        <v>591</v>
      </c>
      <c r="G34" s="825"/>
      <c r="H34" s="817"/>
      <c r="I34" s="817"/>
    </row>
    <row r="35" spans="1:9" s="826" customFormat="1" ht="19.5" customHeight="1">
      <c r="A35" s="3507" t="s">
        <v>186</v>
      </c>
      <c r="B35" s="821" t="s">
        <v>560</v>
      </c>
      <c r="C35" s="822" t="s">
        <v>592</v>
      </c>
      <c r="D35" s="823"/>
      <c r="E35" s="821">
        <v>1</v>
      </c>
      <c r="F35" s="824" t="s">
        <v>593</v>
      </c>
      <c r="G35" s="825"/>
      <c r="H35" s="817"/>
      <c r="I35" s="817"/>
    </row>
    <row r="36" spans="1:9" s="826" customFormat="1" ht="19.5" customHeight="1">
      <c r="A36" s="3507"/>
      <c r="B36" s="3507" t="s">
        <v>563</v>
      </c>
      <c r="C36" s="822" t="s">
        <v>594</v>
      </c>
      <c r="D36" s="823"/>
      <c r="E36" s="821">
        <v>1</v>
      </c>
      <c r="F36" s="824" t="s">
        <v>595</v>
      </c>
      <c r="G36" s="825"/>
      <c r="H36" s="817"/>
      <c r="I36" s="817"/>
    </row>
    <row r="37" spans="1:9" s="826" customFormat="1" ht="19.5" customHeight="1">
      <c r="A37" s="3507"/>
      <c r="B37" s="3507"/>
      <c r="C37" s="822" t="s">
        <v>596</v>
      </c>
      <c r="D37" s="823"/>
      <c r="E37" s="821">
        <v>1.5</v>
      </c>
      <c r="F37" s="824" t="s">
        <v>597</v>
      </c>
      <c r="G37" s="825"/>
      <c r="H37" s="817"/>
      <c r="I37" s="817"/>
    </row>
    <row r="38" spans="1:9" s="826" customFormat="1" ht="19.5" customHeight="1">
      <c r="A38" s="3507"/>
      <c r="B38" s="3507"/>
      <c r="C38" s="822" t="s">
        <v>598</v>
      </c>
      <c r="D38" s="823"/>
      <c r="E38" s="821">
        <v>1</v>
      </c>
      <c r="F38" s="824" t="s">
        <v>599</v>
      </c>
      <c r="G38" s="825"/>
      <c r="H38" s="817"/>
      <c r="I38" s="817"/>
    </row>
    <row r="39" spans="1:9" s="826" customFormat="1" ht="19.5" customHeight="1">
      <c r="A39" s="3507"/>
      <c r="B39" s="350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07" t="s">
        <v>614</v>
      </c>
      <c r="C61" s="757" t="s">
        <v>615</v>
      </c>
      <c r="D61" s="757" t="s">
        <v>616</v>
      </c>
      <c r="E61" s="834">
        <v>0.5</v>
      </c>
      <c r="F61" s="821">
        <v>80</v>
      </c>
    </row>
    <row r="62" spans="1:8" s="817" customFormat="1" ht="24">
      <c r="A62" s="821">
        <v>2</v>
      </c>
      <c r="B62" s="3507"/>
      <c r="C62" s="757" t="s">
        <v>617</v>
      </c>
      <c r="D62" s="757" t="s">
        <v>618</v>
      </c>
      <c r="E62" s="834">
        <v>0.5</v>
      </c>
      <c r="F62" s="821">
        <v>80</v>
      </c>
    </row>
    <row r="63" spans="1:8" s="817" customFormat="1" ht="36">
      <c r="A63" s="821">
        <v>3</v>
      </c>
      <c r="B63" s="3507"/>
      <c r="C63" s="757" t="s">
        <v>619</v>
      </c>
      <c r="D63" s="757" t="s">
        <v>620</v>
      </c>
      <c r="E63" s="834">
        <v>0.5</v>
      </c>
      <c r="F63" s="821">
        <v>80</v>
      </c>
    </row>
    <row r="64" spans="1:8" s="817" customFormat="1" ht="36">
      <c r="A64" s="821">
        <v>4</v>
      </c>
      <c r="B64" s="3507"/>
      <c r="C64" s="757" t="s">
        <v>621</v>
      </c>
      <c r="D64" s="757" t="s">
        <v>622</v>
      </c>
      <c r="E64" s="834">
        <v>0.4</v>
      </c>
      <c r="F64" s="821">
        <v>60</v>
      </c>
    </row>
    <row r="65" spans="1:6" s="817" customFormat="1" ht="36">
      <c r="A65" s="821">
        <v>5</v>
      </c>
      <c r="B65" s="3507"/>
      <c r="C65" s="757" t="s">
        <v>623</v>
      </c>
      <c r="D65" s="757" t="s">
        <v>624</v>
      </c>
      <c r="E65" s="834">
        <v>0.2</v>
      </c>
      <c r="F65" s="821">
        <v>30</v>
      </c>
    </row>
    <row r="66" spans="1:6" s="817" customFormat="1" ht="36">
      <c r="A66" s="821">
        <v>6</v>
      </c>
      <c r="B66" s="3507"/>
      <c r="C66" s="757" t="s">
        <v>625</v>
      </c>
      <c r="D66" s="757" t="s">
        <v>626</v>
      </c>
      <c r="E66" s="834">
        <v>0.3</v>
      </c>
      <c r="F66" s="821">
        <v>50</v>
      </c>
    </row>
    <row r="67" spans="1:6" s="817" customFormat="1" ht="36">
      <c r="A67" s="821">
        <v>7</v>
      </c>
      <c r="B67" s="3507"/>
      <c r="C67" s="757" t="s">
        <v>627</v>
      </c>
      <c r="D67" s="757" t="s">
        <v>628</v>
      </c>
      <c r="E67" s="834">
        <v>0.2</v>
      </c>
      <c r="F67" s="821">
        <v>30</v>
      </c>
    </row>
    <row r="68" spans="1:6" s="817" customFormat="1" ht="36">
      <c r="A68" s="821">
        <v>8</v>
      </c>
      <c r="B68" s="3507"/>
      <c r="C68" s="757" t="s">
        <v>629</v>
      </c>
      <c r="D68" s="757" t="s">
        <v>630</v>
      </c>
      <c r="E68" s="834">
        <v>0.2</v>
      </c>
      <c r="F68" s="821">
        <v>30</v>
      </c>
    </row>
    <row r="69" spans="1:6" s="817" customFormat="1" ht="36">
      <c r="A69" s="821">
        <v>9</v>
      </c>
      <c r="B69" s="3507"/>
      <c r="C69" s="757" t="s">
        <v>631</v>
      </c>
      <c r="D69" s="757" t="s">
        <v>632</v>
      </c>
      <c r="E69" s="834">
        <v>0.2</v>
      </c>
      <c r="F69" s="821">
        <v>30</v>
      </c>
    </row>
    <row r="70" spans="1:6" s="817" customFormat="1" ht="48">
      <c r="A70" s="821">
        <v>10</v>
      </c>
      <c r="B70" s="3507"/>
      <c r="C70" s="757" t="s">
        <v>633</v>
      </c>
      <c r="D70" s="757" t="s">
        <v>634</v>
      </c>
      <c r="E70" s="834">
        <v>0.2</v>
      </c>
      <c r="F70" s="821">
        <v>30</v>
      </c>
    </row>
    <row r="71" spans="1:6" s="817" customFormat="1" ht="48">
      <c r="A71" s="821">
        <v>11</v>
      </c>
      <c r="B71" s="3507"/>
      <c r="C71" s="757" t="s">
        <v>635</v>
      </c>
      <c r="D71" s="757" t="s">
        <v>636</v>
      </c>
      <c r="E71" s="834">
        <v>0.2</v>
      </c>
      <c r="F71" s="821">
        <v>30</v>
      </c>
    </row>
    <row r="72" spans="1:6" s="817" customFormat="1" ht="36">
      <c r="A72" s="821">
        <v>12</v>
      </c>
      <c r="B72" s="3507"/>
      <c r="C72" s="757" t="s">
        <v>637</v>
      </c>
      <c r="D72" s="757" t="s">
        <v>638</v>
      </c>
      <c r="E72" s="834">
        <v>0.5</v>
      </c>
      <c r="F72" s="821">
        <v>80</v>
      </c>
    </row>
    <row r="73" spans="1:6" s="817" customFormat="1" ht="24">
      <c r="A73" s="821">
        <v>13</v>
      </c>
      <c r="B73" s="3507"/>
      <c r="C73" s="757" t="s">
        <v>639</v>
      </c>
      <c r="D73" s="757" t="s">
        <v>640</v>
      </c>
      <c r="E73" s="834">
        <v>0.4</v>
      </c>
      <c r="F73" s="821">
        <v>60</v>
      </c>
    </row>
    <row r="74" spans="1:6" s="817" customFormat="1" ht="24">
      <c r="A74" s="821">
        <v>14</v>
      </c>
      <c r="B74" s="3507"/>
      <c r="C74" s="757" t="s">
        <v>641</v>
      </c>
      <c r="D74" s="757" t="s">
        <v>642</v>
      </c>
      <c r="E74" s="834">
        <v>0.2</v>
      </c>
      <c r="F74" s="821">
        <v>30</v>
      </c>
    </row>
    <row r="75" spans="1:6" s="817" customFormat="1" ht="24">
      <c r="A75" s="821">
        <v>15</v>
      </c>
      <c r="B75" s="3507"/>
      <c r="C75" s="757" t="s">
        <v>643</v>
      </c>
      <c r="D75" s="757" t="s">
        <v>644</v>
      </c>
      <c r="E75" s="834">
        <v>0.2</v>
      </c>
      <c r="F75" s="821">
        <v>30</v>
      </c>
    </row>
    <row r="76" spans="1:6" s="817" customFormat="1" ht="24">
      <c r="A76" s="821">
        <v>16</v>
      </c>
      <c r="B76" s="3507" t="s">
        <v>645</v>
      </c>
      <c r="C76" s="757" t="s">
        <v>646</v>
      </c>
      <c r="D76" s="757" t="s">
        <v>647</v>
      </c>
      <c r="E76" s="834">
        <v>0.5</v>
      </c>
      <c r="F76" s="821">
        <v>80</v>
      </c>
    </row>
    <row r="77" spans="1:6" s="817" customFormat="1" ht="24">
      <c r="A77" s="821">
        <v>17</v>
      </c>
      <c r="B77" s="3507"/>
      <c r="C77" s="757" t="s">
        <v>648</v>
      </c>
      <c r="D77" s="757" t="s">
        <v>649</v>
      </c>
      <c r="E77" s="834">
        <v>0.5</v>
      </c>
      <c r="F77" s="821">
        <v>80</v>
      </c>
    </row>
    <row r="78" spans="1:6" s="817" customFormat="1" ht="24">
      <c r="A78" s="821">
        <v>18</v>
      </c>
      <c r="B78" s="3507"/>
      <c r="C78" s="757" t="s">
        <v>650</v>
      </c>
      <c r="D78" s="757" t="s">
        <v>651</v>
      </c>
      <c r="E78" s="834">
        <v>0.2</v>
      </c>
      <c r="F78" s="821">
        <v>30</v>
      </c>
    </row>
    <row r="79" spans="1:6" s="817" customFormat="1" ht="24">
      <c r="A79" s="821">
        <v>19</v>
      </c>
      <c r="B79" s="3507"/>
      <c r="C79" s="757" t="s">
        <v>652</v>
      </c>
      <c r="D79" s="757" t="s">
        <v>653</v>
      </c>
      <c r="E79" s="834">
        <v>0.5</v>
      </c>
      <c r="F79" s="821">
        <v>80</v>
      </c>
    </row>
    <row r="80" spans="1:6" s="817" customFormat="1" ht="36">
      <c r="A80" s="821">
        <v>20</v>
      </c>
      <c r="B80" s="3507"/>
      <c r="C80" s="757" t="s">
        <v>654</v>
      </c>
      <c r="D80" s="757" t="s">
        <v>655</v>
      </c>
      <c r="E80" s="834">
        <v>0.2</v>
      </c>
      <c r="F80" s="821">
        <v>30</v>
      </c>
    </row>
    <row r="81" spans="1:6" s="817" customFormat="1" ht="36">
      <c r="A81" s="821">
        <v>21</v>
      </c>
      <c r="B81" s="3507"/>
      <c r="C81" s="757" t="s">
        <v>656</v>
      </c>
      <c r="D81" s="757" t="s">
        <v>657</v>
      </c>
      <c r="E81" s="834">
        <v>0.2</v>
      </c>
      <c r="F81" s="821">
        <v>30</v>
      </c>
    </row>
    <row r="82" spans="1:6" s="817" customFormat="1" ht="48">
      <c r="A82" s="821">
        <v>22</v>
      </c>
      <c r="B82" s="3507"/>
      <c r="C82" s="757" t="s">
        <v>658</v>
      </c>
      <c r="D82" s="757" t="s">
        <v>659</v>
      </c>
      <c r="E82" s="834">
        <v>0.2</v>
      </c>
      <c r="F82" s="821">
        <v>30</v>
      </c>
    </row>
    <row r="83" spans="1:6" s="817" customFormat="1" ht="48">
      <c r="A83" s="821">
        <v>23</v>
      </c>
      <c r="B83" s="3507"/>
      <c r="C83" s="757" t="s">
        <v>660</v>
      </c>
      <c r="D83" s="757" t="s">
        <v>661</v>
      </c>
      <c r="E83" s="834">
        <v>0.2</v>
      </c>
      <c r="F83" s="821">
        <v>30</v>
      </c>
    </row>
    <row r="84" spans="1:6" s="817" customFormat="1" ht="36">
      <c r="A84" s="821">
        <v>24</v>
      </c>
      <c r="B84" s="3507"/>
      <c r="C84" s="757" t="s">
        <v>662</v>
      </c>
      <c r="D84" s="757" t="s">
        <v>663</v>
      </c>
      <c r="E84" s="834">
        <v>0.2</v>
      </c>
      <c r="F84" s="821">
        <v>30</v>
      </c>
    </row>
    <row r="85" spans="1:6" s="817" customFormat="1" ht="36">
      <c r="A85" s="821">
        <v>25</v>
      </c>
      <c r="B85" s="3507"/>
      <c r="C85" s="757" t="s">
        <v>664</v>
      </c>
      <c r="D85" s="757" t="s">
        <v>665</v>
      </c>
      <c r="E85" s="834">
        <v>0.5</v>
      </c>
      <c r="F85" s="821">
        <v>80</v>
      </c>
    </row>
    <row r="86" spans="1:6" s="817" customFormat="1" ht="36">
      <c r="A86" s="821">
        <v>26</v>
      </c>
      <c r="B86" s="3507"/>
      <c r="C86" s="757" t="s">
        <v>666</v>
      </c>
      <c r="D86" s="757" t="s">
        <v>667</v>
      </c>
      <c r="E86" s="834">
        <v>0.2</v>
      </c>
      <c r="F86" s="821">
        <v>30</v>
      </c>
    </row>
    <row r="87" spans="1:6" s="817" customFormat="1" ht="36">
      <c r="A87" s="821">
        <v>27</v>
      </c>
      <c r="B87" s="3507"/>
      <c r="C87" s="757" t="s">
        <v>668</v>
      </c>
      <c r="D87" s="757" t="s">
        <v>669</v>
      </c>
      <c r="E87" s="834">
        <v>0.2</v>
      </c>
      <c r="F87" s="821">
        <v>30</v>
      </c>
    </row>
    <row r="88" spans="1:6" s="817" customFormat="1" ht="36">
      <c r="A88" s="821">
        <v>28</v>
      </c>
      <c r="B88" s="3507"/>
      <c r="C88" s="757" t="s">
        <v>670</v>
      </c>
      <c r="D88" s="757" t="s">
        <v>671</v>
      </c>
      <c r="E88" s="834">
        <v>0.2</v>
      </c>
      <c r="F88" s="821">
        <v>30</v>
      </c>
    </row>
    <row r="89" spans="1:6" s="817" customFormat="1" ht="24">
      <c r="A89" s="821">
        <v>29</v>
      </c>
      <c r="B89" s="3507"/>
      <c r="C89" s="757" t="s">
        <v>672</v>
      </c>
      <c r="D89" s="757" t="s">
        <v>673</v>
      </c>
      <c r="E89" s="834">
        <v>0.2</v>
      </c>
      <c r="F89" s="821">
        <v>30</v>
      </c>
    </row>
    <row r="90" spans="1:6" s="817" customFormat="1" ht="24">
      <c r="A90" s="821">
        <v>30</v>
      </c>
      <c r="B90" s="3507"/>
      <c r="C90" s="757" t="s">
        <v>674</v>
      </c>
      <c r="D90" s="757" t="s">
        <v>675</v>
      </c>
      <c r="E90" s="834">
        <v>0.2</v>
      </c>
      <c r="F90" s="821">
        <v>30</v>
      </c>
    </row>
    <row r="91" spans="1:6" s="817" customFormat="1" ht="36">
      <c r="A91" s="821">
        <v>31</v>
      </c>
      <c r="B91" s="3507"/>
      <c r="C91" s="757" t="s">
        <v>676</v>
      </c>
      <c r="D91" s="757" t="s">
        <v>677</v>
      </c>
      <c r="E91" s="834">
        <v>0.2</v>
      </c>
      <c r="F91" s="821">
        <v>30</v>
      </c>
    </row>
    <row r="92" spans="1:6" s="817" customFormat="1" ht="24">
      <c r="A92" s="821">
        <v>32</v>
      </c>
      <c r="B92" s="3507" t="s">
        <v>678</v>
      </c>
      <c r="C92" s="821" t="s">
        <v>679</v>
      </c>
      <c r="D92" s="757" t="s">
        <v>680</v>
      </c>
      <c r="E92" s="834">
        <v>0.2</v>
      </c>
      <c r="F92" s="821">
        <v>30</v>
      </c>
    </row>
    <row r="93" spans="1:6" s="817" customFormat="1" ht="36">
      <c r="A93" s="821">
        <v>33</v>
      </c>
      <c r="B93" s="3507"/>
      <c r="C93" s="821" t="s">
        <v>681</v>
      </c>
      <c r="D93" s="757" t="s">
        <v>682</v>
      </c>
      <c r="E93" s="834">
        <v>0.2</v>
      </c>
      <c r="F93" s="821">
        <v>30</v>
      </c>
    </row>
    <row r="94" spans="1:6" s="817" customFormat="1" ht="48">
      <c r="A94" s="821">
        <v>34</v>
      </c>
      <c r="B94" s="3507"/>
      <c r="C94" s="821" t="s">
        <v>683</v>
      </c>
      <c r="D94" s="757" t="s">
        <v>684</v>
      </c>
      <c r="E94" s="834">
        <v>0.2</v>
      </c>
      <c r="F94" s="821">
        <v>30</v>
      </c>
    </row>
    <row r="95" spans="1:6" s="817" customFormat="1" ht="36">
      <c r="A95" s="821">
        <v>35</v>
      </c>
      <c r="B95" s="3507"/>
      <c r="C95" s="821" t="s">
        <v>685</v>
      </c>
      <c r="D95" s="757" t="s">
        <v>686</v>
      </c>
      <c r="E95" s="834">
        <v>0.2</v>
      </c>
      <c r="F95" s="821">
        <v>30</v>
      </c>
    </row>
    <row r="96" spans="1:6" s="817" customFormat="1" ht="48">
      <c r="A96" s="821">
        <v>36</v>
      </c>
      <c r="B96" s="3507"/>
      <c r="C96" s="757" t="s">
        <v>687</v>
      </c>
      <c r="D96" s="757" t="s">
        <v>688</v>
      </c>
      <c r="E96" s="834">
        <v>0.2</v>
      </c>
      <c r="F96" s="821">
        <v>30</v>
      </c>
    </row>
    <row r="97" spans="1:6" s="817" customFormat="1" ht="36">
      <c r="A97" s="821">
        <v>37</v>
      </c>
      <c r="B97" s="3507"/>
      <c r="C97" s="821" t="s">
        <v>689</v>
      </c>
      <c r="D97" s="757" t="s">
        <v>690</v>
      </c>
      <c r="E97" s="834">
        <v>0.2</v>
      </c>
      <c r="F97" s="821">
        <v>30</v>
      </c>
    </row>
    <row r="98" spans="1:6" s="817" customFormat="1" ht="36">
      <c r="A98" s="821">
        <v>38</v>
      </c>
      <c r="B98" s="3507"/>
      <c r="C98" s="821" t="s">
        <v>691</v>
      </c>
      <c r="D98" s="757" t="s">
        <v>692</v>
      </c>
      <c r="E98" s="834">
        <v>0.2</v>
      </c>
      <c r="F98" s="821">
        <v>30</v>
      </c>
    </row>
    <row r="99" spans="1:6" s="817" customFormat="1" ht="36">
      <c r="A99" s="821">
        <v>39</v>
      </c>
      <c r="B99" s="3507" t="s">
        <v>693</v>
      </c>
      <c r="C99" s="821" t="s">
        <v>694</v>
      </c>
      <c r="D99" s="757" t="s">
        <v>695</v>
      </c>
      <c r="E99" s="834">
        <v>0.3</v>
      </c>
      <c r="F99" s="821">
        <v>50</v>
      </c>
    </row>
    <row r="100" spans="1:6" s="817" customFormat="1" ht="24">
      <c r="A100" s="821">
        <v>40</v>
      </c>
      <c r="B100" s="3507"/>
      <c r="C100" s="821" t="s">
        <v>696</v>
      </c>
      <c r="D100" s="757" t="s">
        <v>697</v>
      </c>
      <c r="E100" s="834">
        <v>0.2</v>
      </c>
      <c r="F100" s="821">
        <v>30</v>
      </c>
    </row>
    <row r="101" spans="1:6" s="817" customFormat="1" ht="36">
      <c r="A101" s="821">
        <v>41</v>
      </c>
      <c r="B101" s="3507"/>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07" t="s">
        <v>708</v>
      </c>
      <c r="C105" s="821" t="s">
        <v>709</v>
      </c>
      <c r="D105" s="757" t="s">
        <v>710</v>
      </c>
      <c r="E105" s="834">
        <v>0.2</v>
      </c>
      <c r="F105" s="821">
        <v>30</v>
      </c>
    </row>
    <row r="106" spans="1:6" s="817" customFormat="1" ht="36">
      <c r="A106" s="821">
        <v>46</v>
      </c>
      <c r="B106" s="3507"/>
      <c r="C106" s="821" t="s">
        <v>711</v>
      </c>
      <c r="D106" s="757" t="s">
        <v>712</v>
      </c>
      <c r="E106" s="834">
        <v>0.2</v>
      </c>
      <c r="F106" s="821">
        <v>30</v>
      </c>
    </row>
    <row r="107" spans="1:6" s="817" customFormat="1" ht="36">
      <c r="A107" s="821">
        <v>47</v>
      </c>
      <c r="B107" s="3507" t="s">
        <v>713</v>
      </c>
      <c r="C107" s="821" t="s">
        <v>714</v>
      </c>
      <c r="D107" s="757" t="s">
        <v>715</v>
      </c>
      <c r="E107" s="834">
        <v>0.3</v>
      </c>
      <c r="F107" s="821">
        <v>50</v>
      </c>
    </row>
    <row r="108" spans="1:6" s="817" customFormat="1" ht="36">
      <c r="A108" s="821">
        <v>48</v>
      </c>
      <c r="B108" s="350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07" t="s">
        <v>724</v>
      </c>
      <c r="C111" s="821" t="s">
        <v>725</v>
      </c>
      <c r="D111" s="757" t="s">
        <v>726</v>
      </c>
      <c r="E111" s="834">
        <v>0.2</v>
      </c>
      <c r="F111" s="821">
        <v>30</v>
      </c>
    </row>
    <row r="112" spans="1:6" s="817" customFormat="1" ht="24">
      <c r="A112" s="821">
        <v>52</v>
      </c>
      <c r="B112" s="3507"/>
      <c r="C112" s="821" t="s">
        <v>727</v>
      </c>
      <c r="D112" s="757" t="s">
        <v>728</v>
      </c>
      <c r="E112" s="834">
        <v>0.2</v>
      </c>
      <c r="F112" s="821">
        <v>30</v>
      </c>
    </row>
    <row r="113" spans="1:6" s="817" customFormat="1" ht="24">
      <c r="A113" s="821">
        <v>53</v>
      </c>
      <c r="B113" s="3507"/>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07" t="s">
        <v>737</v>
      </c>
      <c r="C116" s="821" t="s">
        <v>738</v>
      </c>
      <c r="D116" s="757" t="s">
        <v>739</v>
      </c>
      <c r="E116" s="834">
        <v>0.2</v>
      </c>
      <c r="F116" s="821">
        <v>30</v>
      </c>
    </row>
    <row r="117" spans="1:6" ht="36">
      <c r="A117" s="821">
        <v>57</v>
      </c>
      <c r="B117" s="3507"/>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1.1200000000000001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2745</v>
      </c>
      <c r="B1" s="2333"/>
      <c r="C1" s="2333"/>
      <c r="D1" s="2333"/>
      <c r="E1" s="2333"/>
      <c r="F1" s="2973"/>
      <c r="G1" s="2973"/>
      <c r="H1" s="2973"/>
      <c r="I1" s="2973"/>
      <c r="J1" s="2973"/>
      <c r="K1" s="2973"/>
      <c r="L1" s="2973"/>
      <c r="M1" s="2973"/>
      <c r="N1" s="2973"/>
      <c r="O1" s="2973"/>
      <c r="P1" s="2973"/>
    </row>
    <row r="2" spans="1:16" ht="15.75">
      <c r="A2" s="2331" t="s">
        <v>2737</v>
      </c>
      <c r="B2" s="2777">
        <f ca="1">SUMIF(B6:B13,"&lt;&gt;#ref!",B6:B13)</f>
        <v>207</v>
      </c>
      <c r="C2" s="2331" t="s">
        <v>2738</v>
      </c>
      <c r="D2" s="2331" t="s">
        <v>2739</v>
      </c>
      <c r="E2" s="2787">
        <f ca="1">SUMIF(E6:E13,"&lt;&gt;#ref!",E6:E13)</f>
        <v>2555.66</v>
      </c>
      <c r="F2" s="2973"/>
      <c r="G2" s="2973"/>
      <c r="H2" s="2973"/>
      <c r="I2" s="2973"/>
      <c r="J2" s="2973"/>
      <c r="K2" s="2973"/>
      <c r="L2" s="2973"/>
      <c r="M2" s="2973"/>
      <c r="N2" s="2973"/>
      <c r="O2" s="2973"/>
      <c r="P2" s="2973"/>
    </row>
    <row r="3" spans="1:16" ht="15.75">
      <c r="A3" s="2331" t="s">
        <v>2740</v>
      </c>
      <c r="B3" s="2777">
        <f ca="1">ROUND(B2*10000/E2,0)</f>
        <v>810</v>
      </c>
      <c r="C3" s="2331" t="s">
        <v>2746</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2741</v>
      </c>
      <c r="B5" s="2785" t="s">
        <v>2742</v>
      </c>
      <c r="C5" s="2332"/>
      <c r="D5" s="2973"/>
      <c r="E5" s="2786" t="s">
        <v>2743</v>
      </c>
      <c r="F5" s="2973"/>
      <c r="G5" s="2973"/>
      <c r="H5" s="2973"/>
      <c r="I5" s="2973"/>
      <c r="J5" s="2973"/>
      <c r="K5" s="2973"/>
      <c r="L5" s="2973"/>
      <c r="M5" s="2973"/>
      <c r="N5" s="2973"/>
      <c r="O5" s="2973"/>
      <c r="P5" s="2973"/>
    </row>
    <row r="6" spans="1:16" ht="15.75">
      <c r="A6" s="2784" t="s">
        <v>2744</v>
      </c>
      <c r="B6" s="2777">
        <f ca="1">SUMIF(INDIRECT("'"&amp;A6&amp;"'"&amp;"!A:A"),"总价",INDIRECT("'"&amp;A6&amp;"'"&amp;"!B:B"))</f>
        <v>207</v>
      </c>
      <c r="C6" s="2331" t="s">
        <v>2738</v>
      </c>
      <c r="D6" s="2973"/>
      <c r="E6" s="2787">
        <f ca="1">SUMIF(INDIRECT("'"&amp;A6&amp;"'"&amp;"!C:C"),"建筑面积",INDIRECT("'"&amp;A6&amp;"'"&amp;"!D:D"))</f>
        <v>2555.66</v>
      </c>
      <c r="F6" s="2973"/>
      <c r="G6" s="2973"/>
      <c r="H6" s="2973"/>
      <c r="I6" s="2973"/>
      <c r="J6" s="2973"/>
      <c r="K6" s="2973"/>
      <c r="L6" s="2973"/>
      <c r="M6" s="2973"/>
      <c r="N6" s="2973"/>
      <c r="O6" s="2973"/>
      <c r="P6" s="2973"/>
    </row>
    <row r="7" spans="1:16" ht="15.75">
      <c r="A7" s="2784"/>
      <c r="B7" s="2777" t="e">
        <f ca="1">SUMIF(INDIRECT("'"&amp;A7&amp;"'"&amp;"!A:A"),"总价",INDIRECT("'"&amp;A7&amp;"'"&amp;"!B:B"))</f>
        <v>#REF!</v>
      </c>
      <c r="C7" s="2331" t="s">
        <v>2738</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31" t="s">
        <v>2738</v>
      </c>
      <c r="D8" s="2973"/>
      <c r="E8" s="2787" t="e">
        <f t="shared" ca="1" si="0"/>
        <v>#REF!</v>
      </c>
      <c r="F8" s="2973"/>
      <c r="G8" s="2973"/>
      <c r="H8" s="2973"/>
      <c r="I8" s="2973"/>
      <c r="J8" s="2973"/>
      <c r="K8" s="2973"/>
      <c r="L8" s="2973"/>
      <c r="M8" s="2973"/>
      <c r="N8" s="2973"/>
      <c r="O8" s="2973"/>
      <c r="P8" s="2973"/>
    </row>
    <row r="9" spans="1:16" ht="15.75">
      <c r="A9" s="2784"/>
      <c r="B9" s="2777" t="e">
        <f t="shared" ca="1" si="1"/>
        <v>#REF!</v>
      </c>
      <c r="C9" s="2331" t="s">
        <v>2738</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31" t="s">
        <v>2738</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31" t="s">
        <v>2738</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31" t="s">
        <v>2738</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31" t="s">
        <v>2738</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3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13" t="s">
        <v>1058</v>
      </c>
      <c r="C1" s="3513"/>
      <c r="D1" s="3513"/>
      <c r="E1" s="3513"/>
      <c r="F1" s="3513"/>
      <c r="G1" s="3512" t="s">
        <v>1059</v>
      </c>
      <c r="H1" s="3512"/>
      <c r="I1" s="3512"/>
      <c r="J1" s="3512"/>
      <c r="K1" s="3512"/>
      <c r="L1" s="3512"/>
      <c r="N1" s="3512" t="s">
        <v>1060</v>
      </c>
      <c r="O1" s="3512"/>
      <c r="P1" s="3512"/>
      <c r="Q1" s="3512"/>
      <c r="S1" s="3512" t="s">
        <v>1061</v>
      </c>
      <c r="T1" s="3512"/>
      <c r="U1" s="3512"/>
      <c r="V1" s="3512"/>
      <c r="X1" s="3511" t="s">
        <v>1062</v>
      </c>
      <c r="Y1" s="3512"/>
      <c r="Z1" s="3512"/>
      <c r="AA1" s="3512"/>
      <c r="AB1" s="3512"/>
      <c r="AD1" s="3511" t="s">
        <v>1063</v>
      </c>
      <c r="AE1" s="3512"/>
      <c r="AF1" s="3512"/>
      <c r="AG1" s="3512"/>
      <c r="AH1" s="3512"/>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2778</v>
      </c>
      <c r="B3" s="2365"/>
      <c r="C3" s="2365"/>
      <c r="D3" s="2366"/>
      <c r="E3" s="2366"/>
      <c r="F3" s="2365"/>
      <c r="G3" s="2367"/>
      <c r="H3" s="2368"/>
      <c r="I3" s="2369">
        <f>ROUND(AVERAGE($I4:$I37),2)</f>
        <v>1.61</v>
      </c>
      <c r="J3" s="2369">
        <f>ROUND(AVERAGE($J4:$J37),2)</f>
        <v>1.02</v>
      </c>
      <c r="K3" s="2369">
        <f>ROUND(AVERAGE($K4:$K37),2)</f>
        <v>1.77</v>
      </c>
      <c r="L3" s="2369">
        <f>ROUND(AVERAGE($L4:$L37),2)</f>
        <v>1.18</v>
      </c>
      <c r="N3" s="2367"/>
      <c r="S3" s="2367"/>
      <c r="W3" s="2371"/>
      <c r="X3" s="2372">
        <f>ROUND(SUMPRODUCT(PRODUCT(1+N3:N$36)),4)</f>
        <v>1.6415999999999999</v>
      </c>
      <c r="Y3" s="2372">
        <f>ROUND(SUMPRODUCT(PRODUCT(1+O3:O$36)),4)</f>
        <v>1.3644000000000001</v>
      </c>
      <c r="Z3" s="2372">
        <f t="shared" ref="Z3:Z34" si="0">Y3</f>
        <v>1.3644000000000001</v>
      </c>
      <c r="AA3" s="2372">
        <f>ROUND(SUMPRODUCT(PRODUCT(1+P3:P$36)),4)</f>
        <v>1.7232000000000001</v>
      </c>
      <c r="AB3" s="2372">
        <f>ROUND(SUMPRODUCT(PRODUCT(1+Q3:Q$36)),4)</f>
        <v>1.4529000000000001</v>
      </c>
      <c r="AD3" s="2373">
        <f>ROUND(AVERAGE(I3:I$37)/100,4)</f>
        <v>1.61E-2</v>
      </c>
      <c r="AE3" s="2373">
        <f>ROUND(AVERAGE(J3:J$37)/100,4)</f>
        <v>1.0200000000000001E-2</v>
      </c>
      <c r="AF3" s="2373">
        <f t="shared" ref="AF3:AF35" si="1">AE3</f>
        <v>1.0200000000000001E-2</v>
      </c>
      <c r="AG3" s="2373">
        <f>ROUND(AVERAGE(K3:K$37)/100,4)</f>
        <v>1.77E-2</v>
      </c>
      <c r="AH3" s="2373">
        <f>ROUND(AVERAGE(L3:L$37)/100,4)</f>
        <v>1.18E-2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3098</v>
      </c>
      <c r="B5" s="2383">
        <f t="shared" ref="B5" si="2">B6*(1+N5)</f>
        <v>504.87072809615569</v>
      </c>
      <c r="C5" s="2383">
        <f t="shared" ref="C5" si="3">C6*(1+O5)</f>
        <v>351.71182348101968</v>
      </c>
      <c r="D5" s="2383">
        <f t="shared" ref="D5" si="4">C5</f>
        <v>351.71182348101968</v>
      </c>
      <c r="E5" s="2383">
        <f t="shared" ref="E5" si="5">E6*(1+P5)</f>
        <v>728.75350858360832</v>
      </c>
      <c r="F5" s="2383">
        <f t="shared" ref="F5" si="6">F6*(1+Q5)</f>
        <v>334.04593931673656</v>
      </c>
      <c r="G5" s="3185">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2779</v>
      </c>
      <c r="X5" s="2391">
        <f>ROUND(IF(项目基本情况!B1="出让",SUMPRODUCT(PRODUCT(1+N5:N$37)),SUMPRODUCT(PRODUCT(1+N5:N$36))),4)</f>
        <v>1.6415999999999999</v>
      </c>
      <c r="Y5" s="2391">
        <f>ROUND(IF(项目基本情况!B1="出让",SUMPRODUCT(PRODUCT(1+O5:O$37)),SUMPRODUCT(PRODUCT(1+O5:O$36))),4)</f>
        <v>1.3644000000000001</v>
      </c>
      <c r="Z5" s="2391">
        <f t="shared" ref="Z5" si="11">Y5</f>
        <v>1.3644000000000001</v>
      </c>
      <c r="AA5" s="2391">
        <f>ROUND(IF(项目基本情况!B1="出让",SUMPRODUCT(PRODUCT(1+P5:P$37)),SUMPRODUCT(PRODUCT(1+P5:P$36))),4)</f>
        <v>1.7232000000000001</v>
      </c>
      <c r="AB5" s="2391">
        <f>ROUND(IF(项目基本情况!B1="出让",SUMPRODUCT(PRODUCT(1+Q5:Q$37)),SUMPRODUCT(PRODUCT(1+Q5:Q$36))),4)</f>
        <v>1.4529000000000001</v>
      </c>
      <c r="AD5" s="2392">
        <f>ROUND(AVERAGE(I5:I$37)/100,4)</f>
        <v>1.61E-2</v>
      </c>
      <c r="AE5" s="2392">
        <f>ROUND(AVERAGE(J5:J$37)/100,4)</f>
        <v>1.0200000000000001E-2</v>
      </c>
      <c r="AF5" s="2392">
        <f t="shared" ref="AF5" si="12">AE5</f>
        <v>1.0200000000000001E-2</v>
      </c>
      <c r="AG5" s="2392">
        <f>ROUND(AVERAGE(K5:K$37)/100,4)</f>
        <v>1.77E-2</v>
      </c>
      <c r="AH5" s="2392">
        <f>ROUND(AVERAGE(L5:L$37)/100,4)</f>
        <v>1.18E-2</v>
      </c>
    </row>
    <row r="6" spans="1:34" s="2400" customFormat="1">
      <c r="A6" s="2393" t="s">
        <v>3097</v>
      </c>
      <c r="B6" s="2394">
        <f t="shared" ref="B6" si="13">B7*(1+N6)</f>
        <v>504.87072809615569</v>
      </c>
      <c r="C6" s="2394">
        <f t="shared" ref="C6" si="14">C7*(1+O6)</f>
        <v>351.71182348101968</v>
      </c>
      <c r="D6" s="2394">
        <f t="shared" ref="D6" si="15">C6</f>
        <v>351.71182348101968</v>
      </c>
      <c r="E6" s="2394">
        <f t="shared" ref="E6" si="16">E7*(1+P6)</f>
        <v>728.75350858360832</v>
      </c>
      <c r="F6" s="2394">
        <f t="shared" ref="F6" si="17">F7*(1+Q6)</f>
        <v>334.04593931673656</v>
      </c>
      <c r="G6" s="3185">
        <v>2021</v>
      </c>
      <c r="H6" s="2395">
        <v>4</v>
      </c>
      <c r="I6" s="2357">
        <v>0</v>
      </c>
      <c r="J6" s="2357">
        <v>0</v>
      </c>
      <c r="K6" s="2357">
        <v>0</v>
      </c>
      <c r="L6" s="2358">
        <v>0</v>
      </c>
      <c r="M6" s="2380"/>
      <c r="N6" s="2396">
        <f t="shared" ref="N6" si="18">I6/100</f>
        <v>0</v>
      </c>
      <c r="O6" s="2381">
        <f t="shared" ref="O6" si="19">J6/100</f>
        <v>0</v>
      </c>
      <c r="P6" s="2381">
        <f t="shared" ref="P6" si="20">K6/100</f>
        <v>0</v>
      </c>
      <c r="Q6" s="2381">
        <f t="shared" ref="Q6" si="21">L6/100</f>
        <v>0</v>
      </c>
      <c r="R6" s="2397"/>
      <c r="S6" s="2396"/>
      <c r="T6" s="2381"/>
      <c r="U6" s="2381"/>
      <c r="V6" s="2381"/>
      <c r="W6" s="2398"/>
      <c r="X6" s="2398">
        <f>ROUND(IF(项目基本情况!B2="出让",SUMPRODUCT(PRODUCT(1+N6:N$37)),SUMPRODUCT(PRODUCT(1+N6:N$36))),4)</f>
        <v>1.6415999999999999</v>
      </c>
      <c r="Y6" s="2398">
        <f>ROUND(IF(项目基本情况!B2="出让",SUMPRODUCT(PRODUCT(1+O6:O$37)),SUMPRODUCT(PRODUCT(1+O6:O$36))),4)</f>
        <v>1.3644000000000001</v>
      </c>
      <c r="Z6" s="2398">
        <f t="shared" ref="Z6" si="22">Y6</f>
        <v>1.3644000000000001</v>
      </c>
      <c r="AA6" s="2398">
        <f>ROUND(IF(项目基本情况!B2="出让",SUMPRODUCT(PRODUCT(1+P6:P$37)),SUMPRODUCT(PRODUCT(1+P6:P$36))),4)</f>
        <v>1.7232000000000001</v>
      </c>
      <c r="AB6" s="2398">
        <f>ROUND(IF(项目基本情况!B2="出让",SUMPRODUCT(PRODUCT(1+Q6:Q$37)),SUMPRODUCT(PRODUCT(1+Q6:Q$36))),4)</f>
        <v>1.4529000000000001</v>
      </c>
      <c r="AC6" s="2398"/>
      <c r="AD6" s="2399">
        <f>ROUND(AVERAGE(I6:I$37)/100,4)</f>
        <v>1.66E-2</v>
      </c>
      <c r="AE6" s="2399">
        <f>ROUND(AVERAGE(J6:J$37)/100,4)</f>
        <v>1.0500000000000001E-2</v>
      </c>
      <c r="AF6" s="2399">
        <f t="shared" ref="AF6" si="23">AE6</f>
        <v>1.0500000000000001E-2</v>
      </c>
      <c r="AG6" s="2399">
        <f>ROUND(AVERAGE(K6:K$37)/100,4)</f>
        <v>1.83E-2</v>
      </c>
      <c r="AH6" s="2399">
        <f>ROUND(AVERAGE(L6:L$37)/100,4)</f>
        <v>1.2200000000000001E-2</v>
      </c>
    </row>
    <row r="7" spans="1:34" s="2400" customFormat="1">
      <c r="A7" s="2393" t="s">
        <v>2974</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10">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2973</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09">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2972</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2993">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2970</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2992">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2969</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2989">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2795</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2793</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2792</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2791</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2789</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2787</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2790</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09">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2785</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09"/>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2784</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09"/>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2777</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18"/>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2775</v>
      </c>
      <c r="B22" s="2408">
        <v>439</v>
      </c>
      <c r="C22" s="2408">
        <v>327</v>
      </c>
      <c r="D22" s="2408">
        <f>C22</f>
        <v>327</v>
      </c>
      <c r="E22" s="2408">
        <v>627</v>
      </c>
      <c r="F22" s="2409">
        <v>283</v>
      </c>
      <c r="G22" s="3514">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2776</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09"/>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09"/>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18"/>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14">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09"/>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09"/>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10"/>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08">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09"/>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09"/>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10"/>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08">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09"/>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09"/>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10"/>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15">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16"/>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16"/>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17"/>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08">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09"/>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09"/>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10"/>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08">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09">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09">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10">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08">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09">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09">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10">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08">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09">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09">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10">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08">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09">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09">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10">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08">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09">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09">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10">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08">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09">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09">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10">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08">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09">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09">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10">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08">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09">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09">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10">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08">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09">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09">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10">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08">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09">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09">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10">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3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2747</v>
      </c>
      <c r="C1" s="3522" t="s">
        <v>2748</v>
      </c>
      <c r="D1" s="3523"/>
      <c r="E1" s="3523"/>
      <c r="F1" s="3523"/>
      <c r="G1" s="3523"/>
      <c r="H1" s="3523"/>
      <c r="I1" s="3523"/>
      <c r="J1" s="3523"/>
      <c r="K1" s="3523"/>
      <c r="L1" s="3523"/>
      <c r="M1" s="3523"/>
      <c r="N1" s="3523"/>
      <c r="O1" s="3523"/>
      <c r="P1" s="3523"/>
      <c r="Q1" s="3523"/>
      <c r="R1" s="3523"/>
      <c r="S1" s="3524"/>
      <c r="T1" s="1114" t="s">
        <v>2749</v>
      </c>
    </row>
    <row r="2" spans="1:45" s="663" customFormat="1">
      <c r="A2" s="1115"/>
      <c r="B2" s="659" t="s">
        <v>2750</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2751</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2752</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2753</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2754</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2755</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2756</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2757</v>
      </c>
      <c r="B17" s="2335" t="s">
        <v>2758</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2759</v>
      </c>
      <c r="E19" s="1494"/>
      <c r="F19" s="1494"/>
      <c r="G19" s="1494"/>
      <c r="H19" s="1190"/>
      <c r="I19" s="164"/>
      <c r="J19" s="164"/>
      <c r="K19" s="164"/>
      <c r="L19" s="164"/>
      <c r="M19" s="164"/>
      <c r="N19" s="164"/>
      <c r="O19" s="164"/>
      <c r="P19" s="164"/>
      <c r="Q19" s="164"/>
      <c r="R19" s="727"/>
      <c r="S19" s="134"/>
    </row>
    <row r="20" spans="1:45" ht="16.5" thickBot="1">
      <c r="A20" s="671" t="s">
        <v>2760</v>
      </c>
      <c r="B20" s="300" t="e">
        <f ca="1">IF(D20="——",S22,S22-F20)</f>
        <v>#REF!</v>
      </c>
      <c r="C20" s="164"/>
      <c r="D20" s="2337"/>
      <c r="E20" s="1495"/>
      <c r="F20" s="1114" t="e">
        <f ca="1">SUMIF(INDIRECT("'"&amp;H20&amp;"'"&amp;"!A:A"),"承租人权益价值",INDIRECT("'"&amp;H20&amp;"'"&amp;"!c:c"))</f>
        <v>#REF!</v>
      </c>
      <c r="G20" s="1114" t="s">
        <v>2761</v>
      </c>
      <c r="H20" s="2338"/>
      <c r="I20" s="164"/>
      <c r="J20" s="164"/>
      <c r="K20" s="164"/>
      <c r="L20" s="164"/>
      <c r="M20" s="164"/>
      <c r="N20" s="164"/>
      <c r="O20" s="164"/>
      <c r="P20" s="164"/>
      <c r="Q20" s="164"/>
      <c r="R20" s="727"/>
      <c r="S20" s="134"/>
    </row>
    <row r="21" spans="1:45" ht="15.75">
      <c r="A21" s="671" t="s">
        <v>2762</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2763</v>
      </c>
      <c r="B22" s="24">
        <f>SUM(B24:B10000)</f>
        <v>100</v>
      </c>
      <c r="C22" s="3519" t="s">
        <v>33</v>
      </c>
      <c r="D22" s="3520"/>
      <c r="E22" s="3520"/>
      <c r="F22" s="3520"/>
      <c r="G22" s="3520"/>
      <c r="H22" s="3520"/>
      <c r="I22" s="3520"/>
      <c r="J22" s="3520"/>
      <c r="K22" s="3520"/>
      <c r="L22" s="3520"/>
      <c r="M22" s="3520"/>
      <c r="N22" s="3520"/>
      <c r="O22" s="3520"/>
      <c r="P22" s="3520"/>
      <c r="Q22" s="3521"/>
      <c r="R22" s="672">
        <f>ROUND(S22*10000/B22,0)</f>
        <v>10000</v>
      </c>
      <c r="S22" s="24">
        <f>SUM(S24:S10000)</f>
        <v>100</v>
      </c>
    </row>
    <row r="23" spans="1:45" s="12" customFormat="1" ht="24">
      <c r="A23" s="11" t="s">
        <v>2764</v>
      </c>
      <c r="B23" s="11" t="s">
        <v>2765</v>
      </c>
      <c r="C23" s="11" t="s">
        <v>2766</v>
      </c>
      <c r="D23" s="11" t="str">
        <f>B5</f>
        <v>修正项2</v>
      </c>
      <c r="E23" s="11" t="s">
        <v>2766</v>
      </c>
      <c r="F23" s="11" t="str">
        <f>B7</f>
        <v>修正项3</v>
      </c>
      <c r="G23" s="11" t="s">
        <v>2766</v>
      </c>
      <c r="H23" s="11" t="str">
        <f>B9</f>
        <v>修正项4</v>
      </c>
      <c r="I23" s="11" t="s">
        <v>2766</v>
      </c>
      <c r="J23" s="11" t="str">
        <f>B11</f>
        <v>修正项5</v>
      </c>
      <c r="K23" s="11" t="s">
        <v>2766</v>
      </c>
      <c r="L23" s="11" t="str">
        <f>B13</f>
        <v>修正项6</v>
      </c>
      <c r="M23" s="11" t="s">
        <v>2766</v>
      </c>
      <c r="N23" s="11" t="str">
        <f>B15</f>
        <v>修正项7</v>
      </c>
      <c r="O23" s="11" t="s">
        <v>2766</v>
      </c>
      <c r="P23" s="11" t="str">
        <f>B17</f>
        <v>楼层</v>
      </c>
      <c r="Q23" s="11" t="s">
        <v>2766</v>
      </c>
      <c r="R23" s="673" t="s">
        <v>2767</v>
      </c>
      <c r="S23" s="11" t="s">
        <v>2768</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2769</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27037</v>
      </c>
      <c r="C2" s="2" t="s">
        <v>133</v>
      </c>
      <c r="D2" s="205"/>
      <c r="E2" s="205"/>
      <c r="F2" s="205"/>
      <c r="G2" s="205"/>
    </row>
    <row r="3" spans="1:7" s="206" customFormat="1" ht="18" customHeight="1" thickBot="1">
      <c r="A3" s="209" t="s">
        <v>85</v>
      </c>
      <c r="B3" s="210">
        <f ca="1">ROUND(B2*10000/'数据-汇总表'!E3,0)</f>
        <v>105793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49</v>
      </c>
      <c r="D10" s="954">
        <f>'数据-汇总表'!E6</f>
        <v>2555.66</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51</v>
      </c>
      <c r="D19" s="958">
        <f>'数据-汇总表'!E3</f>
        <v>2555.66</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877</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2</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2107</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2107</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26002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985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894</v>
      </c>
      <c r="D34" s="223"/>
      <c r="E34" s="226"/>
      <c r="F34" s="263">
        <f>IF('数据-取费表'!B24=0,1,'数据-取费表'!N16)</f>
        <v>1</v>
      </c>
      <c r="G34" s="225" t="s">
        <v>116</v>
      </c>
    </row>
    <row r="35" spans="1:7" ht="13.5" customHeight="1">
      <c r="A35" s="888" t="s">
        <v>796</v>
      </c>
      <c r="B35" s="221" t="s">
        <v>60</v>
      </c>
      <c r="C35" s="226">
        <f>ROUND(C34*F35,0)</f>
        <v>27</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51</v>
      </c>
      <c r="D37" s="223">
        <f>'数据-汇总表'!E3</f>
        <v>2555.66</v>
      </c>
      <c r="E37" s="255">
        <f>'数据-取费表'!B35</f>
        <v>200</v>
      </c>
      <c r="F37" s="265"/>
      <c r="G37" s="267" t="s">
        <v>119</v>
      </c>
    </row>
    <row r="38" spans="1:7" ht="13.5" customHeight="1">
      <c r="A38" s="888" t="s">
        <v>799</v>
      </c>
      <c r="B38" s="221" t="s">
        <v>63</v>
      </c>
      <c r="C38" s="226">
        <f>ROUND(C34*F38,0)</f>
        <v>13</v>
      </c>
      <c r="D38" s="226"/>
      <c r="E38" s="226"/>
      <c r="F38" s="265">
        <f>'数据-取费表'!B36</f>
        <v>1.4999999999999999E-2</v>
      </c>
      <c r="G38" s="225" t="s">
        <v>117</v>
      </c>
    </row>
    <row r="39" spans="1:7" s="220" customFormat="1" ht="13.5" customHeight="1">
      <c r="A39" s="885" t="s">
        <v>783</v>
      </c>
      <c r="B39" s="216" t="s">
        <v>104</v>
      </c>
      <c r="C39" s="238">
        <f>ROUND(C33*F20,0)</f>
        <v>20</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21</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21</v>
      </c>
      <c r="D42" s="244"/>
      <c r="E42" s="244"/>
      <c r="F42" s="245"/>
      <c r="G42" s="3426" t="s">
        <v>121</v>
      </c>
    </row>
    <row r="43" spans="1:7" ht="13.5" customHeight="1">
      <c r="A43" s="888" t="s">
        <v>792</v>
      </c>
      <c r="B43" s="221" t="s">
        <v>1032</v>
      </c>
      <c r="C43" s="244">
        <f ca="1">ROUND(IF('数据-取费表'!B22&lt;=1,C39*F22*'数据-取费表'!B21/2,C39*(POWER((1+F22),'数据-取费表'!B21/2)-1)),0)</f>
        <v>0</v>
      </c>
      <c r="D43" s="244"/>
      <c r="E43" s="244"/>
      <c r="F43" s="245"/>
      <c r="G43" s="3427"/>
    </row>
    <row r="44" spans="1:7" ht="13.5" customHeight="1">
      <c r="A44" s="888" t="s">
        <v>793</v>
      </c>
      <c r="B44" s="221" t="s">
        <v>1034</v>
      </c>
      <c r="C44" s="244">
        <f ca="1">ROUND(IF('数据-取费表'!B22&lt;=1,C40*F22*'数据-取费表'!B21/2,C40*(POWER((1+F22),'数据-取费表'!B21/2)-1)),4)</f>
        <v>4.0000000000000002E-4</v>
      </c>
      <c r="D44" s="244"/>
      <c r="E44" s="244"/>
      <c r="F44" s="245"/>
      <c r="G44" s="3428"/>
    </row>
    <row r="45" spans="1:7" s="220" customFormat="1" ht="13.5" customHeight="1">
      <c r="A45" s="885" t="s">
        <v>786</v>
      </c>
      <c r="B45" s="250" t="s">
        <v>112</v>
      </c>
      <c r="C45" s="251">
        <f>C46</f>
        <v>101</v>
      </c>
      <c r="D45" s="241">
        <f>C47</f>
        <v>2E-3</v>
      </c>
      <c r="E45" s="242" t="s">
        <v>129</v>
      </c>
      <c r="F45" s="252"/>
      <c r="G45" s="253" t="s">
        <v>1040</v>
      </c>
    </row>
    <row r="46" spans="1:7" s="220" customFormat="1" ht="13.5" customHeight="1">
      <c r="A46" s="888" t="s">
        <v>794</v>
      </c>
      <c r="B46" s="254" t="s">
        <v>1033</v>
      </c>
      <c r="C46" s="255">
        <f>ROUND((C33+C39)*F27,0)</f>
        <v>101</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1218</v>
      </c>
      <c r="D49" s="238"/>
      <c r="E49" s="238"/>
      <c r="F49" s="270"/>
      <c r="G49" s="240" t="s">
        <v>1041</v>
      </c>
    </row>
    <row r="50" spans="1:7" s="264" customFormat="1" ht="24">
      <c r="A50" s="885" t="s">
        <v>789</v>
      </c>
      <c r="B50" s="216" t="s">
        <v>124</v>
      </c>
      <c r="C50" s="238"/>
      <c r="D50" s="238"/>
      <c r="E50" s="238"/>
      <c r="F50" s="270">
        <f>IF('数据-取费表'!B24=0,'数据-取费表'!N16,1)</f>
        <v>0.85</v>
      </c>
      <c r="G50" s="253" t="s">
        <v>125</v>
      </c>
    </row>
    <row r="51" spans="1:7" ht="16.5" customHeight="1">
      <c r="A51" s="885" t="s">
        <v>790</v>
      </c>
      <c r="B51" s="216" t="s">
        <v>132</v>
      </c>
      <c r="C51" s="238">
        <f ca="1">ROUND(C49*F50,0)</f>
        <v>1035</v>
      </c>
      <c r="D51" s="238"/>
      <c r="E51" s="238"/>
      <c r="F51" s="270"/>
      <c r="G51" s="240" t="s">
        <v>64</v>
      </c>
    </row>
    <row r="52" spans="1:7" s="214" customFormat="1" ht="16.5" thickBot="1">
      <c r="A52" s="271" t="s">
        <v>65</v>
      </c>
      <c r="B52" s="272"/>
      <c r="C52" s="273">
        <f ca="1">C31+C51</f>
        <v>27037</v>
      </c>
      <c r="D52" s="272"/>
      <c r="E52" s="272"/>
      <c r="F52" s="272"/>
      <c r="G52" s="274"/>
    </row>
    <row r="55" spans="1:7" ht="15">
      <c r="B55" s="276" t="s">
        <v>66</v>
      </c>
      <c r="C55" s="277"/>
    </row>
    <row r="56" spans="1:7">
      <c r="B56" s="279" t="s">
        <v>67</v>
      </c>
      <c r="C56" s="280">
        <f ca="1">ROUND(C51/C52,3)</f>
        <v>3.7999999999999999E-2</v>
      </c>
    </row>
    <row r="57" spans="1:7">
      <c r="B57" s="279" t="s">
        <v>68</v>
      </c>
      <c r="C57" s="281">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25" t="s">
        <v>156</v>
      </c>
      <c r="B1" s="3525"/>
      <c r="C1" s="3525"/>
      <c r="D1" s="3525"/>
      <c r="E1" s="3525"/>
      <c r="F1" s="352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26" t="s">
        <v>169</v>
      </c>
      <c r="B2" s="3526"/>
      <c r="C2" s="3526"/>
      <c r="D2" s="3526"/>
      <c r="E2" s="3526"/>
      <c r="F2" s="352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2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2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25" t="s">
        <v>839</v>
      </c>
      <c r="B1" s="3525"/>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44628</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01">
        <v>44581</v>
      </c>
      <c r="D13" s="3002">
        <v>3.7</v>
      </c>
      <c r="E13" s="3002">
        <f>D13</f>
        <v>3.7</v>
      </c>
      <c r="F13" s="3002">
        <f>D13</f>
        <v>3.7</v>
      </c>
      <c r="G13" s="3002">
        <f>D13</f>
        <v>3.7</v>
      </c>
      <c r="H13" s="3002">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2997"/>
      <c r="C14" s="2998">
        <v>44550</v>
      </c>
      <c r="D14" s="2997">
        <v>3.8</v>
      </c>
      <c r="E14" s="2997">
        <f>D14</f>
        <v>3.8</v>
      </c>
      <c r="F14" s="2997">
        <f>D14</f>
        <v>3.8</v>
      </c>
      <c r="G14" s="2997">
        <f>D14</f>
        <v>3.8</v>
      </c>
      <c r="H14" s="2997">
        <v>4.6500000000000004</v>
      </c>
      <c r="I14" s="2997"/>
      <c r="J14" s="3002"/>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2997"/>
      <c r="C15" s="2998">
        <v>43941</v>
      </c>
      <c r="D15" s="2997">
        <v>3.85</v>
      </c>
      <c r="E15" s="2997">
        <v>3.85</v>
      </c>
      <c r="F15" s="2997">
        <v>3.85</v>
      </c>
      <c r="G15" s="2997">
        <v>3.85</v>
      </c>
      <c r="H15" s="2997">
        <v>4.6500000000000004</v>
      </c>
      <c r="I15" s="2997"/>
      <c r="J15" s="299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2997"/>
      <c r="C16" s="2998">
        <v>43881</v>
      </c>
      <c r="D16" s="2997">
        <v>4.05</v>
      </c>
      <c r="E16" s="2997">
        <v>4.05</v>
      </c>
      <c r="F16" s="2997">
        <v>4.05</v>
      </c>
      <c r="G16" s="2997">
        <v>4.05</v>
      </c>
      <c r="H16" s="2997">
        <v>4.75</v>
      </c>
      <c r="I16" s="2997"/>
      <c r="J16" s="299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2997"/>
      <c r="C17" s="2998">
        <v>43789</v>
      </c>
      <c r="D17" s="2997">
        <v>4.1500000000000004</v>
      </c>
      <c r="E17" s="2997">
        <v>4.1500000000000004</v>
      </c>
      <c r="F17" s="2997">
        <v>4.1500000000000004</v>
      </c>
      <c r="G17" s="2997">
        <v>4.1500000000000004</v>
      </c>
      <c r="H17" s="2997">
        <v>4.8</v>
      </c>
      <c r="I17" s="2997"/>
      <c r="J17" s="2997"/>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2997"/>
      <c r="C18" s="2998">
        <v>43728</v>
      </c>
      <c r="D18" s="2997">
        <v>4.2</v>
      </c>
      <c r="E18" s="2997">
        <v>4.2</v>
      </c>
      <c r="F18" s="2997">
        <v>4.2</v>
      </c>
      <c r="G18" s="2997">
        <v>4.2</v>
      </c>
      <c r="H18" s="2997">
        <v>4.8499999999999996</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24"/>
      <c r="B19" s="2996" t="s">
        <v>2971</v>
      </c>
      <c r="C19" s="2999">
        <v>43697</v>
      </c>
      <c r="D19" s="3000">
        <v>4.25</v>
      </c>
      <c r="E19" s="3000">
        <v>4.25</v>
      </c>
      <c r="F19" s="3000">
        <v>4.25</v>
      </c>
      <c r="G19" s="3000">
        <v>4.25</v>
      </c>
      <c r="H19" s="3000">
        <v>4.8499999999999996</v>
      </c>
      <c r="I19" s="3000"/>
      <c r="J19" s="3000"/>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03"/>
      <c r="B20" s="3004"/>
      <c r="C20" s="3005">
        <v>42301</v>
      </c>
      <c r="D20" s="3006">
        <v>4.3499999999999996</v>
      </c>
      <c r="E20" s="3006">
        <v>4.3499999999999996</v>
      </c>
      <c r="F20" s="3006">
        <v>4.75</v>
      </c>
      <c r="G20" s="3006">
        <v>4.75</v>
      </c>
      <c r="H20" s="3006">
        <v>4.9000000000000004</v>
      </c>
      <c r="I20" s="3006"/>
      <c r="J20" s="3006"/>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3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3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比较案例</vt:lpstr>
      <vt:lpstr>收益法</vt:lpstr>
      <vt:lpstr>成本法</vt:lpstr>
      <vt:lpstr>基准地价修正</vt:lpstr>
      <vt:lpstr>成本法 (元)</vt:lpstr>
      <vt:lpstr>假设开发法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2024-03-11T09:08:22Z</dcterms:modified>
</cp:coreProperties>
</file>