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79" r:id="rId20"/>
    <sheet name="收益法" sheetId="15" r:id="rId21"/>
    <sheet name="广源四层台账" sheetId="78"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1" hidden="1">广源四层台账!#REF!</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4" i="78" l="1"/>
  <c r="X4" i="79" l="1"/>
  <c r="X5" i="79"/>
  <c r="X6" i="79"/>
  <c r="W6" i="79"/>
  <c r="G24" i="78"/>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H22" i="78"/>
  <c r="G22" i="78"/>
  <c r="D22" i="78"/>
  <c r="H20" i="78"/>
  <c r="H19" i="78"/>
  <c r="H18" i="78"/>
  <c r="H17" i="78"/>
  <c r="H16" i="78"/>
  <c r="D16" i="78"/>
  <c r="H15" i="78"/>
  <c r="H14" i="78"/>
  <c r="H13" i="78"/>
  <c r="H12" i="78"/>
  <c r="H11" i="78"/>
  <c r="H10" i="78"/>
  <c r="H9" i="78"/>
  <c r="H8" i="78"/>
  <c r="H7" i="78"/>
  <c r="H6" i="78"/>
  <c r="H5" i="78"/>
  <c r="H4" i="78"/>
  <c r="H3" i="78"/>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W5" i="79"/>
  <c r="W4" i="79"/>
  <c r="X3" i="79"/>
  <c r="W3" i="79"/>
  <c r="B131" i="34"/>
  <c r="B129" i="34"/>
  <c r="B127" i="34"/>
  <c r="D126" i="34"/>
  <c r="E126" i="34" s="1"/>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E112" i="34"/>
  <c r="F112" i="34" s="1"/>
  <c r="G112" i="34" s="1"/>
  <c r="H112" i="34" s="1"/>
  <c r="I112" i="34" s="1"/>
  <c r="J112" i="34" s="1"/>
  <c r="K112" i="34" s="1"/>
  <c r="L112" i="34" s="1"/>
  <c r="M112" i="34" s="1"/>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AB43" i="34"/>
  <c r="Z43" i="34"/>
  <c r="U43" i="34"/>
  <c r="Q43" i="34"/>
  <c r="J43" i="34"/>
  <c r="AC43" i="34" s="1"/>
  <c r="H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Z37" i="34"/>
  <c r="Q37" i="34"/>
  <c r="H37" i="34"/>
  <c r="AB37" i="34" s="1"/>
  <c r="AC36" i="34"/>
  <c r="AB36" i="34"/>
  <c r="AA36" i="34"/>
  <c r="Z36" i="34"/>
  <c r="W36" i="34"/>
  <c r="U36" i="34"/>
  <c r="S36" i="34"/>
  <c r="Q36" i="34"/>
  <c r="J36" i="34"/>
  <c r="H36" i="34"/>
  <c r="F36" i="34"/>
  <c r="AC35" i="34"/>
  <c r="AB35" i="34"/>
  <c r="AA35" i="34"/>
  <c r="Z35" i="34"/>
  <c r="W35" i="34"/>
  <c r="U35" i="34"/>
  <c r="S35" i="34"/>
  <c r="Q35" i="34"/>
  <c r="J35" i="34"/>
  <c r="H35" i="34"/>
  <c r="F35" i="34"/>
  <c r="AB34" i="34"/>
  <c r="Z34" i="34"/>
  <c r="U34" i="34"/>
  <c r="Q34" i="34"/>
  <c r="J34" i="34"/>
  <c r="AC34" i="34" s="1"/>
  <c r="H34" i="34"/>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B7" i="34"/>
  <c r="AA7" i="34"/>
  <c r="U7" i="34"/>
  <c r="S7" i="34"/>
  <c r="J7" i="34"/>
  <c r="AC7" i="34" s="1"/>
  <c r="H7" i="34"/>
  <c r="G7" i="34"/>
  <c r="F7" i="34"/>
  <c r="C7" i="34"/>
  <c r="D3" i="34"/>
  <c r="A126" i="9"/>
  <c r="A124" i="9"/>
  <c r="A122" i="9"/>
  <c r="D121" i="9"/>
  <c r="K120" i="9"/>
  <c r="D120" i="9"/>
  <c r="A120" i="9"/>
  <c r="C118" i="9"/>
  <c r="B118" i="9"/>
  <c r="A118" i="9"/>
  <c r="E111" i="9"/>
  <c r="H109" i="9"/>
  <c r="E109" i="9"/>
  <c r="E107" i="9"/>
  <c r="H106" i="9"/>
  <c r="H105" i="9"/>
  <c r="H104" i="9"/>
  <c r="H103" i="9"/>
  <c r="D101" i="9"/>
  <c r="C101" i="9"/>
  <c r="D93" i="9"/>
  <c r="C91" i="9"/>
  <c r="C94" i="9" s="1"/>
  <c r="E90" i="9"/>
  <c r="D89" i="9"/>
  <c r="C89" i="9"/>
  <c r="C87" i="9"/>
  <c r="D78" i="9"/>
  <c r="H77" i="9"/>
  <c r="D77" i="9"/>
  <c r="C77" i="9"/>
  <c r="C76" i="9"/>
  <c r="C74" i="9" s="1"/>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13" i="15"/>
  <c r="F37" i="67"/>
  <c r="F7" i="15"/>
  <c r="C76" i="15"/>
  <c r="F7" i="73"/>
  <c r="E10" i="76"/>
  <c r="F42" i="67"/>
  <c r="D2" i="36"/>
  <c r="M27" i="67"/>
  <c r="M9" i="67"/>
  <c r="B7" i="76"/>
  <c r="F8" i="67"/>
  <c r="F42" i="15"/>
  <c r="D2" i="34"/>
  <c r="M27" i="15"/>
  <c r="AO13" i="1"/>
  <c r="M26" i="15"/>
  <c r="AO8" i="1"/>
  <c r="F6" i="73"/>
  <c r="E9" i="76"/>
  <c r="F40" i="67"/>
  <c r="D2" i="35"/>
  <c r="M26" i="67"/>
  <c r="M8" i="67"/>
  <c r="D2" i="21"/>
  <c r="F7" i="67"/>
  <c r="F40" i="15"/>
  <c r="C34" i="68"/>
  <c r="M21" i="15"/>
  <c r="AO7" i="1"/>
  <c r="M8" i="15"/>
  <c r="F5" i="73"/>
  <c r="E8" i="76"/>
  <c r="M28" i="67"/>
  <c r="D2" i="37"/>
  <c r="F26" i="67"/>
  <c r="M6" i="67"/>
  <c r="L48" i="67"/>
  <c r="F27" i="68"/>
  <c r="M28" i="15"/>
  <c r="C36" i="68"/>
  <c r="M23" i="15"/>
  <c r="AO9" i="1"/>
  <c r="AO12" i="1"/>
  <c r="D3" i="73"/>
  <c r="E11" i="76"/>
  <c r="F43" i="67"/>
  <c r="B6" i="76"/>
  <c r="M29" i="67"/>
  <c r="F6" i="67"/>
  <c r="F9" i="67"/>
  <c r="M24" i="15"/>
  <c r="F26" i="15"/>
  <c r="J15" i="15"/>
  <c r="E2" i="68"/>
  <c r="M22" i="15"/>
  <c r="D10" i="68"/>
  <c r="F16" i="15"/>
  <c r="E2" i="69"/>
  <c r="M6" i="15"/>
  <c r="D5" i="73"/>
  <c r="E13" i="76"/>
  <c r="D2" i="33"/>
  <c r="B10" i="76"/>
  <c r="F38" i="67"/>
  <c r="F16" i="67"/>
  <c r="B13" i="76"/>
  <c r="M24" i="67"/>
  <c r="L48" i="15"/>
  <c r="F9" i="15"/>
  <c r="M29" i="15"/>
  <c r="F6" i="15"/>
  <c r="F35" i="15"/>
  <c r="D4" i="73"/>
  <c r="E12" i="76"/>
  <c r="C76" i="67"/>
  <c r="B8" i="76"/>
  <c r="F36" i="67"/>
  <c r="B11" i="76"/>
  <c r="M22" i="67"/>
  <c r="L47" i="15"/>
  <c r="F36" i="15"/>
  <c r="M9" i="15"/>
  <c r="D7" i="73"/>
  <c r="E7" i="76"/>
  <c r="L47" i="67"/>
  <c r="B9" i="76"/>
  <c r="AO11" i="1"/>
  <c r="M23" i="67"/>
  <c r="D9" i="68"/>
  <c r="C14" i="15"/>
  <c r="D6" i="73"/>
  <c r="F3" i="73"/>
  <c r="E6" i="76"/>
  <c r="B12" i="76"/>
  <c r="F41" i="67"/>
  <c r="M21" i="67"/>
  <c r="F20" i="31"/>
  <c r="F35" i="67"/>
  <c r="J15" i="67"/>
  <c r="F8" i="15"/>
  <c r="F37" i="15"/>
  <c r="F4" i="73"/>
  <c r="G1" i="73"/>
  <c r="F13" i="67"/>
  <c r="F43" i="15"/>
  <c r="F38" i="15"/>
  <c r="AO10" i="1"/>
  <c r="F37" i="34" l="1"/>
  <c r="AA37" i="34" s="1"/>
  <c r="J37" i="34"/>
  <c r="AC37" i="34" s="1"/>
  <c r="U37" i="34"/>
  <c r="W37" i="34"/>
  <c r="C18" i="9"/>
  <c r="D18" i="9" s="1"/>
  <c r="U39" i="34"/>
  <c r="S39" i="34"/>
  <c r="W39" i="34"/>
  <c r="F126" i="34"/>
  <c r="G126" i="34" s="1"/>
  <c r="H44" i="34"/>
  <c r="F44" i="34"/>
  <c r="J44" i="34"/>
  <c r="W43" i="34"/>
  <c r="S43" i="34"/>
  <c r="W34" i="34"/>
  <c r="H27" i="34"/>
  <c r="W27" i="34"/>
  <c r="S27" i="34"/>
  <c r="S34" i="34"/>
  <c r="W7" i="34"/>
  <c r="R16" i="1"/>
  <c r="C9" i="69"/>
  <c r="C14" i="12"/>
  <c r="B8" i="70"/>
  <c r="B10" i="70"/>
  <c r="B12" i="70"/>
  <c r="F63" i="15"/>
  <c r="C62" i="15" s="1"/>
  <c r="C34" i="15"/>
  <c r="F65" i="15"/>
  <c r="Q71" i="15"/>
  <c r="B7" i="70"/>
  <c r="B9" i="70"/>
  <c r="B11" i="70"/>
  <c r="B13" i="70"/>
  <c r="C6" i="15"/>
  <c r="H25" i="78" s="1"/>
  <c r="C18" i="15"/>
  <c r="C15" i="15"/>
  <c r="J20" i="15"/>
  <c r="C27" i="15"/>
  <c r="F64" i="15"/>
  <c r="F66" i="15"/>
  <c r="C10" i="68"/>
  <c r="B29" i="1" s="1"/>
  <c r="C18" i="12" s="1"/>
  <c r="C38" i="68"/>
  <c r="C35" i="68"/>
  <c r="M7" i="15"/>
  <c r="J6" i="15" s="1"/>
  <c r="F50" i="15"/>
  <c r="F51" i="15"/>
  <c r="F68" i="15"/>
  <c r="F71" i="15"/>
  <c r="M59" i="15"/>
  <c r="N59" i="15"/>
  <c r="L59" i="15"/>
  <c r="L58" i="15"/>
  <c r="L60" i="15"/>
  <c r="J57" i="15"/>
  <c r="J55" i="15" s="1"/>
  <c r="J58" i="15" s="1"/>
  <c r="Q50" i="15" s="1"/>
  <c r="I54" i="15"/>
  <c r="J53" i="15"/>
  <c r="J60" i="15"/>
  <c r="Q48" i="15" s="1"/>
  <c r="J59" i="15"/>
  <c r="L57" i="15"/>
  <c r="L56" i="15"/>
  <c r="D19" i="68"/>
  <c r="D37" i="68" s="1"/>
  <c r="C37" i="68" s="1"/>
  <c r="C9" i="68"/>
  <c r="C29" i="68"/>
  <c r="D27" i="68" s="1"/>
  <c r="F45" i="68"/>
  <c r="C47" i="68"/>
  <c r="D45" i="68" s="1"/>
  <c r="M7" i="67"/>
  <c r="J6" i="67" s="1"/>
  <c r="F50" i="67"/>
  <c r="F51" i="67"/>
  <c r="F63" i="67"/>
  <c r="C62" i="67" s="1"/>
  <c r="C34" i="67"/>
  <c r="F65" i="67"/>
  <c r="J57" i="67"/>
  <c r="J55" i="67" s="1"/>
  <c r="J58" i="67" s="1"/>
  <c r="Q50" i="67" s="1"/>
  <c r="I54" i="67"/>
  <c r="J53" i="67"/>
  <c r="L56" i="67"/>
  <c r="B2" i="21"/>
  <c r="B3" i="21" s="1"/>
  <c r="B20" i="31"/>
  <c r="B21" i="31" s="1"/>
  <c r="C6" i="67"/>
  <c r="J20" i="67"/>
  <c r="C27" i="67"/>
  <c r="F64" i="67"/>
  <c r="F66" i="67"/>
  <c r="F69" i="67"/>
  <c r="M59" i="67"/>
  <c r="N59" i="67"/>
  <c r="L59" i="67"/>
  <c r="L58" i="67"/>
  <c r="B2" i="37"/>
  <c r="B3" i="37" s="1"/>
  <c r="B2" i="35"/>
  <c r="B3" i="35" s="1"/>
  <c r="B2" i="36"/>
  <c r="B3" i="36" s="1"/>
  <c r="B2" i="76"/>
  <c r="B40" i="1"/>
  <c r="F68" i="67"/>
  <c r="F70" i="67"/>
  <c r="F71" i="67"/>
  <c r="Q71" i="67"/>
  <c r="B2" i="33"/>
  <c r="B3" i="33" s="1"/>
  <c r="E2" i="76"/>
  <c r="I1" i="73"/>
  <c r="B39" i="1" s="1"/>
  <c r="F15" i="49"/>
  <c r="H15" i="49" s="1"/>
  <c r="C8" i="69"/>
  <c r="C5"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9" i="69"/>
  <c r="C29" i="69"/>
  <c r="D27" i="69" s="1"/>
  <c r="C35" i="69"/>
  <c r="C33" i="69" s="1"/>
  <c r="C47" i="69"/>
  <c r="D45" i="69" s="1"/>
  <c r="C15" i="12"/>
  <c r="C12" i="12"/>
  <c r="G36" i="43"/>
  <c r="I36" i="43" s="1"/>
  <c r="E36" i="43"/>
  <c r="C20" i="11"/>
  <c r="C28" i="11"/>
  <c r="C27" i="11" s="1"/>
  <c r="C17" i="67"/>
  <c r="C16" i="15"/>
  <c r="C14" i="67"/>
  <c r="C16" i="67"/>
  <c r="C17" i="15"/>
  <c r="S37" i="34" l="1"/>
  <c r="AC44" i="34"/>
  <c r="V49" i="34" s="1"/>
  <c r="I49" i="34" s="1"/>
  <c r="I53" i="34" s="1"/>
  <c r="J53" i="34" s="1"/>
  <c r="W44" i="34"/>
  <c r="AB44" i="34"/>
  <c r="U44" i="34"/>
  <c r="AA44" i="34"/>
  <c r="R49" i="34" s="1"/>
  <c r="E49" i="34" s="1"/>
  <c r="E53" i="34" s="1"/>
  <c r="F53" i="34" s="1"/>
  <c r="S44" i="34"/>
  <c r="C8" i="68"/>
  <c r="C5" i="68" s="1"/>
  <c r="C20" i="68" s="1"/>
  <c r="U27" i="34"/>
  <c r="AB27" i="34"/>
  <c r="T49" i="34" s="1"/>
  <c r="G49" i="34" s="1"/>
  <c r="G53" i="34" s="1"/>
  <c r="H53" i="34" s="1"/>
  <c r="C16" i="12"/>
  <c r="C21" i="12" s="1"/>
  <c r="C22" i="12" s="1"/>
  <c r="C30" i="12" s="1"/>
  <c r="C28" i="12" s="1"/>
  <c r="L46" i="15"/>
  <c r="C33" i="68"/>
  <c r="C39" i="68" s="1"/>
  <c r="C18" i="67"/>
  <c r="C15" i="67"/>
  <c r="C39" i="69"/>
  <c r="J18" i="15"/>
  <c r="C19" i="15"/>
  <c r="D125" i="9"/>
  <c r="D11" i="52" s="1"/>
  <c r="H14" i="74"/>
  <c r="B7" i="74" s="1"/>
  <c r="D10" i="52"/>
  <c r="C20" i="69"/>
  <c r="C28" i="69" s="1"/>
  <c r="C27" i="69" s="1"/>
  <c r="M11" i="67"/>
  <c r="J10" i="67" s="1"/>
  <c r="J5" i="67" s="1"/>
  <c r="F11" i="67"/>
  <c r="F11" i="15"/>
  <c r="C53" i="15" s="1"/>
  <c r="M11" i="15"/>
  <c r="J10" i="15" s="1"/>
  <c r="J5" i="15" s="1"/>
  <c r="F22" i="11"/>
  <c r="F25" i="12"/>
  <c r="C26" i="12" s="1"/>
  <c r="D25" i="12" s="1"/>
  <c r="F24" i="67"/>
  <c r="C24" i="67" s="1"/>
  <c r="F22" i="69"/>
  <c r="C24" i="69" s="1"/>
  <c r="F22" i="68"/>
  <c r="F24" i="15"/>
  <c r="C24" i="15" s="1"/>
  <c r="Q74" i="67"/>
  <c r="Q61" i="67"/>
  <c r="J18" i="67"/>
  <c r="C49" i="67"/>
  <c r="Q57" i="15"/>
  <c r="Q66" i="15"/>
  <c r="Q74" i="15"/>
  <c r="Q61" i="15"/>
  <c r="C49" i="15"/>
  <c r="B3" i="76"/>
  <c r="Q73" i="67"/>
  <c r="Q60" i="67"/>
  <c r="C32" i="67"/>
  <c r="Q52" i="67"/>
  <c r="F1" i="67"/>
  <c r="Q52" i="15"/>
  <c r="F1" i="15"/>
  <c r="Q73" i="15"/>
  <c r="Q60" i="15"/>
  <c r="C33" i="15"/>
  <c r="C32" i="15"/>
  <c r="AE6" i="1"/>
  <c r="C25" i="68" l="1"/>
  <c r="C23" i="68"/>
  <c r="I54" i="34"/>
  <c r="J54" i="34" s="1"/>
  <c r="G54" i="34"/>
  <c r="H54" i="34" s="1"/>
  <c r="R50" i="34"/>
  <c r="E54" i="34"/>
  <c r="F54" i="34" s="1"/>
  <c r="C31" i="15"/>
  <c r="C23" i="69"/>
  <c r="C19" i="67"/>
  <c r="C20" i="67" s="1"/>
  <c r="J26" i="15"/>
  <c r="J24" i="15"/>
  <c r="J24" i="67"/>
  <c r="J26" i="67"/>
  <c r="J29" i="67" s="1"/>
  <c r="C43" i="11"/>
  <c r="C44" i="11"/>
  <c r="D41" i="11" s="1"/>
  <c r="C42" i="11"/>
  <c r="C26" i="11"/>
  <c r="D22" i="11" s="1"/>
  <c r="C24" i="11"/>
  <c r="C23" i="11"/>
  <c r="C10" i="15"/>
  <c r="C5" i="15" s="1"/>
  <c r="C48" i="15"/>
  <c r="C28" i="68"/>
  <c r="C27" i="68" s="1"/>
  <c r="C44" i="69"/>
  <c r="D41" i="69" s="1"/>
  <c r="F41" i="69"/>
  <c r="C26" i="69"/>
  <c r="D22" i="69" s="1"/>
  <c r="C53" i="67"/>
  <c r="C48" i="67" s="1"/>
  <c r="C10" i="67"/>
  <c r="C5" i="67" s="1"/>
  <c r="C25" i="69"/>
  <c r="C22" i="69" s="1"/>
  <c r="C25" i="11"/>
  <c r="C27" i="12"/>
  <c r="C25" i="12" s="1"/>
  <c r="C32" i="12" s="1"/>
  <c r="B2" i="12" s="1"/>
  <c r="B3" i="12" s="1"/>
  <c r="C43" i="68"/>
  <c r="C46" i="68"/>
  <c r="C45" i="68" s="1"/>
  <c r="C42" i="69"/>
  <c r="C44" i="68"/>
  <c r="D41" i="68" s="1"/>
  <c r="F41" i="68"/>
  <c r="C26" i="68"/>
  <c r="D22" i="68" s="1"/>
  <c r="C24" i="68"/>
  <c r="C7" i="74"/>
  <c r="D7" i="74"/>
  <c r="C20" i="15"/>
  <c r="C26" i="15" s="1"/>
  <c r="C42" i="68"/>
  <c r="C43" i="69"/>
  <c r="C46" i="69"/>
  <c r="C45" i="69" s="1"/>
  <c r="F41" i="15"/>
  <c r="C22" i="68" l="1"/>
  <c r="C31" i="68" s="1"/>
  <c r="C41" i="11"/>
  <c r="C49" i="11" s="1"/>
  <c r="C51" i="11" s="1"/>
  <c r="C50" i="34"/>
  <c r="C49" i="34"/>
  <c r="F69" i="15"/>
  <c r="J29" i="15"/>
  <c r="C31" i="69"/>
  <c r="C23" i="15"/>
  <c r="C29" i="15" s="1"/>
  <c r="C22" i="11"/>
  <c r="C31" i="11" s="1"/>
  <c r="C60" i="67"/>
  <c r="C66" i="67"/>
  <c r="C41" i="68"/>
  <c r="C49" i="68" s="1"/>
  <c r="C51" i="68" s="1"/>
  <c r="C41" i="69"/>
  <c r="C49" i="69" s="1"/>
  <c r="C51" i="69" s="1"/>
  <c r="C38" i="67"/>
  <c r="C60" i="15"/>
  <c r="C66" i="15"/>
  <c r="C38" i="15"/>
  <c r="C26" i="67"/>
  <c r="C23" i="67"/>
  <c r="B2" i="34" l="1"/>
  <c r="B3" i="34"/>
  <c r="C29" i="67"/>
  <c r="Q49" i="67" s="1"/>
  <c r="C52" i="68"/>
  <c r="B2" i="68" s="1"/>
  <c r="C52" i="69"/>
  <c r="B2" i="69" s="1"/>
  <c r="B3" i="69" s="1"/>
  <c r="Q49" i="15"/>
  <c r="C36" i="15"/>
  <c r="J19" i="15"/>
  <c r="J17" i="15" s="1"/>
  <c r="J14" i="15"/>
  <c r="C13" i="15"/>
  <c r="C57" i="15"/>
  <c r="C52" i="11"/>
  <c r="B2" i="11" s="1"/>
  <c r="B3" i="11" s="1"/>
  <c r="B3" i="68"/>
  <c r="C20" i="9"/>
  <c r="C19" i="9"/>
  <c r="C21" i="9" l="1"/>
  <c r="C102" i="9"/>
  <c r="C103" i="9"/>
  <c r="J59" i="67"/>
  <c r="J60" i="67" s="1"/>
  <c r="L46" i="67" s="1"/>
  <c r="C33" i="67"/>
  <c r="C31" i="67" s="1"/>
  <c r="J14" i="67"/>
  <c r="J22" i="67" s="1"/>
  <c r="C36" i="67"/>
  <c r="C56" i="11"/>
  <c r="C57" i="11" s="1"/>
  <c r="C13" i="67"/>
  <c r="Q70" i="67" s="1"/>
  <c r="J19" i="67"/>
  <c r="J17" i="67" s="1"/>
  <c r="C57" i="67"/>
  <c r="C64" i="67" s="1"/>
  <c r="C64" i="15"/>
  <c r="C61" i="15"/>
  <c r="C59" i="15" s="1"/>
  <c r="J13" i="15"/>
  <c r="J23" i="15" s="1"/>
  <c r="J22" i="15"/>
  <c r="C57" i="69"/>
  <c r="C56" i="69" s="1"/>
  <c r="C75" i="67"/>
  <c r="C56" i="15"/>
  <c r="C65" i="15" s="1"/>
  <c r="C37" i="15"/>
  <c r="C30" i="15" s="1"/>
  <c r="C39" i="15" s="1"/>
  <c r="C75" i="15"/>
  <c r="Q70" i="15"/>
  <c r="C57" i="68"/>
  <c r="C56" i="68" s="1"/>
  <c r="Q48" i="67" l="1"/>
  <c r="J13" i="67"/>
  <c r="J23" i="67" s="1"/>
  <c r="J16" i="67" s="1"/>
  <c r="J25" i="67" s="1"/>
  <c r="C61" i="67"/>
  <c r="C59" i="67" s="1"/>
  <c r="C56" i="67"/>
  <c r="C65" i="67" s="1"/>
  <c r="C37" i="67"/>
  <c r="C30" i="67" s="1"/>
  <c r="C39" i="67" s="1"/>
  <c r="Q69" i="67" s="1"/>
  <c r="Q68" i="67" s="1"/>
  <c r="J16" i="15"/>
  <c r="J25" i="15" s="1"/>
  <c r="Q69" i="15"/>
  <c r="Q68" i="15" s="1"/>
  <c r="C40" i="15"/>
  <c r="C80" i="15"/>
  <c r="C79" i="15" s="1"/>
  <c r="C58" i="15"/>
  <c r="C67" i="15" s="1"/>
  <c r="C68" i="15" s="1"/>
  <c r="L51" i="15"/>
  <c r="L51" i="67"/>
  <c r="C40" i="67" l="1"/>
  <c r="Q65" i="67" s="1"/>
  <c r="C58" i="67"/>
  <c r="C67" i="67" s="1"/>
  <c r="C68" i="67" s="1"/>
  <c r="C71" i="67" s="1"/>
  <c r="C80" i="67"/>
  <c r="C79" i="67" s="1"/>
  <c r="Q67" i="67"/>
  <c r="L57" i="67"/>
  <c r="L60" i="67" s="1"/>
  <c r="Q67" i="15"/>
  <c r="Q65" i="15"/>
  <c r="Q75" i="15" s="1"/>
  <c r="Q56" i="15"/>
  <c r="Q62" i="15" s="1"/>
  <c r="Q47" i="15"/>
  <c r="Q53" i="15" s="1"/>
  <c r="B2" i="15"/>
  <c r="C43" i="15"/>
  <c r="C83" i="15"/>
  <c r="C82" i="15" s="1"/>
  <c r="C71" i="15"/>
  <c r="C46" i="15"/>
  <c r="Q56" i="67"/>
  <c r="D19" i="9"/>
  <c r="AO6" i="1"/>
  <c r="C83" i="67" l="1"/>
  <c r="C82" i="67" s="1"/>
  <c r="C43" i="67"/>
  <c r="D2" i="67"/>
  <c r="B2" i="67" s="1"/>
  <c r="Q47" i="67"/>
  <c r="Q53" i="67" s="1"/>
  <c r="C45" i="67"/>
  <c r="C46" i="67" s="1"/>
  <c r="D21" i="9"/>
  <c r="D102" i="9"/>
  <c r="D22" i="9"/>
  <c r="G19" i="9"/>
  <c r="L93" i="9" s="1"/>
  <c r="B6" i="70"/>
  <c r="B2" i="70" s="1"/>
  <c r="B3" i="70" s="1"/>
  <c r="B3" i="15"/>
  <c r="Q57" i="67"/>
  <c r="Q62" i="67" s="1"/>
  <c r="Q66" i="67"/>
  <c r="Q75" i="67" s="1"/>
  <c r="D35" i="9"/>
  <c r="D34" i="9"/>
  <c r="D20" i="9"/>
  <c r="B3" i="67" l="1"/>
  <c r="L94" i="9"/>
  <c r="M94" i="9" s="1"/>
  <c r="D103" i="9"/>
  <c r="G20" i="9"/>
  <c r="C32" i="9"/>
  <c r="G21" i="9"/>
  <c r="C35" i="9" l="1"/>
  <c r="F118" i="9" s="1"/>
  <c r="H118" i="9"/>
  <c r="I118" i="9" l="1"/>
  <c r="C104" i="9"/>
  <c r="H119" i="9"/>
  <c r="H5" i="52" s="1"/>
  <c r="H101" i="9"/>
  <c r="D14" i="74"/>
  <c r="H4" i="52"/>
  <c r="F119" i="9"/>
  <c r="F5" i="52" s="1"/>
  <c r="B53" i="72" s="1"/>
  <c r="G118" i="9"/>
  <c r="G4" i="52" s="1"/>
  <c r="B52" i="72" s="1"/>
  <c r="F4" i="52"/>
  <c r="B51" i="72" s="1"/>
  <c r="C34" i="9"/>
  <c r="D118" i="9" s="1"/>
  <c r="D4" i="52" l="1"/>
  <c r="B47" i="72" s="1"/>
  <c r="D119" i="9"/>
  <c r="D5" i="52" s="1"/>
  <c r="B49" i="72" s="1"/>
  <c r="H107" i="9"/>
  <c r="D45" i="9"/>
  <c r="M48" i="9"/>
  <c r="D5" i="53"/>
  <c r="E14" i="74"/>
  <c r="F14" i="74"/>
  <c r="B5" i="74"/>
  <c r="E118" i="9"/>
  <c r="E4" i="52" s="1"/>
  <c r="B48" i="72" s="1"/>
  <c r="C105" i="9"/>
  <c r="H102" i="9"/>
  <c r="D7" i="53" s="1"/>
  <c r="B21" i="72" s="1"/>
  <c r="I4" i="52"/>
  <c r="B20" i="72" l="1"/>
  <c r="D6" i="53"/>
  <c r="B22" i="72" s="1"/>
  <c r="C78" i="9"/>
  <c r="C73" i="9" s="1"/>
  <c r="D52" i="9"/>
  <c r="C72" i="9"/>
  <c r="D55" i="9"/>
  <c r="M53" i="9" s="1"/>
  <c r="D53" i="9"/>
  <c r="C93" i="9"/>
  <c r="C86" i="9" s="1"/>
  <c r="C85" i="9"/>
  <c r="C64" i="9"/>
  <c r="C63" i="9" s="1"/>
  <c r="C67" i="9" s="1"/>
  <c r="C5" i="74"/>
  <c r="D5" i="74"/>
  <c r="D122" i="9"/>
  <c r="H108" i="9"/>
  <c r="D15" i="53" s="1"/>
  <c r="B31" i="72" s="1"/>
  <c r="M49" i="9"/>
  <c r="D13" i="53"/>
  <c r="C79" i="9" l="1"/>
  <c r="C80" i="9" s="1"/>
  <c r="E80" i="9" s="1"/>
  <c r="E81" i="9" s="1"/>
  <c r="B30" i="72"/>
  <c r="D14" i="53"/>
  <c r="B32" i="72" s="1"/>
  <c r="D59" i="9"/>
  <c r="M55" i="9" s="1"/>
  <c r="C68" i="9"/>
  <c r="D54" i="9" s="1"/>
  <c r="L66" i="9"/>
  <c r="M66" i="9" s="1"/>
  <c r="L65" i="9"/>
  <c r="M65" i="9" s="1"/>
  <c r="L64" i="9"/>
  <c r="M64" i="9" s="1"/>
  <c r="L68" i="9"/>
  <c r="M68" i="9" s="1"/>
  <c r="L63" i="9"/>
  <c r="M63" i="9" s="1"/>
  <c r="L67" i="9"/>
  <c r="M67" i="9" s="1"/>
  <c r="D123" i="9"/>
  <c r="D9" i="52" s="1"/>
  <c r="G14" i="74"/>
  <c r="B6" i="74" s="1"/>
  <c r="D8" i="52"/>
  <c r="C95" i="9"/>
  <c r="C81" i="9" l="1"/>
  <c r="C96" i="9"/>
  <c r="E96" i="9" s="1"/>
  <c r="E97" i="9" s="1"/>
  <c r="D6" i="74"/>
  <c r="C6" i="74"/>
  <c r="M69" i="9"/>
  <c r="N69" i="9" s="1"/>
  <c r="C97" i="9" l="1"/>
  <c r="D58" i="9" s="1"/>
  <c r="D56" i="9" s="1"/>
  <c r="M54" i="9" s="1"/>
  <c r="N57" i="9" s="1"/>
  <c r="P57" i="9" l="1"/>
  <c r="N58" i="9"/>
  <c r="N59" i="9"/>
  <c r="L96" i="9" l="1"/>
  <c r="H111" i="9"/>
  <c r="N61" i="9"/>
  <c r="N60" i="9"/>
  <c r="H112" i="9" l="1"/>
  <c r="D21" i="53" s="1"/>
  <c r="B39" i="72" s="1"/>
  <c r="L95" i="9"/>
  <c r="L98" i="9"/>
  <c r="L97" i="9" s="1"/>
  <c r="D126" i="9"/>
  <c r="D19" i="53"/>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family val="2"/>
          </rPr>
          <t>xbany:</t>
        </r>
        <r>
          <rPr>
            <sz val="9"/>
            <rFont val="Tahoma"/>
            <family val="2"/>
          </rPr>
          <t xml:space="preserve">
</t>
        </r>
        <r>
          <rPr>
            <sz val="9"/>
            <rFont val="宋体"/>
            <family val="3"/>
            <charset val="134"/>
          </rPr>
          <t>自</t>
        </r>
        <r>
          <rPr>
            <sz val="9"/>
            <rFont val="Tahoma"/>
            <family val="2"/>
          </rPr>
          <t>20210719</t>
        </r>
        <r>
          <rPr>
            <sz val="9"/>
            <rFont val="宋体"/>
            <family val="3"/>
            <charset val="134"/>
          </rPr>
          <t>起面积由</t>
        </r>
        <r>
          <rPr>
            <sz val="9"/>
            <rFont val="Tahoma"/>
            <family val="2"/>
          </rPr>
          <t>46</t>
        </r>
        <r>
          <rPr>
            <sz val="9"/>
            <rFont val="宋体"/>
            <family val="3"/>
            <charset val="134"/>
          </rPr>
          <t>变为</t>
        </r>
        <r>
          <rPr>
            <sz val="9"/>
            <rFont val="Tahoma"/>
            <family val="2"/>
          </rPr>
          <t>50</t>
        </r>
      </text>
    </comment>
    <comment ref="D7" authorId="0">
      <text>
        <r>
          <rPr>
            <b/>
            <sz val="9"/>
            <rFont val="Tahoma"/>
            <family val="2"/>
          </rPr>
          <t>xbany:</t>
        </r>
        <r>
          <rPr>
            <sz val="9"/>
            <rFont val="Tahoma"/>
            <family val="2"/>
          </rPr>
          <t xml:space="preserve">
</t>
        </r>
        <r>
          <rPr>
            <sz val="9"/>
            <rFont val="宋体"/>
            <family val="3"/>
            <charset val="134"/>
          </rPr>
          <t>实际测量</t>
        </r>
        <r>
          <rPr>
            <sz val="9"/>
            <rFont val="Tahoma"/>
            <family val="2"/>
          </rPr>
          <t>68</t>
        </r>
        <r>
          <rPr>
            <sz val="9"/>
            <rFont val="宋体"/>
            <family val="3"/>
            <charset val="134"/>
          </rPr>
          <t>平米。顾总同意按原合同</t>
        </r>
        <r>
          <rPr>
            <sz val="9"/>
            <rFont val="Tahoma"/>
            <family val="2"/>
          </rPr>
          <t>59</t>
        </r>
        <r>
          <rPr>
            <sz val="9"/>
            <rFont val="宋体"/>
            <family val="3"/>
            <charset val="134"/>
          </rPr>
          <t>平米计算</t>
        </r>
      </text>
    </comment>
    <comment ref="D11" authorId="0">
      <text>
        <r>
          <rPr>
            <b/>
            <sz val="9"/>
            <rFont val="Tahoma"/>
            <family val="2"/>
          </rPr>
          <t>xbany:</t>
        </r>
        <r>
          <rPr>
            <sz val="9"/>
            <rFont val="Tahoma"/>
            <family val="2"/>
          </rPr>
          <t xml:space="preserve">
</t>
        </r>
        <r>
          <rPr>
            <sz val="9"/>
            <rFont val="宋体"/>
            <family val="3"/>
            <charset val="134"/>
          </rPr>
          <t>原</t>
        </r>
        <r>
          <rPr>
            <sz val="9"/>
            <rFont val="Tahoma"/>
            <family val="2"/>
          </rPr>
          <t xml:space="preserve">388
</t>
        </r>
      </text>
    </comment>
    <comment ref="D12" authorId="0">
      <text>
        <r>
          <rPr>
            <b/>
            <sz val="9"/>
            <rFont val="Tahoma"/>
            <family val="2"/>
          </rPr>
          <t>xbany:</t>
        </r>
        <r>
          <rPr>
            <sz val="9"/>
            <rFont val="Tahoma"/>
            <family val="2"/>
          </rPr>
          <t xml:space="preserve">
</t>
        </r>
        <r>
          <rPr>
            <sz val="9"/>
            <rFont val="宋体"/>
            <family val="3"/>
            <charset val="134"/>
          </rPr>
          <t>租金按建筑面积</t>
        </r>
        <r>
          <rPr>
            <sz val="9"/>
            <rFont val="Tahoma"/>
            <family val="2"/>
          </rPr>
          <t>219.5</t>
        </r>
        <r>
          <rPr>
            <sz val="9"/>
            <rFont val="宋体"/>
            <family val="3"/>
            <charset val="134"/>
          </rPr>
          <t>计算（弧形阳台</t>
        </r>
        <r>
          <rPr>
            <sz val="9"/>
            <rFont val="Tahoma"/>
            <family val="2"/>
          </rPr>
          <t>29</t>
        </r>
        <r>
          <rPr>
            <sz val="9"/>
            <rFont val="宋体"/>
            <family val="3"/>
            <charset val="134"/>
          </rPr>
          <t>平米的</t>
        </r>
        <r>
          <rPr>
            <sz val="9"/>
            <rFont val="Tahoma"/>
            <family val="2"/>
          </rPr>
          <t>50%</t>
        </r>
        <r>
          <rPr>
            <sz val="9"/>
            <rFont val="宋体"/>
            <family val="3"/>
            <charset val="134"/>
          </rPr>
          <t xml:space="preserve">）
</t>
        </r>
      </text>
    </comment>
    <comment ref="H12" authorId="0">
      <text>
        <r>
          <rPr>
            <b/>
            <sz val="9"/>
            <rFont val="Tahoma"/>
            <family val="2"/>
          </rPr>
          <t>xbany:</t>
        </r>
        <r>
          <rPr>
            <sz val="9"/>
            <rFont val="Tahoma"/>
            <family val="2"/>
          </rPr>
          <t xml:space="preserve">
</t>
        </r>
        <r>
          <rPr>
            <sz val="9"/>
            <rFont val="宋体"/>
            <family val="3"/>
            <charset val="134"/>
          </rPr>
          <t>租金面积按</t>
        </r>
        <r>
          <rPr>
            <sz val="9"/>
            <rFont val="Tahoma"/>
            <family val="2"/>
          </rPr>
          <t>219.5</t>
        </r>
        <r>
          <rPr>
            <sz val="9"/>
            <rFont val="宋体"/>
            <family val="3"/>
            <charset val="134"/>
          </rPr>
          <t>平米计算（阳台</t>
        </r>
        <r>
          <rPr>
            <sz val="9"/>
            <rFont val="Tahoma"/>
            <family val="2"/>
          </rPr>
          <t>29</t>
        </r>
        <r>
          <rPr>
            <sz val="9"/>
            <rFont val="宋体"/>
            <family val="3"/>
            <charset val="134"/>
          </rPr>
          <t>平米的</t>
        </r>
        <r>
          <rPr>
            <sz val="9"/>
            <rFont val="Tahoma"/>
            <family val="2"/>
          </rPr>
          <t>50%</t>
        </r>
        <r>
          <rPr>
            <sz val="9"/>
            <rFont val="宋体"/>
            <family val="3"/>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<sst xmlns="http://schemas.openxmlformats.org/spreadsheetml/2006/main" count="7624" uniqueCount="2744">
  <si>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</si>
  <si>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</si>
  <si>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</si>
  <si>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</si>
  <si>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</si>
  <si>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</si>
  <si>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</si>
  <si>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</si>
  <si>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</si>
  <si>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</si>
  <si>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</si>
  <si>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</si>
  <si>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</si>
  <si>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</si>
  <si>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</si>
  <si>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</si>
  <si>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</si>
  <si>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</si>
  <si>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</si>
  <si>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</si>
  <si>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</si>
  <si>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</si>
  <si>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</si>
  <si>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</si>
  <si>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</si>
  <si>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</si>
  <si>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</si>
  <si>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</si>
  <si>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</si>
  <si>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</si>
  <si>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</si>
  <si>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</si>
  <si>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</si>
  <si>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</si>
  <si>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</si>
  <si>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</si>
  <si>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</si>
  <si>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</si>
  <si>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</si>
  <si>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</si>
  <si>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</si>
  <si>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</si>
  <si>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</si>
  <si>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</si>
  <si>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</si>
  <si>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</si>
  <si>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</si>
  <si>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</si>
  <si>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</si>
  <si>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</si>
  <si>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</si>
  <si>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</si>
  <si>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</si>
  <si>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</si>
  <si>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</si>
  <si>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</si>
  <si>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</si>
  <si>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</si>
  <si>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</si>
  <si>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</si>
  <si>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</si>
  <si>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</si>
  <si>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</si>
  <si>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</si>
  <si>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</si>
  <si>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</si>
  <si>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</si>
  <si>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</si>
  <si>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</si>
  <si>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</si>
  <si>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</si>
  <si>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</si>
  <si>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</si>
  <si>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</si>
  <si>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</si>
  <si>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</si>
  <si>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</si>
  <si>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</si>
  <si>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</si>
  <si>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</si>
  <si>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</si>
  <si>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</si>
  <si>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</si>
  <si>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</si>
  <si>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</si>
  <si>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</si>
  <si>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</si>
  <si>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</si>
  <si>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</si>
  <si>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</si>
  <si>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</si>
  <si>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</si>
  <si>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</si>
  <si>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</si>
  <si>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</si>
  <si>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</si>
  <si>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</si>
  <si>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</si>
  <si>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</si>
  <si>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</si>
  <si>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</si>
  <si>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</si>
  <si>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</si>
  <si>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</si>
  <si>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</si>
  <si>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</si>
  <si>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</si>
  <si>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</si>
  <si>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</si>
  <si>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</si>
  <si>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</si>
  <si>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</si>
  <si>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</si>
  <si>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</si>
  <si>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</si>
  <si>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</si>
  <si>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</si>
  <si>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</si>
  <si>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</si>
  <si>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</si>
  <si>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</si>
  <si>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</si>
  <si>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</si>
  <si>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</si>
  <si>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</si>
  <si>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</si>
  <si>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</si>
  <si>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</si>
  <si>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</si>
  <si>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</si>
  <si>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</si>
  <si>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</si>
  <si>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</si>
  <si>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</si>
  <si>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</si>
  <si>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</si>
  <si>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</si>
  <si>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</si>
  <si>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</si>
  <si>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</si>
  <si>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</si>
  <si>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</si>
  <si>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</si>
  <si>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</si>
  <si>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</si>
  <si>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</si>
  <si>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</si>
  <si>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</si>
  <si>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</si>
  <si>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</si>
  <si>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</si>
  <si>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</si>
  <si>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</si>
  <si>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</si>
  <si>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</si>
  <si>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</si>
  <si>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</si>
  <si>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</si>
  <si>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</si>
  <si>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</si>
  <si>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</si>
  <si>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</si>
  <si>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</si>
  <si>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</si>
  <si>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</si>
  <si>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</si>
  <si>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</si>
  <si>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</si>
  <si>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</si>
  <si>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</si>
  <si>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</si>
  <si>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</si>
  <si>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</si>
  <si>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</si>
  <si>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</si>
  <si>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</si>
  <si>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</si>
  <si>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</si>
  <si>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</si>
  <si>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</si>
  <si>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</si>
  <si>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</si>
  <si>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</si>
  <si>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</si>
  <si>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</si>
  <si>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</si>
  <si>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</si>
  <si>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</si>
  <si>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</si>
  <si>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</si>
  <si>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</si>
  <si>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</si>
  <si>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</si>
  <si>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</si>
  <si>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</si>
  <si>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</si>
  <si>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</si>
  <si>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</si>
  <si>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</si>
  <si>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</si>
  <si>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</si>
  <si>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</si>
  <si>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</si>
  <si>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</si>
  <si>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</si>
  <si>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</si>
  <si>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</si>
  <si>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</si>
  <si>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</si>
  <si>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</si>
  <si>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</si>
  <si>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</si>
  <si>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</si>
  <si>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</si>
  <si>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</si>
  <si>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</si>
  <si>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</si>
  <si>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</si>
  <si>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</si>
  <si>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</si>
  <si>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</si>
  <si>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</si>
  <si>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</si>
  <si>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</si>
  <si>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</si>
  <si>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</si>
  <si>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</si>
  <si>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</si>
  <si>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</si>
  <si>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</si>
  <si>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</si>
  <si>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</si>
  <si>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</si>
  <si>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</si>
  <si>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</si>
  <si>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</si>
  <si>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</si>
  <si>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</si>
  <si>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</si>
  <si>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</si>
  <si>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</si>
  <si>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</si>
  <si>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</si>
  <si>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</si>
  <si>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</si>
  <si>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</si>
  <si>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</si>
  <si>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</si>
  <si>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</si>
  <si>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</si>
  <si>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</si>
  <si>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</si>
  <si>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</si>
  <si>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</si>
  <si>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</si>
  <si>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</si>
  <si>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</si>
  <si>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</si>
  <si>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</si>
  <si>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</si>
  <si>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</si>
  <si>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</si>
  <si>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</si>
  <si>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</si>
  <si>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</si>
  <si>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</si>
  <si>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</si>
  <si>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</si>
  <si>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</si>
  <si>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</si>
  <si>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</si>
  <si>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</si>
  <si>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</si>
  <si>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</si>
  <si>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</si>
  <si>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</si>
  <si>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</si>
  <si>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</si>
  <si>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</si>
  <si>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</si>
  <si>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</si>
  <si>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</si>
  <si>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</si>
  <si>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</si>
  <si>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</si>
  <si>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</si>
  <si>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</si>
  <si>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</si>
  <si>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</si>
  <si>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</si>
  <si>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</si>
  <si>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</si>
  <si>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</si>
  <si>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</si>
  <si>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</si>
  <si>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</si>
  <si>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</si>
  <si>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</si>
  <si>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</si>
  <si>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</si>
  <si>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</si>
  <si>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</si>
  <si>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</si>
  <si>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</si>
  <si>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</si>
  <si>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</si>
  <si>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</si>
  <si>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</si>
  <si>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</si>
  <si>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</si>
  <si>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</si>
  <si>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</si>
  <si>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</si>
  <si>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</si>
  <si>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</si>
  <si>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</si>
  <si>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</si>
  <si>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</si>
  <si>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</si>
  <si>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</si>
  <si>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</si>
  <si>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</si>
  <si>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</si>
  <si>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</si>
  <si>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</si>
  <si>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</si>
  <si>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</si>
  <si>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</si>
  <si>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</si>
  <si>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</si>
  <si>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</si>
  <si>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</si>
  <si>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</si>
  <si>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</si>
  <si>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</si>
  <si>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</si>
  <si>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</si>
  <si>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</si>
  <si>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</si>
  <si>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</si>
  <si>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</si>
  <si>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</si>
  <si>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</si>
  <si>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</si>
  <si>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</si>
  <si>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</si>
  <si>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</si>
  <si>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</si>
  <si>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</si>
  <si>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</si>
  <si>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</si>
  <si>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</si>
  <si>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</si>
  <si>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</si>
  <si>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</si>
  <si>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</si>
  <si>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</si>
  <si>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</si>
  <si>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</si>
  <si>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</si>
  <si>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</si>
  <si>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</si>
  <si>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</si>
  <si>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</si>
  <si>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</si>
  <si>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</si>
  <si>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</si>
  <si>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</si>
  <si>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</si>
  <si>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</si>
  <si>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</si>
  <si>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</si>
  <si>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</si>
  <si>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</si>
  <si>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</si>
  <si>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</si>
  <si>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</si>
  <si>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</si>
  <si>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</si>
  <si>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</si>
  <si>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</si>
  <si>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</si>
  <si>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</si>
  <si>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</si>
  <si>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</si>
  <si>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</si>
  <si>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</si>
  <si>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</si>
  <si>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</si>
  <si>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</si>
  <si>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</si>
  <si>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</si>
  <si>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</si>
  <si>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</si>
  <si>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</si>
  <si>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</si>
  <si>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</si>
  <si>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</si>
  <si>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</si>
  <si>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</si>
  <si>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</si>
  <si>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</si>
  <si>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</si>
  <si>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</si>
  <si>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</si>
  <si>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</si>
  <si>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</si>
  <si>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</si>
  <si>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</si>
  <si>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</si>
  <si>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</si>
  <si>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</si>
  <si>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</si>
  <si>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</si>
  <si>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</si>
  <si>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</si>
  <si>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</si>
  <si>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</si>
  <si>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</si>
  <si>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</si>
  <si>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</si>
  <si>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</si>
  <si>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</si>
  <si>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</si>
  <si>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</si>
  <si>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</si>
  <si>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</si>
  <si>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</si>
  <si>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</si>
  <si>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</si>
  <si>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</si>
  <si>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</si>
  <si>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</si>
  <si>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</si>
  <si>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</si>
  <si>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</si>
  <si>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</si>
  <si>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</si>
  <si>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</si>
  <si>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</si>
  <si>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</si>
  <si>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</si>
  <si>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</si>
  <si>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</si>
  <si>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</si>
  <si>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</si>
  <si>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</si>
  <si>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</si>
  <si>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</si>
  <si>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</si>
  <si>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</si>
  <si>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</si>
  <si>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</si>
  <si>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</si>
  <si>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</si>
  <si>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</si>
  <si>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</si>
  <si>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</si>
  <si>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</si>
  <si>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</si>
  <si>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</si>
  <si>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</si>
  <si>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</si>
  <si>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</si>
  <si>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</si>
  <si>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</si>
  <si>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</si>
  <si>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</si>
  <si>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</si>
  <si>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</si>
  <si>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</si>
  <si>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</si>
  <si>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</si>
  <si>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</si>
  <si>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</si>
  <si>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</si>
  <si>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</si>
  <si>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</si>
  <si>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</si>
  <si>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</si>
  <si>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</si>
  <si>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</si>
  <si>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</si>
  <si>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</si>
  <si>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</si>
  <si>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</si>
  <si>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</si>
  <si>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</si>
  <si>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</si>
  <si>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</si>
  <si>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</si>
  <si>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</si>
  <si>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</si>
  <si>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</si>
  <si>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</si>
  <si>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</si>
  <si>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</si>
  <si>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</si>
  <si>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</si>
  <si>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</si>
  <si>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</si>
  <si>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</si>
  <si>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</si>
  <si>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</si>
  <si>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</si>
  <si>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</si>
  <si>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</si>
  <si>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</si>
  <si>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</si>
  <si>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</si>
  <si>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</si>
  <si>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</si>
  <si>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</si>
  <si>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</si>
  <si>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</si>
  <si>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</si>
  <si>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</si>
  <si>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</si>
  <si>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</si>
  <si>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</si>
  <si>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</si>
  <si>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</si>
  <si>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</si>
  <si>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</si>
  <si>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</si>
  <si>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</si>
  <si>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</si>
  <si>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</si>
  <si>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</si>
  <si>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</si>
  <si>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</si>
  <si>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</si>
  <si>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</si>
  <si>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</si>
  <si>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</si>
  <si>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</si>
  <si>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</si>
  <si>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</si>
  <si>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</si>
  <si>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</si>
  <si>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</si>
  <si>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</si>
  <si>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</si>
  <si>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</si>
  <si>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</si>
  <si>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</si>
  <si>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</si>
  <si>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</si>
  <si>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</si>
  <si>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</si>
  <si>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</si>
  <si>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</si>
  <si>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</si>
  <si>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</si>
  <si>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</si>
  <si>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</si>
  <si>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</si>
  <si>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</si>
  <si>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</si>
  <si>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</si>
  <si>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</si>
  <si>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</si>
  <si>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</si>
  <si>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</si>
  <si>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</si>
  <si>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</si>
  <si>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</si>
  <si>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</si>
  <si>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</si>
  <si>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</si>
  <si>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</si>
  <si>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</si>
  <si>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</si>
  <si>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</si>
  <si>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</si>
  <si>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</si>
  <si>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</si>
  <si>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</si>
  <si>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</si>
  <si>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</si>
  <si>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</si>
  <si>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</si>
  <si>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</si>
  <si>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</si>
  <si>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</si>
  <si>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</si>
  <si>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</si>
  <si>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</si>
  <si>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</si>
  <si>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</si>
  <si>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</si>
  <si>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</si>
  <si>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</si>
  <si>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</si>
  <si>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</si>
  <si>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</si>
  <si>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</si>
  <si>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</si>
  <si>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</si>
  <si>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</si>
  <si>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</si>
  <si>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</si>
  <si>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</si>
  <si>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</si>
  <si>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</si>
  <si>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</si>
  <si>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</si>
  <si>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</si>
  <si>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</si>
  <si>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</si>
  <si>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</si>
  <si>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</si>
  <si>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</si>
  <si>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</si>
  <si>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</si>
  <si>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</si>
  <si>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</si>
  <si>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</si>
  <si>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</si>
  <si>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</si>
  <si>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</si>
  <si>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</si>
  <si>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</si>
  <si>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</si>
  <si>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</si>
  <si>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</si>
  <si>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</si>
  <si>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</si>
  <si>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</si>
  <si>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</si>
  <si>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</si>
  <si>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</si>
  <si>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</si>
  <si>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</si>
  <si>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</si>
  <si>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</si>
  <si>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</si>
  <si>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</si>
  <si>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</si>
  <si>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</si>
  <si>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</si>
  <si>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</si>
  <si>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</si>
  <si>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</si>
  <si>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</si>
  <si>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</si>
  <si>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</si>
  <si>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</si>
  <si>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</si>
  <si>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</si>
  <si>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</si>
  <si>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</si>
  <si>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</si>
  <si>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</si>
  <si>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</si>
  <si>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</si>
  <si>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</si>
  <si>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</si>
  <si>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</si>
  <si>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</si>
  <si>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</si>
  <si>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</si>
  <si>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</si>
  <si>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</si>
  <si>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</si>
  <si>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</si>
  <si>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</si>
  <si>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</si>
  <si>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</si>
  <si>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</si>
  <si>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</si>
  <si>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</si>
  <si>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</si>
  <si>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</si>
  <si>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</si>
  <si>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</si>
  <si>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</si>
  <si>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</si>
  <si>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</si>
  <si>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</si>
  <si>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</si>
  <si>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</si>
  <si>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</si>
  <si>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</si>
  <si>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</si>
  <si>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</si>
  <si>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</si>
  <si>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</si>
  <si>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</si>
  <si>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</si>
  <si>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</si>
  <si>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</si>
  <si>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</si>
  <si>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</si>
  <si>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</si>
  <si>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</si>
  <si>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</si>
  <si>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</si>
  <si>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</si>
  <si>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</si>
  <si>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</si>
  <si>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</si>
  <si>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</si>
  <si>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</si>
  <si>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</si>
  <si>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</si>
  <si>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</si>
  <si>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</si>
  <si>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</si>
  <si>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</si>
  <si>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</si>
  <si>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</si>
  <si>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</si>
  <si>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</si>
  <si>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</si>
  <si>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</si>
  <si>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</si>
  <si>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</si>
  <si>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</si>
  <si>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</si>
  <si>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</si>
  <si>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</si>
  <si>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</si>
  <si>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</si>
  <si>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</si>
  <si>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</si>
  <si>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</si>
  <si>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</si>
  <si>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</si>
  <si>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</si>
  <si>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</si>
  <si>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</si>
  <si>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</si>
  <si>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</si>
  <si>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</si>
  <si>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</si>
  <si>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</si>
  <si>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</si>
  <si>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</si>
  <si>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</si>
  <si>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</si>
  <si>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</si>
  <si>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</si>
  <si>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</si>
  <si>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</si>
  <si>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</si>
  <si>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</si>
  <si>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</si>
  <si>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</si>
  <si>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</si>
  <si>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</si>
  <si>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</si>
  <si>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</si>
  <si>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</si>
  <si>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</si>
  <si>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</si>
  <si>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</si>
  <si>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</si>
  <si>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</si>
  <si>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</si>
  <si>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</si>
  <si>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</si>
  <si>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</si>
  <si>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</si>
  <si>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</si>
  <si>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</si>
  <si>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</si>
  <si>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</si>
  <si>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</si>
  <si>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</si>
  <si>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</si>
  <si>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</si>
  <si>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</si>
  <si>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</si>
  <si>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</si>
  <si>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</si>
  <si>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</si>
  <si>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</si>
  <si>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</si>
  <si>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</si>
  <si>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</si>
  <si>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</si>
  <si>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</si>
  <si>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</si>
  <si>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</si>
  <si>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</si>
  <si>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</si>
  <si>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</si>
  <si>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</si>
  <si>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</si>
  <si>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</si>
  <si>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</si>
  <si>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</si>
  <si>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</si>
  <si>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</si>
  <si>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</si>
  <si>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</si>
  <si>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</si>
  <si>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</si>
  <si>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</si>
  <si>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</si>
  <si>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</si>
  <si>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</si>
  <si>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</si>
  <si>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</si>
  <si>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</si>
  <si>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</si>
  <si>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</si>
  <si>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</si>
  <si>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</si>
  <si>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</si>
  <si>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</si>
  <si>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</si>
  <si>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</si>
  <si>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</si>
  <si>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</si>
  <si>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</si>
  <si>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</si>
  <si>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</si>
  <si>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</si>
  <si>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</si>
  <si>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</si>
  <si>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</si>
  <si>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</si>
  <si>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</si>
  <si>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</si>
  <si>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</si>
  <si>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</si>
  <si>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</si>
  <si>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</si>
  <si>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</si>
  <si>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</si>
  <si>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</si>
  <si>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</si>
  <si>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</si>
  <si>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</si>
  <si>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</si>
  <si>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</si>
  <si>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</si>
  <si>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</si>
  <si>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</si>
  <si>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</si>
  <si>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</si>
  <si>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</si>
  <si>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</si>
  <si>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</si>
  <si>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</si>
  <si>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</si>
  <si>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</si>
  <si>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</si>
  <si>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</si>
  <si>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</si>
  <si>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</si>
  <si>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</si>
  <si>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</si>
  <si>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</si>
  <si>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</si>
  <si>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</si>
  <si>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</si>
  <si>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</si>
  <si>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</si>
  <si>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</si>
  <si>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</si>
  <si>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</si>
  <si>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</si>
  <si>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</si>
  <si>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</si>
  <si>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</si>
  <si>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</si>
  <si>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</si>
  <si>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</si>
  <si>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</si>
  <si>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</si>
  <si>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</si>
  <si>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</si>
  <si>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</si>
  <si>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</si>
  <si>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</si>
  <si>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</si>
  <si>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</si>
  <si>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</si>
  <si>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</si>
  <si>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</si>
  <si>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</si>
  <si>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</si>
  <si>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</si>
  <si>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</si>
  <si>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</si>
  <si>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</si>
  <si>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</si>
  <si>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</si>
  <si>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</si>
  <si>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</si>
  <si>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</si>
  <si>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</si>
  <si>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</si>
  <si>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</si>
  <si>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</si>
  <si>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</si>
  <si>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</si>
  <si>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</si>
  <si>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</si>
  <si>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</si>
  <si>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</si>
  <si>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</si>
  <si>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</si>
  <si>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</si>
  <si>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</si>
  <si>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</si>
  <si>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</si>
  <si>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</si>
  <si>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</si>
  <si>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</si>
  <si>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</si>
  <si>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</si>
  <si>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</si>
  <si>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</si>
  <si>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</si>
  <si>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</si>
  <si>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</si>
  <si>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</si>
  <si>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</si>
  <si>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</si>
  <si>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</si>
  <si>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</si>
  <si>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</si>
  <si>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</si>
  <si>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</si>
  <si>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</si>
  <si>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</si>
  <si>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北京国际大厦</t>
  </si>
  <si>
    <t>嘉豪国际中心</t>
  </si>
  <si>
    <t>北方地产大厦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</si>
  <si>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</si>
  <si>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</si>
  <si>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</si>
  <si>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</si>
  <si>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</si>
  <si>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</si>
  <si>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</si>
  <si>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</si>
  <si>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</si>
  <si>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</si>
  <si>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</si>
  <si>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</si>
  <si>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</si>
  <si>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</si>
  <si>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</si>
  <si>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</si>
  <si>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</si>
  <si>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</si>
  <si>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</si>
  <si>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</si>
  <si>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</si>
  <si>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</si>
  <si>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</si>
  <si>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</si>
  <si>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</si>
  <si>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</si>
  <si>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</si>
  <si>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</si>
  <si>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</si>
  <si>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</si>
  <si>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</si>
  <si>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</si>
  <si>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</si>
  <si>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</si>
  <si>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</si>
  <si>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</si>
  <si>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</si>
  <si>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</si>
  <si>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</si>
  <si>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</si>
  <si>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</si>
  <si>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</si>
  <si>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</si>
  <si>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普通物业</t>
  </si>
  <si>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</si>
  <si>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</si>
  <si>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</si>
  <si>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</si>
  <si>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</si>
  <si>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</si>
  <si>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</si>
  <si>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</si>
  <si>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</si>
  <si>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</si>
  <si>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</si>
  <si>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</si>
  <si>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</si>
  <si>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</si>
  <si>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</si>
  <si>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</si>
  <si>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</si>
  <si>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</si>
  <si>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</si>
  <si>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</si>
  <si>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</si>
  <si>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</si>
  <si>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</si>
  <si>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</si>
  <si>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</si>
  <si>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</si>
  <si>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</si>
  <si>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</si>
  <si>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</si>
  <si>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</si>
  <si>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</si>
  <si>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</si>
  <si>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</si>
  <si>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</si>
  <si>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</si>
  <si>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</si>
  <si>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</si>
  <si>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</si>
  <si>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</si>
  <si>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</si>
  <si>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毛坯</t>
  </si>
  <si>
    <t>租金水平</t>
  </si>
  <si>
    <t>面积</t>
  </si>
  <si>
    <t>楼层</t>
  </si>
  <si>
    <t>单价</t>
  </si>
  <si>
    <t>装修</t>
  </si>
  <si>
    <t>入驻时间</t>
  </si>
  <si>
    <t>8-10元</t>
  </si>
  <si>
    <t>安居客</t>
  </si>
  <si>
    <t>6-7元</t>
  </si>
  <si>
    <t>远行</t>
  </si>
  <si>
    <t>7-9元</t>
  </si>
  <si>
    <t>广源大厦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</si>
  <si>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</si>
  <si>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</si>
  <si>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</si>
  <si>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</si>
  <si>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</si>
  <si>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</si>
  <si>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</si>
  <si>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</si>
  <si>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</si>
  <si>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</si>
  <si>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</si>
  <si>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</si>
  <si>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</si>
  <si>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</si>
  <si>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</si>
  <si>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</si>
  <si>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</si>
  <si>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</si>
  <si>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</si>
  <si>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</si>
  <si>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</si>
  <si>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</si>
  <si>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</si>
  <si>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</si>
  <si>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</si>
  <si>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</si>
  <si>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</si>
  <si>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</si>
  <si>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</si>
  <si>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</si>
  <si>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</si>
  <si>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</si>
  <si>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</si>
  <si>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</si>
  <si>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</si>
  <si>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</si>
  <si>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</si>
  <si>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</si>
  <si>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</si>
  <si>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</si>
  <si>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</si>
  <si>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</si>
  <si>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</si>
  <si>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</si>
  <si>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</si>
  <si>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</si>
  <si>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</si>
  <si>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</si>
  <si>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</si>
  <si>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</si>
  <si>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</si>
  <si>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</si>
  <si>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</si>
  <si>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</si>
  <si>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</si>
  <si>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</si>
  <si>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</si>
  <si>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</si>
  <si>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</si>
  <si>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</si>
  <si>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</si>
  <si>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</si>
  <si>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</si>
  <si>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</si>
  <si>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</si>
  <si>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</si>
  <si>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</si>
  <si>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</si>
  <si>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</si>
  <si>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</si>
  <si>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</si>
  <si>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</si>
  <si>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</si>
  <si>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</si>
  <si>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</si>
  <si>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</si>
  <si>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</si>
  <si>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</si>
  <si>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</si>
  <si>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</si>
  <si>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</si>
  <si>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</si>
  <si>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</si>
  <si>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</si>
  <si>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</si>
  <si>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</si>
  <si>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</si>
  <si>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</si>
  <si>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</si>
  <si>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</si>
  <si>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</si>
  <si>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</si>
  <si>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</si>
  <si>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</si>
  <si>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</si>
  <si>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</si>
  <si>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</si>
  <si>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</si>
  <si>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</si>
  <si>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</si>
  <si>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</si>
  <si>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</si>
  <si>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</si>
  <si>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</si>
  <si>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</si>
  <si>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</si>
  <si>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</si>
  <si>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</si>
  <si>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</si>
  <si>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</si>
  <si>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</si>
  <si>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</si>
  <si>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</si>
  <si>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</si>
  <si>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</si>
  <si>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</si>
  <si>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</si>
  <si>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</si>
  <si>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</si>
  <si>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</si>
  <si>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</si>
  <si>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</si>
  <si>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</si>
  <si>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</si>
  <si>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</si>
  <si>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</si>
  <si>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</si>
  <si>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</si>
  <si>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</si>
  <si>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</si>
  <si>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</si>
  <si>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</si>
  <si>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</si>
  <si>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</si>
  <si>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</si>
  <si>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</si>
  <si>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</si>
  <si>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</si>
  <si>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</si>
  <si>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</si>
  <si>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</si>
  <si>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</si>
  <si>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</si>
  <si>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</si>
  <si>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</si>
  <si>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</si>
  <si>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</si>
  <si>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</si>
  <si>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</si>
  <si>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</si>
  <si>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</si>
  <si>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</si>
  <si>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</si>
  <si>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</si>
  <si>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</si>
  <si>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</si>
  <si>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</si>
  <si>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</si>
  <si>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</si>
  <si>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</si>
  <si>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</si>
  <si>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</si>
  <si>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</si>
  <si>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</si>
  <si>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</si>
  <si>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</si>
  <si>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</si>
  <si>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</si>
  <si>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</si>
  <si>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</si>
  <si>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</si>
  <si>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</si>
  <si>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</si>
  <si>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</si>
  <si>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</si>
  <si>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</si>
  <si>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</si>
  <si>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</si>
  <si>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</si>
  <si>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</si>
  <si>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</si>
  <si>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</si>
  <si>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</si>
  <si>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</si>
  <si>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</si>
  <si>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</si>
  <si>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</si>
  <si>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</si>
  <si>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</si>
  <si>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</si>
  <si>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</si>
  <si>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</si>
  <si>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</si>
  <si>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</si>
  <si>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</si>
  <si>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</si>
  <si>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</si>
  <si>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</si>
  <si>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</si>
  <si>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</si>
  <si>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</si>
  <si>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   赁   台   账</t>
  </si>
  <si>
    <t>序号</t>
  </si>
  <si>
    <t>单位名称</t>
  </si>
  <si>
    <t>租赁位置</t>
  </si>
  <si>
    <t>租赁面积</t>
  </si>
  <si>
    <t>租赁日期</t>
  </si>
  <si>
    <t>租赁年限</t>
  </si>
  <si>
    <t>日租金</t>
  </si>
  <si>
    <t>年租金</t>
  </si>
  <si>
    <t>用途</t>
  </si>
  <si>
    <t>保证金</t>
  </si>
  <si>
    <t>签订日期</t>
  </si>
  <si>
    <t>沈建康</t>
  </si>
  <si>
    <r>
      <rPr>
        <sz val="10"/>
        <color indexed="8"/>
        <rFont val="宋体"/>
        <family val="3"/>
        <charset val="134"/>
      </rPr>
      <t>8</t>
    </r>
    <r>
      <rPr>
        <sz val="10"/>
        <color indexed="8"/>
        <rFont val="宋体"/>
        <family val="3"/>
        <charset val="134"/>
      </rPr>
      <t>4041</t>
    </r>
  </si>
  <si>
    <t>20191111--20221110</t>
  </si>
  <si>
    <r>
      <rPr>
        <sz val="11"/>
        <color theme="1"/>
        <rFont val="宋体"/>
        <family val="3"/>
        <charset val="134"/>
        <scheme val="minor"/>
      </rPr>
      <t>4</t>
    </r>
    <r>
      <rPr>
        <sz val="11"/>
        <color indexed="8"/>
        <rFont val="宋体"/>
        <family val="3"/>
        <charset val="134"/>
      </rPr>
      <t>-18岁中国舞培训</t>
    </r>
  </si>
  <si>
    <r>
      <rPr>
        <sz val="11"/>
        <color theme="1"/>
        <rFont val="宋体"/>
        <family val="3"/>
        <charset val="134"/>
        <scheme val="minor"/>
      </rPr>
      <t>2</t>
    </r>
    <r>
      <rPr>
        <sz val="11"/>
        <color indexed="8"/>
        <rFont val="宋体"/>
        <family val="3"/>
        <charset val="134"/>
      </rPr>
      <t>0191104</t>
    </r>
  </si>
  <si>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</si>
  <si>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</si>
  <si>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</si>
  <si>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</si>
  <si>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</si>
  <si>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</si>
  <si>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</si>
  <si>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</si>
  <si>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</si>
  <si>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北京优爱睿途教育咨询有限公司</t>
  </si>
  <si>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</si>
  <si>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</si>
  <si>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</si>
  <si>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</si>
  <si>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</si>
  <si>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</si>
  <si>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</si>
  <si>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</si>
  <si>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</si>
  <si>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</si>
  <si>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</si>
  <si>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</si>
  <si>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</si>
  <si>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t>84028</t>
  </si>
  <si>
    <r>
      <rPr>
        <sz val="10"/>
        <color indexed="8"/>
        <rFont val="宋体"/>
        <family val="3"/>
        <charset val="134"/>
      </rPr>
      <t>2</t>
    </r>
    <r>
      <rPr>
        <sz val="10"/>
        <color indexed="8"/>
        <rFont val="宋体"/>
        <family val="3"/>
        <charset val="134"/>
      </rPr>
      <t>0210904--20240903</t>
    </r>
  </si>
  <si>
    <t>舞蹈教育培训</t>
  </si>
  <si>
    <r>
      <rPr>
        <sz val="11"/>
        <color theme="1"/>
        <rFont val="宋体"/>
        <family val="3"/>
        <charset val="134"/>
        <scheme val="minor"/>
      </rPr>
      <t>2</t>
    </r>
    <r>
      <rPr>
        <sz val="11"/>
        <color theme="1"/>
        <rFont val="宋体"/>
        <family val="3"/>
        <charset val="134"/>
        <scheme val="minor"/>
      </rPr>
      <t>0210826</t>
    </r>
  </si>
  <si>
    <t>北京盛舞悦雅文化传媒有限公司</t>
  </si>
  <si>
    <t>84037/84039</t>
  </si>
  <si>
    <r>
      <rPr>
        <sz val="10"/>
        <color indexed="8"/>
        <rFont val="宋体"/>
        <family val="3"/>
        <charset val="134"/>
      </rPr>
      <t>2</t>
    </r>
    <r>
      <rPr>
        <sz val="10"/>
        <color indexed="8"/>
        <rFont val="宋体"/>
        <family val="3"/>
        <charset val="134"/>
      </rPr>
      <t>0210116--20240228</t>
    </r>
  </si>
  <si>
    <r>
      <rPr>
        <sz val="11"/>
        <color theme="1"/>
        <rFont val="宋体"/>
        <family val="3"/>
        <charset val="134"/>
        <scheme val="minor"/>
      </rPr>
      <t>3年</t>
    </r>
    <r>
      <rPr>
        <sz val="11"/>
        <color theme="1"/>
        <rFont val="宋体"/>
        <family val="3"/>
        <charset val="134"/>
        <scheme val="minor"/>
      </rPr>
      <t>44天</t>
    </r>
  </si>
  <si>
    <r>
      <rPr>
        <sz val="11"/>
        <color theme="1"/>
        <rFont val="宋体"/>
        <family val="3"/>
        <charset val="134"/>
        <scheme val="minor"/>
      </rPr>
      <t>2</t>
    </r>
    <r>
      <rPr>
        <sz val="11"/>
        <color theme="1"/>
        <rFont val="宋体"/>
        <family val="3"/>
        <charset val="134"/>
        <scheme val="minor"/>
      </rPr>
      <t>0210115</t>
    </r>
  </si>
  <si>
    <t>84038</t>
  </si>
  <si>
    <t>20210404--20240228</t>
  </si>
  <si>
    <t>2年331天</t>
  </si>
  <si>
    <t>20210324</t>
  </si>
  <si>
    <r>
      <rPr>
        <sz val="10"/>
        <color indexed="8"/>
        <rFont val="宋体"/>
        <family val="3"/>
        <charset val="134"/>
      </rPr>
      <t>8</t>
    </r>
    <r>
      <rPr>
        <sz val="10"/>
        <color indexed="8"/>
        <rFont val="宋体"/>
        <family val="3"/>
        <charset val="134"/>
      </rPr>
      <t>4022</t>
    </r>
  </si>
  <si>
    <t>北京蕃艺文化艺术传播有限公司</t>
  </si>
  <si>
    <t>84009/84011</t>
  </si>
  <si>
    <t>20210414--20230410</t>
  </si>
  <si>
    <t>1年362天</t>
  </si>
  <si>
    <t>20210305</t>
  </si>
  <si>
    <t>84015</t>
  </si>
  <si>
    <t>沈子璇</t>
  </si>
  <si>
    <t>84017</t>
  </si>
  <si>
    <t>20210929--20240928</t>
  </si>
  <si>
    <t>20210913</t>
  </si>
  <si>
    <t>北京光影文化有限公司（邓海波）</t>
  </si>
  <si>
    <t>84163</t>
  </si>
  <si>
    <t>20210606--</t>
  </si>
  <si>
    <t>不定期</t>
  </si>
  <si>
    <t>摄影</t>
  </si>
  <si>
    <t>20210601</t>
  </si>
  <si>
    <t>北京舞研艺美教育咨询有限公司</t>
  </si>
  <si>
    <t>84002/84051</t>
  </si>
  <si>
    <t>20210403--20240402</t>
  </si>
  <si>
    <t>20210319</t>
  </si>
  <si>
    <t>北京舞蹈学院</t>
  </si>
  <si>
    <t>84002</t>
  </si>
  <si>
    <t>20211101--20261031</t>
  </si>
  <si>
    <t>20211025</t>
  </si>
  <si>
    <t>四层小计</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</si>
  <si>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</si>
  <si>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</si>
  <si>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</si>
  <si>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</si>
  <si>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</si>
  <si>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</si>
  <si>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</si>
  <si>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</si>
  <si>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</si>
  <si>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</si>
  <si>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</si>
  <si>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</si>
  <si>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</si>
  <si>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</si>
  <si>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</si>
  <si>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</si>
  <si>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</si>
  <si>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</si>
  <si>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</si>
  <si>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</si>
  <si>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</si>
  <si>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</si>
  <si>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</si>
  <si>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</si>
  <si>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</si>
  <si>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</si>
  <si>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</si>
  <si>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</si>
  <si>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</si>
  <si>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</si>
  <si>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</si>
  <si>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</si>
  <si>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</si>
  <si>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</si>
  <si>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</si>
  <si>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</si>
  <si>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</si>
  <si>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</si>
  <si>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</si>
  <si>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</si>
  <si>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</si>
  <si>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</si>
  <si>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</si>
  <si>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</si>
  <si>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</si>
  <si>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</si>
  <si>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</si>
  <si>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</si>
  <si>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</si>
  <si>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</si>
  <si>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</si>
  <si>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</si>
  <si>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</si>
  <si>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</si>
  <si>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</si>
  <si>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</si>
  <si>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</si>
  <si>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</si>
  <si>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</si>
  <si>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</si>
  <si>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</si>
  <si>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</si>
  <si>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</si>
  <si>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</si>
  <si>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</si>
  <si>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</si>
  <si>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</si>
  <si>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</si>
  <si>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</si>
  <si>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</si>
  <si>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</si>
  <si>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</si>
  <si>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</si>
  <si>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</si>
  <si>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</si>
  <si>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</si>
  <si>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</si>
  <si>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</si>
  <si>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</si>
  <si>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</si>
  <si>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</si>
  <si>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</si>
  <si>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</si>
  <si>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</si>
  <si>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</si>
  <si>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</si>
  <si>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</si>
  <si>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</si>
  <si>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</si>
  <si>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</si>
  <si>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</si>
  <si>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</si>
  <si>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</si>
  <si>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</si>
  <si>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</si>
  <si>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</si>
  <si>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</si>
  <si>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</si>
  <si>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</si>
  <si>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</si>
  <si>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</si>
  <si>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</si>
  <si>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</si>
  <si>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</si>
  <si>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</si>
  <si>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</si>
  <si>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</si>
  <si>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</si>
  <si>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</si>
  <si>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</si>
  <si>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</si>
  <si>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</si>
  <si>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</si>
  <si>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</si>
  <si>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</si>
  <si>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</si>
  <si>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</si>
  <si>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</si>
  <si>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</si>
  <si>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</si>
  <si>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</si>
  <si>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</si>
  <si>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</si>
  <si>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</si>
  <si>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</si>
  <si>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</si>
  <si>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</si>
  <si>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</si>
  <si>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</si>
  <si>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</si>
  <si>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</si>
  <si>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</si>
  <si>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</si>
  <si>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</si>
  <si>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</si>
  <si>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</si>
  <si>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</si>
  <si>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</si>
  <si>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</si>
  <si>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</si>
  <si>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</si>
  <si>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</si>
  <si>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</si>
  <si>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</si>
  <si>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</si>
  <si>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</si>
  <si>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</si>
  <si>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</si>
  <si>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</si>
  <si>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</si>
  <si>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</si>
  <si>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</si>
  <si>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</si>
  <si>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</si>
  <si>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</si>
  <si>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</si>
  <si>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</si>
  <si>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</si>
  <si>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</si>
  <si>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</si>
  <si>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</si>
  <si>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</si>
  <si>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</si>
  <si>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</si>
  <si>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</si>
  <si>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</si>
  <si>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</si>
  <si>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</si>
  <si>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</si>
  <si>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</si>
  <si>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</si>
  <si>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</si>
  <si>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</si>
  <si>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</si>
  <si>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</si>
  <si>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</si>
  <si>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</si>
  <si>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</si>
  <si>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</si>
  <si>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</si>
  <si>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</si>
  <si>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</si>
  <si>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</si>
  <si>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</si>
  <si>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</si>
  <si>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</si>
  <si>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</si>
  <si>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</si>
  <si>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</si>
  <si>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</si>
  <si>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</si>
  <si>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</si>
  <si>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</si>
  <si>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</si>
  <si>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</si>
  <si>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</si>
  <si>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</si>
  <si>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</si>
  <si>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</si>
  <si>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</si>
  <si>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</si>
  <si>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</si>
  <si>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</si>
  <si>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</si>
  <si>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</si>
  <si>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</si>
  <si>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</si>
  <si>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</si>
  <si>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</si>
  <si>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</si>
  <si>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</si>
  <si>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</si>
  <si>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</si>
  <si>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</si>
  <si>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</si>
  <si>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</si>
  <si>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</si>
  <si>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</si>
  <si>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</si>
  <si>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</si>
  <si>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</si>
  <si>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</si>
  <si>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</si>
  <si>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</si>
  <si>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</si>
  <si>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</si>
  <si>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</si>
  <si>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</si>
  <si>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</si>
  <si>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</si>
  <si>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</si>
  <si>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</si>
  <si>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</si>
  <si>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</si>
  <si>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</si>
  <si>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</si>
  <si>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</si>
  <si>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</si>
  <si>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</si>
  <si>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</si>
  <si>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</si>
  <si>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</si>
  <si>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</si>
  <si>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</si>
  <si>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</si>
  <si>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</si>
  <si>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</si>
  <si>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</si>
  <si>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</si>
  <si>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</si>
  <si>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</si>
  <si>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</si>
  <si>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</si>
  <si>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</si>
  <si>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</si>
  <si>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</si>
  <si>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</si>
  <si>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</si>
  <si>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</si>
  <si>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</si>
  <si>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</si>
  <si>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</si>
  <si>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</si>
  <si>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</si>
  <si>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</si>
  <si>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</si>
  <si>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</si>
  <si>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</si>
  <si>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</si>
  <si>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</si>
  <si>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</si>
  <si>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</si>
  <si>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</si>
  <si>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</si>
  <si>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</si>
  <si>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</si>
  <si>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</si>
  <si>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</si>
  <si>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</si>
  <si>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</si>
  <si>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</si>
  <si>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</si>
  <si>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</si>
  <si>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</si>
  <si>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</si>
  <si>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</si>
  <si>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</si>
  <si>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</si>
  <si>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</si>
  <si>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</si>
  <si>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</si>
  <si>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</si>
  <si>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</si>
  <si>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</si>
  <si>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</si>
  <si>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</si>
  <si>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</si>
  <si>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</si>
  <si>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</si>
  <si>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</si>
  <si>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</si>
  <si>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</si>
  <si>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</si>
  <si>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</si>
  <si>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</si>
  <si>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</si>
  <si>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</si>
  <si>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</si>
  <si>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</si>
  <si>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</si>
  <si>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</si>
  <si>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</si>
  <si>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</si>
  <si>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</si>
  <si>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</si>
  <si>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</si>
  <si>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</si>
  <si>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</si>
  <si>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</si>
  <si>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</si>
  <si>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</si>
  <si>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</si>
  <si>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</si>
  <si>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</si>
  <si>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</si>
  <si>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</si>
  <si>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</si>
  <si>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</si>
  <si>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</si>
  <si>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</si>
  <si>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</si>
  <si>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</si>
  <si>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</si>
  <si>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</si>
  <si>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</si>
  <si>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</si>
  <si>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</si>
  <si>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</si>
  <si>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</si>
  <si>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</si>
  <si>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</si>
  <si>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</si>
  <si>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</si>
  <si>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</si>
  <si>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</si>
  <si>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</si>
  <si>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</si>
  <si>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</si>
  <si>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</si>
  <si>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</si>
  <si>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</si>
  <si>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</si>
  <si>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</si>
  <si>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</si>
  <si>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</si>
  <si>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</si>
  <si>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</si>
  <si>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</si>
  <si>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</si>
  <si>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</si>
  <si>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</si>
  <si>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</si>
  <si>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</si>
  <si>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</si>
  <si>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</si>
  <si>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</si>
  <si>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</si>
  <si>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</si>
  <si>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</si>
  <si>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</si>
  <si>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</si>
  <si>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</si>
  <si>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</si>
  <si>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</si>
  <si>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</si>
  <si>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</si>
  <si>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</si>
  <si>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</si>
  <si>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</si>
  <si>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</si>
  <si>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</si>
  <si>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</si>
  <si>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</si>
  <si>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</si>
  <si>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</si>
  <si>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</si>
  <si>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</si>
  <si>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</si>
  <si>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</si>
  <si>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</si>
  <si>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</si>
  <si>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</si>
  <si>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</si>
  <si>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</si>
  <si>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</si>
  <si>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</si>
  <si>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</si>
  <si>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</si>
  <si>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</si>
  <si>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</si>
  <si>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</si>
  <si>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</si>
  <si>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</si>
  <si>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</si>
  <si>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</si>
  <si>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</si>
  <si>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</si>
  <si>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</si>
  <si>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</si>
  <si>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</si>
  <si>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</si>
  <si>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</si>
  <si>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</si>
  <si>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</si>
  <si>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</si>
  <si>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</si>
  <si>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</si>
  <si>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</si>
  <si>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</si>
  <si>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</si>
  <si>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</si>
  <si>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</si>
  <si>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</si>
  <si>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</si>
  <si>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</si>
  <si>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</si>
  <si>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</si>
  <si>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</si>
  <si>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</si>
  <si>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</si>
  <si>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</si>
  <si>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</si>
  <si>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</si>
  <si>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</si>
  <si>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</si>
  <si>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</si>
  <si>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</si>
  <si>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</si>
  <si>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</si>
  <si>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</si>
  <si>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</si>
  <si>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</si>
  <si>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</si>
  <si>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</si>
  <si>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</si>
  <si>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</si>
  <si>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</si>
  <si>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</si>
  <si>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</si>
  <si>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</si>
  <si>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</si>
  <si>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</si>
  <si>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</si>
  <si>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</si>
  <si>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</si>
  <si>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</si>
  <si>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</si>
  <si>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</si>
  <si>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</si>
  <si>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</si>
  <si>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</si>
  <si>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</si>
  <si>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</si>
  <si>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</si>
  <si>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</si>
  <si>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</si>
  <si>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</si>
  <si>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</si>
  <si>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</si>
  <si>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</si>
  <si>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</si>
  <si>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</si>
  <si>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</si>
  <si>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</si>
  <si>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</si>
  <si>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</si>
  <si>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</si>
  <si>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</si>
  <si>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</si>
  <si>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</si>
  <si>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</si>
  <si>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</si>
  <si>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</si>
  <si>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</si>
  <si>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</si>
  <si>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</si>
  <si>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</si>
  <si>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</si>
  <si>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</si>
  <si>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</si>
  <si>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</si>
  <si>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</si>
  <si>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</si>
  <si>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</si>
  <si>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</si>
  <si>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</si>
  <si>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</si>
  <si>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</si>
  <si>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</si>
  <si>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</si>
  <si>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</si>
  <si>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</si>
  <si>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</si>
  <si>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</si>
  <si>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</si>
  <si>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</si>
  <si>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</si>
  <si>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</si>
  <si>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</si>
  <si>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</si>
  <si>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</si>
  <si>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</si>
  <si>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</si>
  <si>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</si>
  <si>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</si>
  <si>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</si>
  <si>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</si>
  <si>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</si>
  <si>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</si>
  <si>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</si>
  <si>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</si>
  <si>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</si>
  <si>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</si>
  <si>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</si>
  <si>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</si>
  <si>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</si>
  <si>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</si>
  <si>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</si>
  <si>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</si>
  <si>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</si>
  <si>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</si>
  <si>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</si>
  <si>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</si>
  <si>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</si>
  <si>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</si>
  <si>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</si>
  <si>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</si>
  <si>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</si>
  <si>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</si>
  <si>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</si>
  <si>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</si>
  <si>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</si>
  <si>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</si>
  <si>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</si>
  <si>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</si>
  <si>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</si>
  <si>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</si>
  <si>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</si>
  <si>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</si>
  <si>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</si>
  <si>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</si>
  <si>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</si>
  <si>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</si>
  <si>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</si>
  <si>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</si>
  <si>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</si>
  <si>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</si>
  <si>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</si>
  <si>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</si>
  <si>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</si>
  <si>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</si>
  <si>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</si>
  <si>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</si>
  <si>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</si>
  <si>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</si>
  <si>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</si>
  <si>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</si>
  <si>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</si>
  <si>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</si>
  <si>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</si>
  <si>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</si>
  <si>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</si>
  <si>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</si>
  <si>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</si>
  <si>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</si>
  <si>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</si>
  <si>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</si>
  <si>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</si>
  <si>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</si>
  <si>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</si>
  <si>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</si>
  <si>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</si>
  <si>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</si>
  <si>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</si>
  <si>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</si>
  <si>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</si>
  <si>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</si>
  <si>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</si>
  <si>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</si>
  <si>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</si>
  <si>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</si>
  <si>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</si>
  <si>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</si>
  <si>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</si>
  <si>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</si>
  <si>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</si>
  <si>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</si>
  <si>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</si>
  <si>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</si>
  <si>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</si>
  <si>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</si>
  <si>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</si>
  <si>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</si>
  <si>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</si>
  <si>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</si>
  <si>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</si>
  <si>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</si>
  <si>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</si>
  <si>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</si>
  <si>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</si>
  <si>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</si>
  <si>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</si>
  <si>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</si>
  <si>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</si>
  <si>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</si>
  <si>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</si>
  <si>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</si>
  <si>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</si>
  <si>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</si>
  <si>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</si>
  <si>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</si>
  <si>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</si>
  <si>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</si>
  <si>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</si>
  <si>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</si>
  <si>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</si>
  <si>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</si>
  <si>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</si>
  <si>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</si>
  <si>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</si>
  <si>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</si>
  <si>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</si>
  <si>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</si>
  <si>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</si>
  <si>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</si>
  <si>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</si>
  <si>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</si>
  <si>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</si>
  <si>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</si>
  <si>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</si>
  <si>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</si>
  <si>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</si>
  <si>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</si>
  <si>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</si>
  <si>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</si>
  <si>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</si>
  <si>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</si>
  <si>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</si>
  <si>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</si>
  <si>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</si>
  <si>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</si>
  <si>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</si>
  <si>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</si>
  <si>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</si>
  <si>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</si>
  <si>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</si>
  <si>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</si>
  <si>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</si>
  <si>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</si>
  <si>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</si>
  <si>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</si>
  <si>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</si>
  <si>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</si>
  <si>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</si>
  <si>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</si>
  <si>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</si>
  <si>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</si>
  <si>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</si>
  <si>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</si>
  <si>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</si>
  <si>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</si>
  <si>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</si>
  <si>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</si>
  <si>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</si>
  <si>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</si>
  <si>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</si>
  <si>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</si>
  <si>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</si>
  <si>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</si>
  <si>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</si>
  <si>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</si>
  <si>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</si>
  <si>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</si>
  <si>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</si>
  <si>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</si>
  <si>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</si>
  <si>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</si>
  <si>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</si>
  <si>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</si>
  <si>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</si>
  <si>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</si>
  <si>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</si>
  <si>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</si>
  <si>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</si>
  <si>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</si>
  <si>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</si>
  <si>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</si>
  <si>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</si>
  <si>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</si>
  <si>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</si>
  <si>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</si>
  <si>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</si>
  <si>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</si>
  <si>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</si>
  <si>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</si>
  <si>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</si>
  <si>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</si>
  <si>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</si>
  <si>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</si>
  <si>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</si>
  <si>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</si>
  <si>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</si>
  <si>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</si>
  <si>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</si>
  <si>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</si>
  <si>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</si>
  <si>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</si>
  <si>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</si>
  <si>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</si>
  <si>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</si>
  <si>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</si>
  <si>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</si>
  <si>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</si>
  <si>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</si>
  <si>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</si>
  <si>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</si>
  <si>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</si>
  <si>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</si>
  <si>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</si>
  <si>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</si>
  <si>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</si>
  <si>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</si>
  <si>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</si>
  <si>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</si>
  <si>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</si>
  <si>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</si>
  <si>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</si>
  <si>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</si>
  <si>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</si>
  <si>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</si>
  <si>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</si>
  <si>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</si>
  <si>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</si>
  <si>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</si>
  <si>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</si>
  <si>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</si>
  <si>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</si>
  <si>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</si>
  <si>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</si>
  <si>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</si>
  <si>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</si>
  <si>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</si>
  <si>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</si>
  <si>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</si>
  <si>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</si>
  <si>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</si>
  <si>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</si>
  <si>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</si>
  <si>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</si>
  <si>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</si>
  <si>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</si>
  <si>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</si>
  <si>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</si>
  <si>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</si>
  <si>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</si>
  <si>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</si>
  <si>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</si>
  <si>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</si>
  <si>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</si>
  <si>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</si>
  <si>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</si>
  <si>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</si>
  <si>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</si>
  <si>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</si>
  <si>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</si>
  <si>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</si>
  <si>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</si>
  <si>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</si>
  <si>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</si>
  <si>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</si>
  <si>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</si>
  <si>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</si>
  <si>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</si>
  <si>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</si>
  <si>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</si>
  <si>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</si>
  <si>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</si>
  <si>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</si>
  <si>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</si>
  <si>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</si>
  <si>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</si>
  <si>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</si>
  <si>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</si>
  <si>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</si>
  <si>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</si>
  <si>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</si>
  <si>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</si>
  <si>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</si>
  <si>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</si>
  <si>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</si>
  <si>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</si>
  <si>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</si>
  <si>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</si>
  <si>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</si>
  <si>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</si>
  <si>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</si>
  <si>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</si>
  <si>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</si>
  <si>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</si>
  <si>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</si>
  <si>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</si>
  <si>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</si>
  <si>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</si>
  <si>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</si>
  <si>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</si>
  <si>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</si>
  <si>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</si>
  <si>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</si>
  <si>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</si>
  <si>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</si>
  <si>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</si>
  <si>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</si>
  <si>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</si>
  <si>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</si>
  <si>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</si>
  <si>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</si>
  <si>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</si>
  <si>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</si>
  <si>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</si>
  <si>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</si>
  <si>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</si>
  <si>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</si>
  <si>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</si>
  <si>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</si>
  <si>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</si>
  <si>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</si>
  <si>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</si>
  <si>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</si>
  <si>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</si>
  <si>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</si>
  <si>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</si>
  <si>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</si>
  <si>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</si>
  <si>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</si>
  <si>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</si>
  <si>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</si>
  <si>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</si>
  <si>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</si>
  <si>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</si>
  <si>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</si>
  <si>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</si>
  <si>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</si>
  <si>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</si>
  <si>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</si>
  <si>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</si>
  <si>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</si>
  <si>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</si>
  <si>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</si>
  <si>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</si>
  <si>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</si>
  <si>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</si>
  <si>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</si>
  <si>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</si>
  <si>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</si>
  <si>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</si>
  <si>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</si>
  <si>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</si>
  <si>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</si>
  <si>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</si>
  <si>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</si>
  <si>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</si>
  <si>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</si>
  <si>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</si>
  <si>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</si>
  <si>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</si>
  <si>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</si>
  <si>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</si>
  <si>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</si>
  <si>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</si>
  <si>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</si>
  <si>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</si>
  <si>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</si>
  <si>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</si>
  <si>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</si>
  <si>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</si>
  <si>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</si>
  <si>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</si>
  <si>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</si>
  <si>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</si>
  <si>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</si>
  <si>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</si>
  <si>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</si>
  <si>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</si>
  <si>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</si>
  <si>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</si>
  <si>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</si>
  <si>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</si>
  <si>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</si>
  <si>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</si>
  <si>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</si>
  <si>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</si>
  <si>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</si>
  <si>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</si>
  <si>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</si>
  <si>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</si>
  <si>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</si>
  <si>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</si>
  <si>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</si>
  <si>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</si>
  <si>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</si>
  <si>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</si>
  <si>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</si>
  <si>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</si>
  <si>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</si>
  <si>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</si>
  <si>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</si>
  <si>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</si>
  <si>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</si>
  <si>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</si>
  <si>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</si>
  <si>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</si>
  <si>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</si>
  <si>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</si>
  <si>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</si>
  <si>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</si>
  <si>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</si>
  <si>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</si>
  <si>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</si>
  <si>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</si>
  <si>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</si>
  <si>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</si>
  <si>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</si>
  <si>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</si>
  <si>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</si>
  <si>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</si>
  <si>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</si>
  <si>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</si>
  <si>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</si>
  <si>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</si>
  <si>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</si>
  <si>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</si>
  <si>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</si>
  <si>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</si>
  <si>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</si>
  <si>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</si>
  <si>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</si>
  <si>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</si>
  <si>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</si>
  <si>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</si>
  <si>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</si>
  <si>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</si>
  <si>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</si>
  <si>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</si>
  <si>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</si>
  <si>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</si>
  <si>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</si>
  <si>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</si>
  <si>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</si>
  <si>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</si>
  <si>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</si>
  <si>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</si>
  <si>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</si>
  <si>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</si>
  <si>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</si>
  <si>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</si>
  <si>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</si>
  <si>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</si>
  <si>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</si>
  <si>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</si>
  <si>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</si>
  <si>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</si>
  <si>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</si>
  <si>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</si>
  <si>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</si>
  <si>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</si>
  <si>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</si>
  <si>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</si>
  <si>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</si>
  <si>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</si>
  <si>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</si>
  <si>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</si>
  <si>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</si>
  <si>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</si>
  <si>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</si>
  <si>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</si>
  <si>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</si>
  <si>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</si>
  <si>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</si>
  <si>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</si>
  <si>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</si>
  <si>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</si>
  <si>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</si>
  <si>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</si>
  <si>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</si>
  <si>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</si>
  <si>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</si>
  <si>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</si>
  <si>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</si>
  <si>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</si>
  <si>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</si>
  <si>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</si>
  <si>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</si>
  <si>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</si>
  <si>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</si>
  <si>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</si>
  <si>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</si>
  <si>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</si>
  <si>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</si>
  <si>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</si>
  <si>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</si>
  <si>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</si>
  <si>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</si>
  <si>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</si>
  <si>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</si>
  <si>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</si>
  <si>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</si>
  <si>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</si>
  <si>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</si>
  <si>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</si>
  <si>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</si>
  <si>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</si>
  <si>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</si>
  <si>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</si>
  <si>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</si>
  <si>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</si>
  <si>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</si>
  <si>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</si>
  <si>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</si>
  <si>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</si>
  <si>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</si>
  <si>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</si>
  <si>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</si>
  <si>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</si>
  <si>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</si>
  <si>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</si>
  <si>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</si>
  <si>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</si>
  <si>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</si>
  <si>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</si>
  <si>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</si>
  <si>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</si>
  <si>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</si>
  <si>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</si>
  <si>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</si>
  <si>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</si>
  <si>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</si>
  <si>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</si>
  <si>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</si>
  <si>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</si>
  <si>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</si>
  <si>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</si>
  <si>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</si>
  <si>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</si>
  <si>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</si>
  <si>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</si>
  <si>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</si>
  <si>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</si>
  <si>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</si>
  <si>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</si>
  <si>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</si>
  <si>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</si>
  <si>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</si>
  <si>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</si>
  <si>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</si>
  <si>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</si>
  <si>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</si>
  <si>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</si>
  <si>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</si>
  <si>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</si>
  <si>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</si>
  <si>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</si>
  <si>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</si>
  <si>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</si>
  <si>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</si>
  <si>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</si>
  <si>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</si>
  <si>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</si>
  <si>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</si>
  <si>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</si>
  <si>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</si>
  <si>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</si>
  <si>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</si>
  <si>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</si>
  <si>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</si>
  <si>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</si>
  <si>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</si>
  <si>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</si>
  <si>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</si>
  <si>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</si>
  <si>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</si>
  <si>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</si>
  <si>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</si>
  <si>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</si>
  <si>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</si>
  <si>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</si>
  <si>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</si>
  <si>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</si>
  <si>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</si>
  <si>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</si>
  <si>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</si>
  <si>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</si>
  <si>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</si>
  <si>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</si>
  <si>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</si>
  <si>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</si>
  <si>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</si>
  <si>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</si>
  <si>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</si>
  <si>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</si>
  <si>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</si>
  <si>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</si>
  <si>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</si>
  <si>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</si>
  <si>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</si>
  <si>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</si>
  <si>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</si>
  <si>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</si>
  <si>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</si>
  <si>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</si>
  <si>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</si>
  <si>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</si>
  <si>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</si>
  <si>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</si>
  <si>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</si>
  <si>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</si>
  <si>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</si>
  <si>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</si>
  <si>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</si>
  <si>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</si>
  <si>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</si>
  <si>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</si>
  <si>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</si>
  <si>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</si>
  <si>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</si>
  <si>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</si>
  <si>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</si>
  <si>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</si>
  <si>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</si>
  <si>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</si>
  <si>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</si>
  <si>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</si>
  <si>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</si>
  <si>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</si>
  <si>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</si>
  <si>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</si>
  <si>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</si>
  <si>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</si>
  <si>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</si>
  <si>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</si>
  <si>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</si>
  <si>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</si>
  <si>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</si>
  <si>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</si>
  <si>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</si>
  <si>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</si>
  <si>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</si>
  <si>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</si>
  <si>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</si>
  <si>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</si>
  <si>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</si>
  <si>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</si>
  <si>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</si>
  <si>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</si>
  <si>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</si>
  <si>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</si>
  <si>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</si>
  <si>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</si>
  <si>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</si>
  <si>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</si>
  <si>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</si>
  <si>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</si>
  <si>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</si>
  <si>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</si>
  <si>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</si>
  <si>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</si>
  <si>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</si>
  <si>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</si>
  <si>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</si>
  <si>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</si>
  <si>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</si>
  <si>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</si>
  <si>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</si>
  <si>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</si>
  <si>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</si>
  <si>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</si>
  <si>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</si>
  <si>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</si>
  <si>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</si>
  <si>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</si>
  <si>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</si>
  <si>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</si>
  <si>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</si>
  <si>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</si>
  <si>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</si>
  <si>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</si>
  <si>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</si>
  <si>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</si>
  <si>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</si>
  <si>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</si>
  <si>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</si>
  <si>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</si>
  <si>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</si>
  <si>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</si>
  <si>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</si>
  <si>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</si>
  <si>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</si>
  <si>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</si>
  <si>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</si>
  <si>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</si>
  <si>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</si>
  <si>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</si>
  <si>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</si>
  <si>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</si>
  <si>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</si>
  <si>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</si>
  <si>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</si>
  <si>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</si>
  <si>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</si>
  <si>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</si>
  <si>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</si>
  <si>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</si>
  <si>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</si>
  <si>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</si>
  <si>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</si>
  <si>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</si>
  <si>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</si>
  <si>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</si>
  <si>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</si>
  <si>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</si>
  <si>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</si>
  <si>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</si>
  <si>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</si>
  <si>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</si>
  <si>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</si>
  <si>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</si>
  <si>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</si>
  <si>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</si>
  <si>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</si>
  <si>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</si>
  <si>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</si>
  <si>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</si>
  <si>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</si>
  <si>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</si>
  <si>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</si>
  <si>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</si>
  <si>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</si>
  <si>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</si>
  <si>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</si>
  <si>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</si>
  <si>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</si>
  <si>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</si>
  <si>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</si>
  <si>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</si>
  <si>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</si>
  <si>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</si>
  <si>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</si>
  <si>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</si>
  <si>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</si>
  <si>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</si>
  <si>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</si>
  <si>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</si>
  <si>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</si>
  <si>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</si>
  <si>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</si>
  <si>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</si>
  <si>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</si>
  <si>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</si>
  <si>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</si>
  <si>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</si>
  <si>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</si>
  <si>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</si>
  <si>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</si>
  <si>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</si>
  <si>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</si>
  <si>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</si>
  <si>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</si>
  <si>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</si>
  <si>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</si>
  <si>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</si>
  <si>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</si>
  <si>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</si>
  <si>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</si>
  <si>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</si>
  <si>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</si>
  <si>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</si>
  <si>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</si>
  <si>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</si>
  <si>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</si>
  <si>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</si>
  <si>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</si>
  <si>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</si>
  <si>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</si>
  <si>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</si>
  <si>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</si>
  <si>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</si>
  <si>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</si>
  <si>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</si>
  <si>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</si>
  <si>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</si>
  <si>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</si>
  <si>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</si>
  <si>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</si>
  <si>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</si>
  <si>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</si>
  <si>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</si>
  <si>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</si>
  <si>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</si>
  <si>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</si>
  <si>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</si>
  <si>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</si>
  <si>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</si>
  <si>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</si>
  <si>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</si>
  <si>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</si>
  <si>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</si>
  <si>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</si>
  <si>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</si>
  <si>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</si>
  <si>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</si>
  <si>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</si>
  <si>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</si>
  <si>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</si>
  <si>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</si>
  <si>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</si>
  <si>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</si>
  <si>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</si>
  <si>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</si>
  <si>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</si>
  <si>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</si>
  <si>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</si>
  <si>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</si>
  <si>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</si>
  <si>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</si>
  <si>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</si>
  <si>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</si>
  <si>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</si>
  <si>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</si>
  <si>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</si>
  <si>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</si>
  <si>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</si>
  <si>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</si>
  <si>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</si>
  <si>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</si>
  <si>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</si>
  <si>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</si>
  <si>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</si>
  <si>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</si>
  <si>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</si>
  <si>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</si>
  <si>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</si>
  <si>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</si>
  <si>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</si>
  <si>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</si>
  <si>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</si>
  <si>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</si>
  <si>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</si>
  <si>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</si>
  <si>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</si>
  <si>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</si>
  <si>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</si>
  <si>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</si>
  <si>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</si>
  <si>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</si>
  <si>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</si>
  <si>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</si>
  <si>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</si>
  <si>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</si>
  <si>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</si>
  <si>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</si>
  <si>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</si>
  <si>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</si>
  <si>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</si>
  <si>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</si>
  <si>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</si>
  <si>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</si>
  <si>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</si>
  <si>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</si>
  <si>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</si>
  <si>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</si>
  <si>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</si>
  <si>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</si>
  <si>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</si>
  <si>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</si>
  <si>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</si>
  <si>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</si>
  <si>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</si>
  <si>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</si>
  <si>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</si>
  <si>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</si>
  <si>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</si>
  <si>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</si>
  <si>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</si>
  <si>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</si>
  <si>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</si>
  <si>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</si>
  <si>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</si>
  <si>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</si>
  <si>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</si>
  <si>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</si>
  <si>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</si>
  <si>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</si>
  <si>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</si>
  <si>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</si>
  <si>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</si>
  <si>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</si>
  <si>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</si>
  <si>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</si>
  <si>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</si>
  <si>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</si>
  <si>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</si>
  <si>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</si>
  <si>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</si>
  <si>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</si>
  <si>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</si>
  <si>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</si>
  <si>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</si>
  <si>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</si>
  <si>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</si>
  <si>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</si>
  <si>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</si>
  <si>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</si>
  <si>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</si>
  <si>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土地</t>
    <phoneticPr fontId="227" type="noConversion"/>
  </si>
  <si>
    <t>建筑物</t>
    <phoneticPr fontId="227" type="noConversion"/>
  </si>
  <si>
    <t>土地单价</t>
    <phoneticPr fontId="227" type="noConversion"/>
  </si>
  <si>
    <t>建筑物单价</t>
    <phoneticPr fontId="227" type="noConversion"/>
  </si>
  <si>
    <t>本套租金8.3</t>
    <phoneticPr fontId="227" type="noConversion"/>
  </si>
  <si>
    <t>普装</t>
    <phoneticPr fontId="227" type="noConversion"/>
  </si>
  <si>
    <t>高区</t>
    <phoneticPr fontId="227" type="noConversion"/>
  </si>
  <si>
    <t>物业费</t>
    <phoneticPr fontId="227" type="noConversion"/>
  </si>
  <si>
    <t>天作国际大厦</t>
    <phoneticPr fontId="227" type="noConversion"/>
  </si>
  <si>
    <t>6元</t>
    <phoneticPr fontId="227" type="noConversion"/>
  </si>
  <si>
    <t>天作国际大厦</t>
    <phoneticPr fontId="227" type="noConversion"/>
  </si>
  <si>
    <t>简装</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</si>
</sst>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쐀"/>
    <numFmt numFmtId="177" formatCode="0.0000_ "/>
    <numFmt numFmtId="178" formatCode="yyyy&quot;年&quot;m&quot;月&quot;;@"/>
    <numFmt numFmtId="179" formatCode="yyyy/m/d;@"/>
    <numFmt numFmtId="180" formatCode="0_ "/>
    <numFmt numFmtId="181" formatCode="[DBNum1][$-804]General"/>
    <numFmt numFmtId="182" formatCode="0.00_ "/>
    <numFmt numFmtId="183" formatCode="0.0_ "/>
    <numFmt numFmtId="184" formatCode="0.0%"/>
    <numFmt numFmtId="185" formatCode="0.0000%"/>
    <numFmt numFmtId="186" formatCode="[DBNum1][$-804]yyyy&quot;年&quot;m&quot;月&quot;d&quot;日&quot;;@"/>
    <numFmt numFmtId="187" formatCode="0_);[Red]\(0\)"/>
    <numFmt numFmtId="188" formatCode="[DBNum2][$-804]General"/>
    <numFmt numFmtId="189" formatCode="0.000_ "/>
    <numFmt numFmtId="190" formatCode="0.0_);[Red]\(0.0\)"/>
    <numFmt numFmtId="191" formatCode="yyyy&quot;年&quot;m&quot;月&quot;d&quot;日&quot;;@"/>
    <numFmt numFmtId="192" formatCode="#,##0_);[Red]\(#,##0\)"/>
    <numFmt numFmtId="193" formatCode="0.000%"/>
    <numFmt numFmtId="194" formatCode="0.00_);[Red]\(0.00\)"/>
    <numFmt numFmtId="195" formatCode="0.000_);[Red]\(0.000\)"/>
    <numFmt numFmtId="196" formatCode="0_ ;[Red]\-0\ "/>
    <numFmt numFmtId="197" formatCode="#,##0.00_);[Red]\(#,##0.00\)"/>
    <numFmt numFmtId="198" formatCode="[$-F800]dddd\,\ mmmm\ dd\,\ yyyy"/>
  </numFmts>
  <fonts count="22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0"/>
      <color indexed="8"/>
      <name val="宋体"/>
      <family val="3"/>
      <charset val="134"/>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0"/>
      <name val="宋体"/>
      <family val="3"/>
      <charset val="134"/>
      <scheme val="minor"/>
    </font>
    <font>
      <sz val="11"/>
      <color theme="1"/>
      <name val="宋体"/>
      <family val="3"/>
      <charset val="134"/>
      <scheme val="minor"/>
    </font>
    <font>
      <b/>
      <sz val="11"/>
      <color theme="3"/>
      <name val="宋体"/>
      <family val="3"/>
      <charset val="134"/>
      <scheme val="minor"/>
    </font>
    <font>
      <sz val="11"/>
      <color rgb="FF9C0006"/>
      <name val="宋体"/>
      <family val="3"/>
      <charset val="134"/>
      <scheme val="minor"/>
    </font>
    <font>
      <sz val="11"/>
      <color rgb="FF9C6500"/>
      <name val="宋体"/>
      <family val="3"/>
      <charset val="134"/>
      <scheme val="minor"/>
    </font>
    <font>
      <i/>
      <sz val="11"/>
      <color rgb="FF7F7F7F"/>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3F3F3F"/>
      <name val="宋体"/>
      <family val="3"/>
      <charset val="134"/>
      <scheme val="minor"/>
    </font>
    <font>
      <b/>
      <sz val="11"/>
      <color rgb="FFFA7D00"/>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b/>
      <sz val="9"/>
      <name val="Tahoma"/>
      <family val="2"/>
    </font>
    <font>
      <sz val="12"/>
      <name val="宋体"/>
      <family val="3"/>
      <charset val="134"/>
      <scheme val="minor"/>
    </font>
    <font>
      <sz val="12"/>
      <name val="仿宋_GB2312"/>
      <family val="3"/>
      <charset val="134"/>
    </font>
    <font>
      <b/>
      <sz val="9"/>
      <name val="宋体"/>
      <family val="3"/>
      <charset val="134"/>
    </font>
    <font>
      <sz val="11"/>
      <name val="楷体_GB2312"/>
      <family val="3"/>
      <charset val="134"/>
    </font>
    <font>
      <b/>
      <sz val="8"/>
      <name val="宋体"/>
      <family val="3"/>
      <charset val="134"/>
    </font>
    <font>
      <sz val="9"/>
      <name val="Tahoma"/>
      <family val="2"/>
    </font>
    <font>
      <sz val="11"/>
      <color theme="1"/>
      <name val="宋体"/>
      <family val="3"/>
      <charset val="134"/>
      <scheme val="minor"/>
    </font>
    <font>
      <sz val="9"/>
      <name val="宋体"/>
      <family val="3"/>
      <charset val="134"/>
      <scheme val="minor"/>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1454817346722"/>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4"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7" tint="0.79992065187536243"/>
        <bgColor indexed="64"/>
      </patternFill>
    </fill>
    <fill>
      <patternFill patternType="solid">
        <fgColor rgb="FFFFCC99"/>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9"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6"/>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39991454817346722"/>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8" fillId="42" borderId="163" applyNumberFormat="0" applyAlignment="0" applyProtection="0">
      <alignment vertical="center"/>
    </xf>
    <xf numFmtId="0" fontId="226" fillId="2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29" borderId="0" applyNumberFormat="0" applyBorder="0" applyAlignment="0" applyProtection="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45" borderId="0" applyNumberFormat="0" applyBorder="0" applyAlignment="0" applyProtection="0">
      <alignment vertical="center"/>
    </xf>
    <xf numFmtId="0" fontId="226" fillId="25"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9" fillId="0" borderId="164" applyNumberFormat="0" applyFill="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8" fillId="42" borderId="163" applyNumberFormat="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5"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226" fillId="25" borderId="0" applyNumberFormat="0" applyBorder="0" applyAlignment="0" applyProtection="0">
      <alignment vertical="center"/>
    </xf>
    <xf numFmtId="0" fontId="141" fillId="4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1"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141" fillId="4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5" fillId="3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9" fontId="84" fillId="0" borderId="0" applyFont="0" applyFill="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8"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84" fillId="0" borderId="0"/>
    <xf numFmtId="0" fontId="226" fillId="2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84" fillId="0" borderId="0"/>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43" fillId="0" borderId="162" applyNumberFormat="0" applyFill="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84" fillId="0" borderId="0"/>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1" fillId="0" borderId="168"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3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226" fillId="30"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30"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4"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8" borderId="0" applyNumberFormat="0" applyBorder="0" applyAlignment="0" applyProtection="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4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155" fillId="4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226" fillId="28"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154" fillId="31" borderId="161" applyNumberFormat="0" applyAlignment="0" applyProtection="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4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154" fillId="31" borderId="161"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4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12"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21"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84"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1" fillId="4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9" fillId="0" borderId="164" applyNumberFormat="0" applyFill="0" applyAlignment="0" applyProtection="0">
      <alignment vertical="center"/>
    </xf>
    <xf numFmtId="0" fontId="144" fillId="33"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7"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1" fillId="0" borderId="168"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8"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3" fillId="0" borderId="167"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84"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1" fillId="43" borderId="165" applyNumberFormat="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141" fillId="40"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48"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09"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154" fillId="31" borderId="161" applyNumberForma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alignment vertical="center"/>
    </xf>
    <xf numFmtId="0" fontId="84" fillId="0" borderId="0"/>
    <xf numFmtId="0" fontId="84"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84"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09" fillId="0" borderId="0">
      <alignment vertical="center"/>
    </xf>
    <xf numFmtId="0" fontId="226" fillId="0" borderId="0">
      <alignment vertical="center"/>
    </xf>
    <xf numFmtId="0" fontId="226"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alignment vertical="center"/>
    </xf>
    <xf numFmtId="0" fontId="84" fillId="0" borderId="0"/>
    <xf numFmtId="0" fontId="15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141" fillId="41"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226" fillId="0" borderId="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84" fillId="0" borderId="0">
      <alignment vertical="center"/>
    </xf>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alignment vertical="center"/>
    </xf>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0"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5" fillId="3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5"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4"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0" borderId="0" applyNumberFormat="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8" fillId="42" borderId="163" applyNumberFormat="0" applyAlignment="0" applyProtection="0">
      <alignment vertical="center"/>
    </xf>
    <xf numFmtId="0" fontId="153" fillId="0" borderId="167" applyNumberFormat="0" applyFill="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1" fillId="4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1" fillId="43" borderId="165"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92" fillId="22" borderId="160" applyNumberFormat="0" applyFon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cellStyleXfs>
  <cellXfs count="36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25023" applyFont="1" applyFill="1"/>
    <xf numFmtId="0" fontId="8" fillId="0" borderId="0" xfId="25023" applyFont="1"/>
    <xf numFmtId="0" fontId="0" fillId="0" borderId="0" xfId="0" applyAlignment="1"/>
    <xf numFmtId="0" fontId="9" fillId="2" borderId="5" xfId="25023" applyFont="1" applyFill="1" applyBorder="1"/>
    <xf numFmtId="0" fontId="10" fillId="2" borderId="6" xfId="25023" applyFont="1" applyFill="1" applyBorder="1" applyAlignment="1">
      <alignment horizontal="center"/>
    </xf>
    <xf numFmtId="14" fontId="9" fillId="2" borderId="6" xfId="25023" applyNumberFormat="1" applyFont="1" applyFill="1" applyBorder="1" applyAlignment="1" applyProtection="1">
      <alignment horizontal="center"/>
    </xf>
    <xf numFmtId="0" fontId="9" fillId="2" borderId="6" xfId="25023" applyFont="1" applyFill="1" applyBorder="1" applyAlignment="1" applyProtection="1">
      <alignment horizontal="center"/>
    </xf>
    <xf numFmtId="10" fontId="9" fillId="2" borderId="6" xfId="25023" applyNumberFormat="1" applyFont="1" applyFill="1" applyBorder="1" applyAlignment="1">
      <alignment horizontal="center"/>
    </xf>
    <xf numFmtId="0" fontId="11" fillId="2" borderId="0" xfId="0" applyFont="1" applyFill="1" applyAlignment="1"/>
    <xf numFmtId="0" fontId="12" fillId="2" borderId="0" xfId="25023" applyFont="1" applyFill="1"/>
    <xf numFmtId="0" fontId="8" fillId="2" borderId="7" xfId="25023" applyFont="1" applyFill="1" applyBorder="1"/>
    <xf numFmtId="0" fontId="13" fillId="2" borderId="8" xfId="25023" applyFont="1" applyFill="1" applyBorder="1" applyAlignment="1">
      <alignment horizontal="center" vertical="center" wrapText="1"/>
    </xf>
    <xf numFmtId="0" fontId="8" fillId="2" borderId="9" xfId="25023" applyFont="1" applyFill="1" applyBorder="1" applyAlignment="1">
      <alignment horizontal="center"/>
    </xf>
    <xf numFmtId="0" fontId="13" fillId="2" borderId="7" xfId="25023" applyFont="1" applyFill="1" applyBorder="1" applyAlignment="1">
      <alignment horizontal="center" vertical="center" wrapText="1"/>
    </xf>
    <xf numFmtId="0" fontId="8" fillId="2" borderId="8" xfId="25023" applyNumberFormat="1" applyFont="1" applyFill="1" applyBorder="1" applyAlignment="1">
      <alignment horizontal="center"/>
    </xf>
    <xf numFmtId="0" fontId="8" fillId="2" borderId="10" xfId="25023" applyFont="1" applyFill="1" applyBorder="1"/>
    <xf numFmtId="0" fontId="13" fillId="2" borderId="1" xfId="25023" applyFont="1" applyFill="1" applyBorder="1" applyAlignment="1">
      <alignment horizontal="center" vertical="center" wrapText="1"/>
    </xf>
    <xf numFmtId="0" fontId="8" fillId="2" borderId="11" xfId="25023" applyFont="1" applyFill="1" applyBorder="1" applyAlignment="1">
      <alignment horizontal="center"/>
    </xf>
    <xf numFmtId="0" fontId="13" fillId="2" borderId="10" xfId="25023" applyFont="1" applyFill="1" applyBorder="1" applyAlignment="1">
      <alignment horizontal="center" vertical="center" wrapText="1"/>
    </xf>
    <xf numFmtId="0" fontId="8" fillId="2" borderId="1" xfId="25023" applyNumberFormat="1" applyFont="1" applyFill="1" applyBorder="1" applyAlignment="1">
      <alignment horizontal="center"/>
    </xf>
    <xf numFmtId="0" fontId="8" fillId="2" borderId="12" xfId="25023" applyFont="1" applyFill="1" applyBorder="1"/>
    <xf numFmtId="0" fontId="13" fillId="2" borderId="13" xfId="25023" applyFont="1" applyFill="1" applyBorder="1" applyAlignment="1">
      <alignment horizontal="center" vertical="center" wrapText="1"/>
    </xf>
    <xf numFmtId="0" fontId="8" fillId="2" borderId="14" xfId="25023" applyFont="1" applyFill="1" applyBorder="1" applyAlignment="1">
      <alignment horizontal="center"/>
    </xf>
    <xf numFmtId="0" fontId="13" fillId="2" borderId="12" xfId="25023" applyFont="1" applyFill="1" applyBorder="1" applyAlignment="1">
      <alignment horizontal="center" vertical="center" wrapText="1"/>
    </xf>
    <xf numFmtId="0" fontId="8" fillId="2" borderId="13" xfId="25023" applyNumberFormat="1" applyFont="1" applyFill="1" applyBorder="1" applyAlignment="1">
      <alignment horizontal="center"/>
    </xf>
    <xf numFmtId="0" fontId="8" fillId="2" borderId="0" xfId="25023" applyNumberFormat="1" applyFont="1" applyFill="1" applyAlignment="1">
      <alignment horizontal="center"/>
    </xf>
    <xf numFmtId="0" fontId="8" fillId="2" borderId="0" xfId="25023" applyFont="1" applyFill="1" applyAlignment="1">
      <alignment horizontal="right"/>
    </xf>
    <xf numFmtId="14" fontId="8" fillId="2" borderId="0" xfId="25023" applyNumberFormat="1" applyFont="1" applyFill="1" applyAlignment="1">
      <alignment horizontal="center"/>
    </xf>
    <xf numFmtId="0" fontId="14" fillId="2" borderId="0" xfId="25023" applyNumberFormat="1" applyFont="1" applyFill="1" applyAlignment="1">
      <alignment horizontal="center"/>
    </xf>
    <xf numFmtId="0" fontId="15" fillId="2" borderId="0" xfId="25023" applyFont="1" applyFill="1" applyAlignment="1">
      <alignment horizontal="left"/>
    </xf>
    <xf numFmtId="14" fontId="14" fillId="2" borderId="0" xfId="25023" applyNumberFormat="1" applyFont="1" applyFill="1" applyAlignment="1">
      <alignment horizontal="center"/>
    </xf>
    <xf numFmtId="0" fontId="14" fillId="2" borderId="0" xfId="25023" applyFont="1" applyFill="1"/>
    <xf numFmtId="0" fontId="16" fillId="2" borderId="0" xfId="25023" applyFont="1" applyFill="1"/>
    <xf numFmtId="0" fontId="17" fillId="2" borderId="0" xfId="25023" applyFont="1" applyFill="1"/>
    <xf numFmtId="0" fontId="13" fillId="2" borderId="0" xfId="25023" applyFont="1" applyFill="1" applyAlignment="1"/>
    <xf numFmtId="0" fontId="10" fillId="2" borderId="15" xfId="25023" applyFont="1" applyFill="1" applyBorder="1" applyAlignment="1">
      <alignment horizontal="center" vertical="center"/>
    </xf>
    <xf numFmtId="0" fontId="10" fillId="2" borderId="15" xfId="25023" applyFont="1" applyFill="1" applyBorder="1" applyAlignment="1">
      <alignment vertical="center"/>
    </xf>
    <xf numFmtId="0" fontId="10" fillId="2" borderId="2" xfId="25023" applyFont="1" applyFill="1" applyBorder="1" applyAlignment="1">
      <alignment vertical="center"/>
    </xf>
    <xf numFmtId="0" fontId="10" fillId="2" borderId="4" xfId="25023" applyFont="1" applyFill="1" applyBorder="1" applyAlignment="1">
      <alignment vertical="center"/>
    </xf>
    <xf numFmtId="0" fontId="10" fillId="2" borderId="3" xfId="25023" applyFont="1" applyFill="1" applyBorder="1" applyAlignment="1">
      <alignment vertical="center"/>
    </xf>
    <xf numFmtId="0" fontId="13" fillId="2" borderId="0" xfId="25023" applyFont="1" applyFill="1"/>
    <xf numFmtId="0" fontId="10" fillId="2" borderId="16" xfId="25023" applyFont="1" applyFill="1" applyBorder="1" applyAlignment="1">
      <alignment horizontal="center" vertical="center" wrapText="1"/>
    </xf>
    <xf numFmtId="0" fontId="10" fillId="2" borderId="16" xfId="25023" applyFont="1" applyFill="1" applyBorder="1" applyAlignment="1">
      <alignment vertical="center" wrapText="1"/>
    </xf>
    <xf numFmtId="0" fontId="8" fillId="2" borderId="1" xfId="25023" applyFont="1" applyFill="1" applyBorder="1"/>
    <xf numFmtId="0" fontId="18" fillId="2" borderId="0" xfId="25023" applyFont="1" applyFill="1" applyAlignment="1">
      <alignment vertical="center"/>
    </xf>
    <xf numFmtId="0" fontId="18" fillId="2" borderId="1" xfId="25023" applyFont="1" applyFill="1" applyBorder="1" applyAlignment="1">
      <alignment horizontal="left" vertical="center" wrapText="1"/>
    </xf>
    <xf numFmtId="179" fontId="18" fillId="2" borderId="1" xfId="25023" applyNumberFormat="1" applyFont="1" applyFill="1" applyBorder="1" applyAlignment="1">
      <alignment horizontal="center" vertical="center" wrapText="1"/>
    </xf>
    <xf numFmtId="0" fontId="18" fillId="2" borderId="1" xfId="25023" applyFont="1" applyFill="1" applyBorder="1" applyAlignment="1">
      <alignment horizontal="center" vertical="center" wrapText="1"/>
    </xf>
    <xf numFmtId="14" fontId="8" fillId="2" borderId="1" xfId="25023" applyNumberFormat="1" applyFont="1" applyFill="1" applyBorder="1" applyAlignment="1">
      <alignment horizontal="center" wrapText="1"/>
    </xf>
    <xf numFmtId="0" fontId="8" fillId="2" borderId="1" xfId="25023" applyFont="1" applyFill="1" applyBorder="1" applyAlignment="1">
      <alignment horizontal="center" wrapText="1"/>
    </xf>
    <xf numFmtId="14" fontId="19" fillId="2" borderId="1" xfId="25023" applyNumberFormat="1" applyFont="1" applyFill="1" applyBorder="1" applyAlignment="1">
      <alignment horizontal="center" wrapText="1"/>
    </xf>
    <xf numFmtId="0" fontId="19" fillId="2" borderId="1" xfId="25023" applyFont="1" applyFill="1" applyBorder="1" applyAlignment="1">
      <alignment horizontal="center" wrapText="1"/>
    </xf>
    <xf numFmtId="0" fontId="20" fillId="2" borderId="0" xfId="25023" applyFont="1" applyFill="1" applyAlignment="1">
      <alignment vertical="center"/>
    </xf>
    <xf numFmtId="0" fontId="20" fillId="2" borderId="1" xfId="25023" applyFont="1" applyFill="1" applyBorder="1" applyAlignment="1">
      <alignment horizontal="left" vertical="center" wrapText="1"/>
    </xf>
    <xf numFmtId="14" fontId="13" fillId="2" borderId="1" xfId="25023" applyNumberFormat="1" applyFont="1" applyFill="1" applyBorder="1" applyAlignment="1">
      <alignment horizontal="center" wrapText="1"/>
    </xf>
    <xf numFmtId="0" fontId="13" fillId="2" borderId="1" xfId="25023" applyFont="1" applyFill="1" applyBorder="1" applyAlignment="1">
      <alignment horizontal="center" wrapText="1"/>
    </xf>
    <xf numFmtId="180" fontId="10" fillId="2" borderId="5" xfId="25023" applyNumberFormat="1" applyFont="1" applyFill="1" applyBorder="1" applyAlignment="1">
      <alignment horizontal="center"/>
    </xf>
    <xf numFmtId="0" fontId="10" fillId="2" borderId="1" xfId="25023" applyFont="1" applyFill="1" applyBorder="1" applyAlignment="1">
      <alignment horizontal="center" vertical="center" wrapText="1"/>
    </xf>
    <xf numFmtId="14" fontId="18" fillId="2" borderId="1" xfId="25023" applyNumberFormat="1" applyFont="1" applyFill="1" applyBorder="1" applyAlignment="1">
      <alignment horizontal="center" vertical="center" wrapText="1"/>
    </xf>
    <xf numFmtId="182" fontId="21" fillId="2" borderId="1" xfId="25023" applyNumberFormat="1" applyFont="1" applyFill="1" applyBorder="1" applyAlignment="1">
      <alignment horizontal="center"/>
    </xf>
    <xf numFmtId="0" fontId="9" fillId="0" borderId="5" xfId="25023" applyFont="1" applyBorder="1"/>
    <xf numFmtId="0" fontId="14" fillId="0" borderId="0" xfId="25023" applyFont="1"/>
    <xf numFmtId="0" fontId="16" fillId="0" borderId="0" xfId="25023" applyFont="1"/>
    <xf numFmtId="0" fontId="13" fillId="0" borderId="0" xfId="25023" applyFont="1" applyAlignment="1"/>
    <xf numFmtId="0" fontId="13" fillId="0" borderId="0" xfId="25023" applyFont="1"/>
    <xf numFmtId="0" fontId="18" fillId="3" borderId="0" xfId="2502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25023" applyFont="1" applyFill="1" applyBorder="1" applyAlignment="1">
      <alignment horizontal="center" wrapText="1"/>
    </xf>
    <xf numFmtId="14" fontId="8"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24254" applyFont="1" applyFill="1" applyBorder="1" applyAlignment="1" applyProtection="1">
      <alignment vertical="center"/>
    </xf>
    <xf numFmtId="0" fontId="28" fillId="2" borderId="38" xfId="24254" applyFont="1" applyFill="1" applyBorder="1" applyAlignment="1" applyProtection="1">
      <alignment vertical="center"/>
    </xf>
    <xf numFmtId="0" fontId="28" fillId="2" borderId="31" xfId="24254" applyFont="1" applyFill="1" applyBorder="1" applyAlignment="1" applyProtection="1">
      <alignment vertical="center"/>
    </xf>
    <xf numFmtId="0" fontId="28" fillId="2" borderId="0" xfId="24254" applyFont="1" applyFill="1" applyBorder="1" applyAlignment="1" applyProtection="1">
      <alignment vertical="center"/>
    </xf>
    <xf numFmtId="0" fontId="28" fillId="2" borderId="1" xfId="24254" applyFont="1" applyFill="1" applyBorder="1" applyAlignment="1" applyProtection="1">
      <alignment vertical="center"/>
    </xf>
    <xf numFmtId="180" fontId="28" fillId="2" borderId="1" xfId="24254" applyNumberFormat="1" applyFont="1" applyFill="1" applyBorder="1" applyAlignment="1" applyProtection="1">
      <alignment horizontal="right" vertical="center"/>
    </xf>
    <xf numFmtId="0" fontId="32" fillId="2" borderId="0" xfId="24254" applyFont="1" applyFill="1" applyBorder="1" applyAlignment="1" applyProtection="1">
      <alignment vertical="center"/>
    </xf>
    <xf numFmtId="0" fontId="28" fillId="2" borderId="15" xfId="24254" applyFont="1" applyFill="1" applyBorder="1" applyAlignment="1" applyProtection="1">
      <alignment vertical="center"/>
    </xf>
    <xf numFmtId="0" fontId="28" fillId="2" borderId="15" xfId="24254" applyFont="1" applyFill="1" applyBorder="1" applyAlignment="1" applyProtection="1">
      <alignment horizontal="right" vertical="center"/>
    </xf>
    <xf numFmtId="49" fontId="28" fillId="2" borderId="37" xfId="24254" applyNumberFormat="1" applyFont="1" applyFill="1" applyBorder="1" applyAlignment="1" applyProtection="1"/>
    <xf numFmtId="49" fontId="28" fillId="2" borderId="38" xfId="24254" applyNumberFormat="1" applyFont="1" applyFill="1" applyBorder="1" applyAlignment="1" applyProtection="1"/>
    <xf numFmtId="49" fontId="28" fillId="2" borderId="39" xfId="24254" applyNumberFormat="1" applyFont="1" applyFill="1" applyBorder="1" applyAlignment="1" applyProtection="1"/>
    <xf numFmtId="49" fontId="29" fillId="2" borderId="10" xfId="24254" applyNumberFormat="1" applyFont="1" applyFill="1" applyBorder="1" applyAlignment="1" applyProtection="1">
      <alignment horizontal="left"/>
    </xf>
    <xf numFmtId="0" fontId="29" fillId="2" borderId="2" xfId="24254" applyFont="1" applyFill="1" applyBorder="1" applyAlignment="1" applyProtection="1"/>
    <xf numFmtId="180" fontId="29" fillId="2" borderId="1" xfId="24254" applyNumberFormat="1" applyFont="1" applyFill="1" applyBorder="1" applyAlignment="1" applyProtection="1">
      <alignment horizontal="center"/>
    </xf>
    <xf numFmtId="0" fontId="29" fillId="2" borderId="1" xfId="24254" applyFont="1" applyFill="1" applyBorder="1" applyAlignment="1" applyProtection="1">
      <alignment horizontal="center"/>
    </xf>
    <xf numFmtId="0" fontId="29" fillId="2" borderId="11" xfId="24254" applyFont="1" applyFill="1" applyBorder="1" applyAlignment="1" applyProtection="1">
      <alignment horizontal="left"/>
    </xf>
    <xf numFmtId="49" fontId="30" fillId="2" borderId="10" xfId="24254" applyNumberFormat="1" applyFont="1" applyFill="1" applyBorder="1" applyAlignment="1" applyProtection="1">
      <alignment horizontal="center"/>
    </xf>
    <xf numFmtId="0" fontId="30" fillId="2" borderId="2" xfId="24254" applyFont="1" applyFill="1" applyBorder="1" applyAlignment="1" applyProtection="1"/>
    <xf numFmtId="180" fontId="30" fillId="0" borderId="1" xfId="24254" applyNumberFormat="1" applyFont="1" applyFill="1" applyBorder="1" applyAlignment="1" applyProtection="1">
      <alignment horizontal="center"/>
      <protection locked="0"/>
    </xf>
    <xf numFmtId="182"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180" fontId="30" fillId="2" borderId="1" xfId="24254" applyNumberFormat="1" applyFont="1" applyFill="1" applyBorder="1" applyAlignment="1" applyProtection="1">
      <alignment horizontal="center"/>
    </xf>
    <xf numFmtId="10" fontId="30" fillId="2" borderId="1" xfId="24254" applyNumberFormat="1" applyFont="1" applyFill="1" applyBorder="1" applyAlignment="1" applyProtection="1">
      <alignment horizontal="center"/>
    </xf>
    <xf numFmtId="180" fontId="30" fillId="2" borderId="1" xfId="24254" applyNumberFormat="1" applyFont="1" applyFill="1" applyBorder="1" applyAlignment="1" applyProtection="1"/>
    <xf numFmtId="0" fontId="33" fillId="3" borderId="11" xfId="24254" applyFont="1" applyFill="1" applyBorder="1" applyAlignment="1" applyProtection="1">
      <alignment horizontal="left" vertical="center"/>
      <protection locked="0"/>
    </xf>
    <xf numFmtId="0" fontId="34" fillId="2" borderId="10" xfId="24254" applyFont="1" applyFill="1" applyBorder="1" applyAlignment="1" applyProtection="1">
      <alignment horizontal="right"/>
    </xf>
    <xf numFmtId="0" fontId="34" fillId="2" borderId="2" xfId="24254" applyFont="1" applyFill="1" applyBorder="1" applyAlignment="1" applyProtection="1"/>
    <xf numFmtId="180" fontId="34" fillId="2" borderId="1" xfId="24254" applyNumberFormat="1" applyFont="1" applyFill="1" applyBorder="1" applyAlignment="1" applyProtection="1">
      <alignment horizontal="center"/>
    </xf>
    <xf numFmtId="0" fontId="34" fillId="2" borderId="1" xfId="24254" applyNumberFormat="1" applyFont="1" applyFill="1" applyBorder="1" applyAlignment="1" applyProtection="1"/>
    <xf numFmtId="0" fontId="30" fillId="2" borderId="11" xfId="24254" applyFont="1" applyFill="1" applyBorder="1" applyAlignment="1" applyProtection="1">
      <alignment vertical="center" wrapText="1"/>
    </xf>
    <xf numFmtId="0" fontId="30" fillId="2" borderId="10" xfId="24254" applyFont="1" applyFill="1" applyBorder="1" applyAlignment="1" applyProtection="1">
      <alignment horizontal="left"/>
    </xf>
    <xf numFmtId="0" fontId="30" fillId="2" borderId="1" xfId="24254" applyNumberFormat="1" applyFont="1" applyFill="1" applyBorder="1" applyAlignment="1" applyProtection="1">
      <alignment horizontal="center"/>
    </xf>
    <xf numFmtId="0" fontId="30" fillId="2" borderId="0" xfId="24254"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24254" applyNumberFormat="1" applyFont="1" applyFill="1" applyBorder="1" applyAlignment="1" applyProtection="1">
      <alignment horizontal="left"/>
    </xf>
    <xf numFmtId="0" fontId="29" fillId="2" borderId="1" xfId="24254" applyNumberFormat="1" applyFont="1" applyFill="1" applyBorder="1" applyAlignment="1" applyProtection="1">
      <alignment horizontal="center"/>
    </xf>
    <xf numFmtId="9" fontId="29" fillId="2" borderId="2" xfId="24254"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24254"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24254"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24254" applyFont="1" applyFill="1" applyBorder="1" applyAlignment="1" applyProtection="1">
      <alignment vertical="center"/>
    </xf>
    <xf numFmtId="180" fontId="29" fillId="2" borderId="1" xfId="24254" applyNumberFormat="1" applyFont="1" applyFill="1" applyBorder="1" applyAlignment="1" applyProtection="1">
      <alignment horizontal="center" vertical="center"/>
    </xf>
    <xf numFmtId="9" fontId="29" fillId="2" borderId="2" xfId="24254"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24254" applyFont="1" applyFill="1" applyBorder="1" applyAlignment="1" applyProtection="1">
      <alignment horizontal="left"/>
    </xf>
    <xf numFmtId="180" fontId="30" fillId="2" borderId="1" xfId="24254" applyNumberFormat="1" applyFont="1" applyFill="1" applyBorder="1" applyAlignment="1" applyProtection="1">
      <alignment horizontal="center" vertical="center"/>
    </xf>
    <xf numFmtId="0" fontId="29" fillId="2" borderId="10" xfId="24254" applyFont="1" applyFill="1" applyBorder="1" applyAlignment="1" applyProtection="1">
      <alignment horizontal="left"/>
    </xf>
    <xf numFmtId="182" fontId="29" fillId="2" borderId="1" xfId="24254" applyNumberFormat="1" applyFont="1" applyFill="1" applyBorder="1" applyAlignment="1" applyProtection="1">
      <alignment horizontal="center"/>
    </xf>
    <xf numFmtId="9" fontId="29" fillId="2" borderId="1" xfId="24254" applyNumberFormat="1" applyFont="1" applyFill="1" applyBorder="1" applyAlignment="1" applyProtection="1">
      <alignment horizontal="center"/>
    </xf>
    <xf numFmtId="49" fontId="28" fillId="2" borderId="41" xfId="24254" applyNumberFormat="1" applyFont="1" applyFill="1" applyBorder="1" applyAlignment="1" applyProtection="1"/>
    <xf numFmtId="49" fontId="28" fillId="2" borderId="3" xfId="24254" applyNumberFormat="1" applyFont="1" applyFill="1" applyBorder="1" applyAlignment="1" applyProtection="1"/>
    <xf numFmtId="49" fontId="28" fillId="2" borderId="42" xfId="24254"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24254" applyNumberFormat="1" applyFont="1" applyFill="1" applyBorder="1" applyAlignment="1" applyProtection="1">
      <alignment horizontal="center"/>
    </xf>
    <xf numFmtId="10" fontId="30" fillId="2" borderId="2" xfId="24254"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24254"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24254" applyNumberFormat="1" applyFont="1" applyFill="1" applyBorder="1" applyAlignment="1" applyProtection="1">
      <alignment horizontal="center" vertical="center"/>
    </xf>
    <xf numFmtId="49" fontId="28" fillId="2" borderId="44" xfId="24254" applyNumberFormat="1" applyFont="1" applyFill="1" applyBorder="1" applyAlignment="1" applyProtection="1"/>
    <xf numFmtId="49" fontId="28" fillId="2" borderId="45" xfId="24254"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24254"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24254"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24254"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11336" applyFont="1" applyAlignment="1">
      <alignment horizontal="left" vertical="center"/>
    </xf>
    <xf numFmtId="0" fontId="41" fillId="0" borderId="74" xfId="11336" applyFont="1" applyBorder="1" applyAlignment="1">
      <alignment horizontal="left" vertical="center"/>
    </xf>
    <xf numFmtId="0" fontId="41" fillId="8" borderId="0" xfId="11336" applyFont="1" applyFill="1" applyAlignment="1">
      <alignment horizontal="left" vertical="center"/>
    </xf>
    <xf numFmtId="0" fontId="41" fillId="0" borderId="0" xfId="11336" applyFont="1" applyFill="1" applyAlignment="1">
      <alignment horizontal="left" vertical="center"/>
    </xf>
    <xf numFmtId="0" fontId="41" fillId="9" borderId="0" xfId="11336" applyFont="1" applyFill="1" applyAlignment="1">
      <alignment horizontal="left" vertical="center"/>
    </xf>
    <xf numFmtId="0" fontId="42" fillId="9" borderId="0" xfId="11336" applyFont="1" applyFill="1" applyAlignment="1">
      <alignment horizontal="left" vertical="center"/>
    </xf>
    <xf numFmtId="0" fontId="6" fillId="3" borderId="0" xfId="11336" applyFont="1" applyFill="1" applyAlignment="1">
      <alignment horizontal="left" vertical="center"/>
    </xf>
    <xf numFmtId="0" fontId="6" fillId="0" borderId="21" xfId="11336" applyFont="1" applyBorder="1" applyAlignment="1">
      <alignment horizontal="left" vertical="center"/>
    </xf>
    <xf numFmtId="0" fontId="43" fillId="0" borderId="0" xfId="11336" applyFont="1" applyAlignment="1">
      <alignment horizontal="left" vertical="center"/>
    </xf>
    <xf numFmtId="0" fontId="6" fillId="0" borderId="0" xfId="11336" applyFont="1" applyAlignment="1">
      <alignment horizontal="left" vertical="center"/>
    </xf>
    <xf numFmtId="0" fontId="6" fillId="0" borderId="75" xfId="11336" applyFont="1" applyBorder="1" applyAlignment="1">
      <alignment horizontal="left" vertical="center"/>
    </xf>
    <xf numFmtId="0" fontId="45" fillId="2" borderId="74" xfId="8209" applyFont="1" applyFill="1" applyBorder="1" applyAlignment="1" applyProtection="1">
      <alignment horizontal="left" vertical="center"/>
    </xf>
    <xf numFmtId="0" fontId="46" fillId="2" borderId="74" xfId="8209" applyFont="1" applyFill="1" applyBorder="1" applyAlignment="1" applyProtection="1">
      <alignment horizontal="left" vertical="center"/>
    </xf>
    <xf numFmtId="0" fontId="41" fillId="0" borderId="76" xfId="11336" applyFont="1" applyBorder="1" applyAlignment="1">
      <alignment horizontal="left" vertical="center"/>
    </xf>
    <xf numFmtId="0" fontId="9" fillId="8" borderId="0" xfId="11336" applyFont="1" applyFill="1" applyAlignment="1">
      <alignment horizontal="left" vertical="center"/>
    </xf>
    <xf numFmtId="0" fontId="47" fillId="8" borderId="0" xfId="8209" applyFont="1" applyFill="1" applyAlignment="1" applyProtection="1">
      <alignment horizontal="left" vertical="center"/>
    </xf>
    <xf numFmtId="0" fontId="46" fillId="8" borderId="0" xfId="8209" applyFont="1" applyFill="1" applyAlignment="1" applyProtection="1">
      <alignment horizontal="left" vertical="center"/>
    </xf>
    <xf numFmtId="0" fontId="41" fillId="8" borderId="75" xfId="11336" applyFont="1" applyFill="1" applyBorder="1" applyAlignment="1">
      <alignment horizontal="left" vertical="center"/>
    </xf>
    <xf numFmtId="0" fontId="41" fillId="8" borderId="0" xfId="11336" applyFont="1" applyFill="1" applyBorder="1" applyAlignment="1">
      <alignment horizontal="left" vertical="center"/>
    </xf>
    <xf numFmtId="0" fontId="47" fillId="0" borderId="0" xfId="8209" applyFont="1" applyFill="1" applyAlignment="1" applyProtection="1">
      <alignment horizontal="left" vertical="center"/>
    </xf>
    <xf numFmtId="0" fontId="46" fillId="0" borderId="0" xfId="8209" applyFont="1" applyFill="1" applyAlignment="1" applyProtection="1">
      <alignment horizontal="left" vertical="center"/>
    </xf>
    <xf numFmtId="0" fontId="41" fillId="0" borderId="75" xfId="11336" applyFont="1" applyFill="1" applyBorder="1" applyAlignment="1">
      <alignment horizontal="left" vertical="center"/>
    </xf>
    <xf numFmtId="0" fontId="41" fillId="0" borderId="0" xfId="11336" applyFont="1" applyFill="1" applyBorder="1" applyAlignment="1">
      <alignment horizontal="left" vertical="center"/>
    </xf>
    <xf numFmtId="49" fontId="30" fillId="9" borderId="1" xfId="11336" applyNumberFormat="1" applyFont="1" applyFill="1" applyBorder="1" applyAlignment="1" applyProtection="1">
      <alignment horizontal="left" vertical="center" wrapText="1"/>
    </xf>
    <xf numFmtId="187" fontId="42" fillId="9" borderId="0" xfId="11336" applyNumberFormat="1" applyFont="1" applyFill="1" applyAlignment="1">
      <alignment horizontal="left" vertical="center"/>
    </xf>
    <xf numFmtId="0" fontId="48" fillId="10" borderId="77" xfId="11336" applyFont="1" applyFill="1" applyBorder="1" applyAlignment="1" applyProtection="1">
      <alignment horizontal="left" vertical="center" wrapText="1"/>
    </xf>
    <xf numFmtId="0" fontId="48" fillId="9" borderId="78" xfId="11336" applyFont="1" applyFill="1" applyBorder="1" applyAlignment="1" applyProtection="1">
      <alignment horizontal="left" vertical="center" wrapText="1"/>
    </xf>
    <xf numFmtId="49" fontId="30" fillId="2" borderId="1" xfId="11336" applyNumberFormat="1" applyFont="1" applyFill="1" applyBorder="1" applyAlignment="1" applyProtection="1">
      <alignment horizontal="left" vertical="center" wrapText="1"/>
    </xf>
    <xf numFmtId="187" fontId="6" fillId="0" borderId="0" xfId="11336" applyNumberFormat="1" applyFont="1" applyAlignment="1">
      <alignment horizontal="left" vertical="center"/>
    </xf>
    <xf numFmtId="0" fontId="48" fillId="11" borderId="78" xfId="11336" applyFont="1" applyFill="1" applyBorder="1" applyAlignment="1" applyProtection="1">
      <alignment horizontal="left" vertical="center" wrapText="1"/>
    </xf>
    <xf numFmtId="0" fontId="48" fillId="10" borderId="79" xfId="11336" applyFont="1" applyFill="1" applyBorder="1" applyAlignment="1" applyProtection="1">
      <alignment horizontal="left" vertical="center" wrapText="1"/>
    </xf>
    <xf numFmtId="187" fontId="41" fillId="10" borderId="79" xfId="11336" applyNumberFormat="1" applyFont="1" applyFill="1" applyBorder="1" applyAlignment="1" applyProtection="1">
      <alignment horizontal="left" vertical="center" wrapText="1"/>
    </xf>
    <xf numFmtId="187" fontId="41" fillId="10" borderId="80" xfId="11336" applyNumberFormat="1" applyFont="1" applyFill="1" applyBorder="1" applyAlignment="1" applyProtection="1">
      <alignment horizontal="left" vertical="center" wrapText="1"/>
    </xf>
    <xf numFmtId="0" fontId="48" fillId="10" borderId="78" xfId="11336" applyFont="1" applyFill="1" applyBorder="1" applyAlignment="1" applyProtection="1">
      <alignment horizontal="left" vertical="center" wrapText="1"/>
    </xf>
    <xf numFmtId="187" fontId="41" fillId="10" borderId="79" xfId="11336" applyNumberFormat="1" applyFont="1" applyFill="1" applyBorder="1" applyAlignment="1">
      <alignment horizontal="left" vertical="center" wrapText="1"/>
    </xf>
    <xf numFmtId="187" fontId="41" fillId="10" borderId="80" xfId="11336" applyNumberFormat="1" applyFont="1" applyFill="1" applyBorder="1" applyAlignment="1">
      <alignment horizontal="left" vertical="center" wrapText="1"/>
    </xf>
    <xf numFmtId="0" fontId="48" fillId="10" borderId="85" xfId="11336" applyFont="1" applyFill="1" applyBorder="1" applyAlignment="1" applyProtection="1">
      <alignment horizontal="left" vertical="center" wrapText="1"/>
    </xf>
    <xf numFmtId="0" fontId="48" fillId="11" borderId="79" xfId="11336" applyFont="1" applyFill="1" applyBorder="1" applyAlignment="1" applyProtection="1">
      <alignment horizontal="left" vertical="center" wrapText="1"/>
    </xf>
    <xf numFmtId="187" fontId="41" fillId="10" borderId="78" xfId="11336" applyNumberFormat="1" applyFont="1" applyFill="1" applyBorder="1" applyAlignment="1">
      <alignment horizontal="left" vertical="center" wrapText="1"/>
    </xf>
    <xf numFmtId="187" fontId="41" fillId="10" borderId="86" xfId="11336" applyNumberFormat="1" applyFont="1" applyFill="1" applyBorder="1" applyAlignment="1">
      <alignment horizontal="left" vertical="center" wrapText="1"/>
    </xf>
    <xf numFmtId="0" fontId="6" fillId="11" borderId="79" xfId="11336" applyFont="1" applyFill="1" applyBorder="1" applyAlignment="1" applyProtection="1">
      <alignment horizontal="left" vertical="center" wrapText="1"/>
    </xf>
    <xf numFmtId="49" fontId="30" fillId="3" borderId="1" xfId="11336" applyNumberFormat="1" applyFont="1" applyFill="1" applyBorder="1" applyAlignment="1" applyProtection="1">
      <alignment horizontal="left" vertical="center" wrapText="1"/>
    </xf>
    <xf numFmtId="187" fontId="6" fillId="3" borderId="0" xfId="11336" applyNumberFormat="1" applyFont="1" applyFill="1" applyAlignment="1">
      <alignment horizontal="left" vertical="center"/>
    </xf>
    <xf numFmtId="0" fontId="6" fillId="3" borderId="78" xfId="11336" applyFont="1" applyFill="1" applyBorder="1" applyAlignment="1" applyProtection="1">
      <alignment horizontal="left" vertical="center" wrapText="1"/>
    </xf>
    <xf numFmtId="0" fontId="6" fillId="10" borderId="85" xfId="11336" applyFont="1" applyFill="1" applyBorder="1" applyAlignment="1" applyProtection="1">
      <alignment horizontal="left" vertical="center" wrapText="1"/>
    </xf>
    <xf numFmtId="187" fontId="41" fillId="10" borderId="85" xfId="11336" applyNumberFormat="1" applyFont="1" applyFill="1" applyBorder="1" applyAlignment="1">
      <alignment horizontal="left" vertical="center" wrapText="1"/>
    </xf>
    <xf numFmtId="187" fontId="41" fillId="10" borderId="87" xfId="11336" applyNumberFormat="1" applyFont="1" applyFill="1" applyBorder="1" applyAlignment="1">
      <alignment horizontal="left" vertical="center" wrapText="1"/>
    </xf>
    <xf numFmtId="187" fontId="6" fillId="9" borderId="0" xfId="11336" applyNumberFormat="1" applyFont="1" applyFill="1" applyAlignment="1">
      <alignment horizontal="left" vertical="center"/>
    </xf>
    <xf numFmtId="187" fontId="6" fillId="0" borderId="21" xfId="11336" applyNumberFormat="1" applyFont="1" applyBorder="1" applyAlignment="1">
      <alignment horizontal="left" vertical="center"/>
    </xf>
    <xf numFmtId="0" fontId="48" fillId="11" borderId="88" xfId="11336" applyFont="1" applyFill="1" applyBorder="1" applyAlignment="1" applyProtection="1">
      <alignment horizontal="left" vertical="center" wrapText="1"/>
    </xf>
    <xf numFmtId="0" fontId="48" fillId="10" borderId="89" xfId="11336" applyFont="1" applyFill="1" applyBorder="1" applyAlignment="1" applyProtection="1">
      <alignment horizontal="left" vertical="center" wrapText="1"/>
    </xf>
    <xf numFmtId="0" fontId="42" fillId="8" borderId="0" xfId="11336" applyFont="1" applyFill="1" applyBorder="1" applyAlignment="1" applyProtection="1">
      <alignment horizontal="left" vertical="center"/>
      <protection locked="0"/>
    </xf>
    <xf numFmtId="0" fontId="41" fillId="0" borderId="0" xfId="11336" applyFont="1" applyFill="1" applyBorder="1" applyAlignment="1" applyProtection="1">
      <alignment horizontal="left" vertical="center"/>
      <protection locked="0"/>
    </xf>
    <xf numFmtId="0" fontId="42" fillId="9" borderId="0" xfId="11336" applyFont="1" applyFill="1" applyBorder="1" applyAlignment="1" applyProtection="1">
      <alignment horizontal="left" vertical="center"/>
      <protection locked="0"/>
    </xf>
    <xf numFmtId="10" fontId="42" fillId="9" borderId="90" xfId="11336" applyNumberFormat="1" applyFont="1" applyFill="1" applyBorder="1" applyAlignment="1">
      <alignment horizontal="left" vertical="center"/>
    </xf>
    <xf numFmtId="0" fontId="48" fillId="11" borderId="78" xfId="26475" applyFont="1" applyFill="1" applyBorder="1" applyAlignment="1" applyProtection="1">
      <alignment horizontal="left" vertical="center" wrapText="1"/>
    </xf>
    <xf numFmtId="0" fontId="48" fillId="11" borderId="91" xfId="26475" applyFont="1" applyFill="1" applyBorder="1" applyAlignment="1" applyProtection="1">
      <alignment horizontal="left" vertical="center" wrapText="1"/>
    </xf>
    <xf numFmtId="10" fontId="6" fillId="0" borderId="75" xfId="11336" applyNumberFormat="1" applyFont="1" applyBorder="1" applyAlignment="1">
      <alignment horizontal="left" vertical="center"/>
    </xf>
    <xf numFmtId="10" fontId="6" fillId="0" borderId="0" xfId="11336" applyNumberFormat="1" applyFont="1" applyAlignment="1">
      <alignment horizontal="left" vertical="center"/>
    </xf>
    <xf numFmtId="0" fontId="48" fillId="11" borderId="91" xfId="11336" applyFont="1" applyFill="1" applyBorder="1" applyAlignment="1" applyProtection="1">
      <alignment horizontal="left" vertical="center" wrapText="1"/>
    </xf>
    <xf numFmtId="0" fontId="48" fillId="10" borderId="92" xfId="11336" applyFont="1" applyFill="1" applyBorder="1" applyAlignment="1" applyProtection="1">
      <alignment horizontal="left" vertical="center" wrapText="1"/>
    </xf>
    <xf numFmtId="0" fontId="48" fillId="10" borderId="91" xfId="11336" applyFont="1" applyFill="1" applyBorder="1" applyAlignment="1" applyProtection="1">
      <alignment horizontal="left" vertical="center" wrapText="1"/>
    </xf>
    <xf numFmtId="0" fontId="48" fillId="10" borderId="93" xfId="11336" applyFont="1" applyFill="1" applyBorder="1" applyAlignment="1" applyProtection="1">
      <alignment horizontal="left" vertical="center" wrapText="1"/>
    </xf>
    <xf numFmtId="10" fontId="6" fillId="0" borderId="94" xfId="11336" applyNumberFormat="1" applyFont="1" applyBorder="1" applyAlignment="1">
      <alignment horizontal="left" vertical="center"/>
    </xf>
    <xf numFmtId="10" fontId="6" fillId="0" borderId="95" xfId="11336" applyNumberFormat="1" applyFont="1" applyBorder="1" applyAlignment="1">
      <alignment horizontal="left" vertical="center"/>
    </xf>
    <xf numFmtId="0" fontId="48" fillId="11" borderId="92" xfId="11336" applyFont="1" applyFill="1" applyBorder="1" applyAlignment="1" applyProtection="1">
      <alignment horizontal="left" vertical="center" wrapText="1"/>
    </xf>
    <xf numFmtId="10" fontId="6" fillId="0" borderId="0" xfId="11336" applyNumberFormat="1" applyFont="1" applyBorder="1" applyAlignment="1">
      <alignment horizontal="left" vertical="center"/>
    </xf>
    <xf numFmtId="10" fontId="6" fillId="0" borderId="90" xfId="11336" applyNumberFormat="1" applyFont="1" applyBorder="1" applyAlignment="1">
      <alignment horizontal="left" vertical="center"/>
    </xf>
    <xf numFmtId="10" fontId="6" fillId="0" borderId="96" xfId="11336" applyNumberFormat="1" applyFont="1" applyBorder="1" applyAlignment="1">
      <alignment horizontal="left" vertical="center"/>
    </xf>
    <xf numFmtId="0" fontId="6" fillId="11" borderId="92" xfId="11336" applyFont="1" applyFill="1" applyBorder="1" applyAlignment="1" applyProtection="1">
      <alignment horizontal="left" vertical="center" wrapText="1"/>
    </xf>
    <xf numFmtId="0" fontId="6" fillId="3" borderId="91" xfId="11336" applyFont="1" applyFill="1" applyBorder="1" applyAlignment="1" applyProtection="1">
      <alignment horizontal="left" vertical="center" wrapText="1"/>
    </xf>
    <xf numFmtId="10" fontId="6" fillId="3" borderId="75" xfId="11336" applyNumberFormat="1" applyFont="1" applyFill="1" applyBorder="1" applyAlignment="1">
      <alignment horizontal="left" vertical="center"/>
    </xf>
    <xf numFmtId="10" fontId="6" fillId="3" borderId="0" xfId="11336" applyNumberFormat="1" applyFont="1" applyFill="1" applyAlignment="1">
      <alignment horizontal="left" vertical="center"/>
    </xf>
    <xf numFmtId="0" fontId="6" fillId="10" borderId="93" xfId="11336" applyFont="1" applyFill="1" applyBorder="1" applyAlignment="1" applyProtection="1">
      <alignment horizontal="left" vertical="center" wrapText="1"/>
    </xf>
    <xf numFmtId="0" fontId="48" fillId="11" borderId="97" xfId="11336" applyFont="1" applyFill="1" applyBorder="1" applyAlignment="1" applyProtection="1">
      <alignment horizontal="left" vertical="center" wrapText="1"/>
    </xf>
    <xf numFmtId="10" fontId="6" fillId="0" borderId="98" xfId="11336" applyNumberFormat="1" applyFont="1" applyBorder="1" applyAlignment="1">
      <alignment horizontal="left" vertical="center"/>
    </xf>
    <xf numFmtId="10" fontId="6" fillId="0" borderId="21" xfId="11336" applyNumberFormat="1" applyFont="1" applyBorder="1" applyAlignment="1">
      <alignment horizontal="left" vertical="center"/>
    </xf>
    <xf numFmtId="0" fontId="48" fillId="10" borderId="99" xfId="11336" applyFont="1" applyFill="1" applyBorder="1" applyAlignment="1" applyProtection="1">
      <alignment horizontal="left" vertical="center" wrapText="1"/>
    </xf>
    <xf numFmtId="10" fontId="6" fillId="12" borderId="75" xfId="11336" applyNumberFormat="1" applyFont="1" applyFill="1" applyBorder="1" applyAlignment="1">
      <alignment horizontal="left" vertical="center"/>
    </xf>
    <xf numFmtId="10" fontId="6" fillId="12" borderId="0" xfId="11336" applyNumberFormat="1" applyFont="1" applyFill="1" applyAlignment="1">
      <alignment horizontal="left" vertical="center"/>
    </xf>
    <xf numFmtId="0" fontId="10" fillId="8" borderId="0" xfId="11336" applyFont="1" applyFill="1" applyAlignment="1">
      <alignment horizontal="left" vertical="center"/>
    </xf>
    <xf numFmtId="0" fontId="6" fillId="8" borderId="0" xfId="11336" applyFont="1" applyFill="1" applyAlignment="1">
      <alignment horizontal="left" vertical="center"/>
    </xf>
    <xf numFmtId="0" fontId="41" fillId="9" borderId="75" xfId="11336" applyFont="1" applyFill="1" applyBorder="1" applyAlignment="1">
      <alignment horizontal="left" vertical="center"/>
    </xf>
    <xf numFmtId="0" fontId="43" fillId="3" borderId="0" xfId="11336" applyFont="1" applyFill="1" applyAlignment="1">
      <alignment horizontal="left" vertical="center"/>
    </xf>
    <xf numFmtId="0" fontId="6" fillId="9" borderId="0" xfId="11336" applyFont="1" applyFill="1" applyAlignment="1">
      <alignment horizontal="left" vertical="center"/>
    </xf>
    <xf numFmtId="180" fontId="6" fillId="0" borderId="0" xfId="11336" applyNumberFormat="1" applyFont="1" applyAlignment="1">
      <alignment horizontal="left" vertical="center"/>
    </xf>
    <xf numFmtId="0" fontId="6" fillId="0" borderId="0" xfId="11336" applyFont="1" applyFill="1" applyAlignment="1">
      <alignment horizontal="left" vertical="center"/>
    </xf>
    <xf numFmtId="184" fontId="6" fillId="0" borderId="75" xfId="11336" applyNumberFormat="1" applyFont="1" applyBorder="1" applyAlignment="1">
      <alignment horizontal="left" vertical="center"/>
    </xf>
    <xf numFmtId="184" fontId="6" fillId="0" borderId="0" xfId="11336" applyNumberFormat="1" applyFont="1" applyAlignment="1">
      <alignment horizontal="left" vertical="center"/>
    </xf>
    <xf numFmtId="180" fontId="6" fillId="3" borderId="0" xfId="11336" applyNumberFormat="1" applyFont="1" applyFill="1" applyAlignment="1">
      <alignment horizontal="left" vertical="center"/>
    </xf>
    <xf numFmtId="10" fontId="6" fillId="3" borderId="90" xfId="11336" applyNumberFormat="1" applyFont="1" applyFill="1" applyBorder="1" applyAlignment="1">
      <alignment horizontal="left" vertical="center"/>
    </xf>
    <xf numFmtId="10" fontId="6" fillId="3" borderId="96" xfId="11336" applyNumberFormat="1" applyFont="1" applyFill="1" applyBorder="1" applyAlignment="1">
      <alignment horizontal="left" vertical="center"/>
    </xf>
    <xf numFmtId="0" fontId="13" fillId="3" borderId="0" xfId="11336" applyFont="1" applyFill="1" applyAlignment="1">
      <alignment horizontal="left" vertical="center"/>
    </xf>
    <xf numFmtId="0" fontId="6" fillId="3" borderId="0" xfId="11336" applyNumberFormat="1" applyFont="1" applyFill="1" applyAlignment="1">
      <alignment horizontal="left" vertical="center"/>
    </xf>
    <xf numFmtId="14" fontId="6" fillId="0" borderId="0" xfId="11336" applyNumberFormat="1" applyFont="1" applyAlignment="1">
      <alignment horizontal="left" vertical="center"/>
    </xf>
    <xf numFmtId="0" fontId="6" fillId="0" borderId="0" xfId="11336" applyNumberFormat="1" applyFont="1" applyAlignment="1">
      <alignment horizontal="left" vertical="center"/>
    </xf>
    <xf numFmtId="180" fontId="6" fillId="0" borderId="21" xfId="11336" applyNumberFormat="1" applyFont="1" applyBorder="1" applyAlignment="1">
      <alignment horizontal="left" vertical="center"/>
    </xf>
    <xf numFmtId="183" fontId="6" fillId="0" borderId="0" xfId="11336" applyNumberFormat="1" applyFont="1" applyAlignment="1">
      <alignment horizontal="left" vertical="center"/>
    </xf>
    <xf numFmtId="10" fontId="6" fillId="8" borderId="0" xfId="11336" applyNumberFormat="1" applyFont="1" applyFill="1" applyAlignment="1">
      <alignment horizontal="left" vertical="center"/>
    </xf>
    <xf numFmtId="10" fontId="6" fillId="9" borderId="0" xfId="11336" applyNumberFormat="1" applyFont="1" applyFill="1" applyAlignment="1">
      <alignment horizontal="left" vertical="center"/>
    </xf>
    <xf numFmtId="10" fontId="6" fillId="0" borderId="0" xfId="11336" applyNumberFormat="1" applyFont="1" applyFill="1" applyAlignment="1">
      <alignment horizontal="left" vertical="center"/>
    </xf>
    <xf numFmtId="0" fontId="13" fillId="0" borderId="0" xfId="11336" applyFont="1" applyAlignment="1">
      <alignment horizontal="left" vertical="center"/>
    </xf>
    <xf numFmtId="0" fontId="41" fillId="11" borderId="100" xfId="11336" applyFont="1" applyFill="1" applyBorder="1" applyAlignment="1">
      <alignment horizontal="left" vertical="center" wrapText="1"/>
    </xf>
    <xf numFmtId="0" fontId="41" fillId="11" borderId="101" xfId="11336" applyFont="1" applyFill="1" applyBorder="1" applyAlignment="1">
      <alignment horizontal="left" vertical="center" wrapText="1"/>
    </xf>
    <xf numFmtId="180" fontId="6" fillId="12" borderId="0" xfId="11336" applyNumberFormat="1" applyFont="1" applyFill="1" applyAlignment="1">
      <alignment horizontal="left" vertical="center"/>
    </xf>
    <xf numFmtId="0" fontId="48" fillId="11" borderId="85" xfId="11336" applyFont="1" applyFill="1" applyBorder="1" applyAlignment="1" applyProtection="1">
      <alignment horizontal="left" vertical="center" wrapText="1"/>
    </xf>
    <xf numFmtId="0" fontId="41" fillId="10" borderId="85" xfId="11336" applyFont="1" applyFill="1" applyBorder="1" applyAlignment="1">
      <alignment horizontal="left" vertical="center" wrapText="1"/>
    </xf>
    <xf numFmtId="0" fontId="41" fillId="10" borderId="87" xfId="11336" applyFont="1" applyFill="1" applyBorder="1" applyAlignment="1">
      <alignment horizontal="left" vertical="center" wrapText="1"/>
    </xf>
    <xf numFmtId="0" fontId="48" fillId="3" borderId="78" xfId="11336" applyFont="1" applyFill="1" applyBorder="1" applyAlignment="1" applyProtection="1">
      <alignment horizontal="left" vertical="center" wrapText="1"/>
    </xf>
    <xf numFmtId="0" fontId="41" fillId="10" borderId="102" xfId="11336" applyFont="1" applyFill="1" applyBorder="1" applyAlignment="1">
      <alignment horizontal="left" vertical="center" wrapText="1"/>
    </xf>
    <xf numFmtId="0" fontId="41" fillId="10" borderId="103" xfId="11336" applyFont="1" applyFill="1" applyBorder="1" applyAlignment="1">
      <alignment horizontal="left" vertical="center" wrapText="1"/>
    </xf>
    <xf numFmtId="0" fontId="41" fillId="10" borderId="104" xfId="11336" applyFont="1" applyFill="1" applyBorder="1" applyAlignment="1">
      <alignment horizontal="left" vertical="center" wrapText="1"/>
    </xf>
    <xf numFmtId="0" fontId="19" fillId="0" borderId="0" xfId="11336" applyFont="1" applyAlignment="1">
      <alignment horizontal="left" vertical="center"/>
    </xf>
    <xf numFmtId="0" fontId="43" fillId="0" borderId="75" xfId="11336" applyFont="1" applyBorder="1" applyAlignment="1">
      <alignment horizontal="left" vertical="center"/>
    </xf>
    <xf numFmtId="10" fontId="6" fillId="12" borderId="90" xfId="11336" applyNumberFormat="1" applyFont="1" applyFill="1" applyBorder="1" applyAlignment="1">
      <alignment horizontal="left" vertical="center"/>
    </xf>
    <xf numFmtId="10" fontId="6" fillId="12" borderId="96" xfId="11336" applyNumberFormat="1" applyFont="1" applyFill="1" applyBorder="1" applyAlignment="1">
      <alignment horizontal="left" vertical="center"/>
    </xf>
    <xf numFmtId="10" fontId="6" fillId="12" borderId="98" xfId="11336" applyNumberFormat="1" applyFont="1" applyFill="1" applyBorder="1" applyAlignment="1">
      <alignment horizontal="left" vertical="center"/>
    </xf>
    <xf numFmtId="10" fontId="6" fillId="12" borderId="21" xfId="11336" applyNumberFormat="1" applyFont="1" applyFill="1" applyBorder="1" applyAlignment="1">
      <alignment horizontal="left" vertical="center"/>
    </xf>
    <xf numFmtId="189" fontId="6" fillId="0" borderId="0" xfId="11336" applyNumberFormat="1" applyFont="1" applyAlignment="1">
      <alignment horizontal="left" vertical="center"/>
    </xf>
    <xf numFmtId="189" fontId="6" fillId="0" borderId="75" xfId="11336" applyNumberFormat="1" applyFont="1" applyBorder="1" applyAlignment="1">
      <alignment horizontal="left" vertical="center"/>
    </xf>
    <xf numFmtId="189" fontId="6" fillId="3" borderId="0" xfId="11336" applyNumberFormat="1" applyFont="1" applyFill="1" applyAlignment="1">
      <alignment horizontal="left" vertical="center"/>
    </xf>
    <xf numFmtId="0" fontId="6" fillId="3" borderId="75" xfId="11336" applyFont="1" applyFill="1" applyBorder="1" applyAlignment="1">
      <alignment horizontal="left" vertical="center"/>
    </xf>
    <xf numFmtId="189" fontId="43" fillId="0" borderId="0" xfId="11336" applyNumberFormat="1" applyFont="1" applyAlignment="1">
      <alignment horizontal="left" vertical="center"/>
    </xf>
    <xf numFmtId="189" fontId="43" fillId="0" borderId="75" xfId="11336" applyNumberFormat="1" applyFont="1" applyBorder="1" applyAlignment="1">
      <alignment horizontal="left" vertical="center"/>
    </xf>
    <xf numFmtId="183" fontId="6" fillId="0" borderId="21" xfId="11336" applyNumberFormat="1" applyFont="1" applyBorder="1" applyAlignment="1">
      <alignment horizontal="left" vertical="center"/>
    </xf>
    <xf numFmtId="183" fontId="6" fillId="3" borderId="0" xfId="11336" applyNumberFormat="1" applyFont="1" applyFill="1" applyAlignment="1">
      <alignment horizontal="left" vertical="center"/>
    </xf>
    <xf numFmtId="0" fontId="48" fillId="11" borderId="105" xfId="11336" applyFont="1" applyFill="1" applyBorder="1" applyAlignment="1">
      <alignment horizontal="left" vertical="center" wrapText="1"/>
    </xf>
    <xf numFmtId="0" fontId="48" fillId="11" borderId="79" xfId="11336" applyFont="1" applyFill="1" applyBorder="1" applyAlignment="1">
      <alignment horizontal="left" vertical="center" wrapText="1"/>
    </xf>
    <xf numFmtId="0" fontId="48" fillId="10" borderId="106" xfId="11336" applyFont="1" applyFill="1" applyBorder="1" applyAlignment="1">
      <alignment horizontal="left" vertical="center" wrapText="1"/>
    </xf>
    <xf numFmtId="0" fontId="48" fillId="10" borderId="78" xfId="11336" applyFont="1" applyFill="1" applyBorder="1" applyAlignment="1">
      <alignment horizontal="left" vertical="center" wrapText="1"/>
    </xf>
    <xf numFmtId="0" fontId="48" fillId="11" borderId="106" xfId="11336" applyFont="1" applyFill="1" applyBorder="1" applyAlignment="1">
      <alignment horizontal="left" vertical="center" wrapText="1"/>
    </xf>
    <xf numFmtId="0" fontId="48" fillId="11" borderId="78" xfId="11336" applyFont="1" applyFill="1" applyBorder="1" applyAlignment="1">
      <alignment horizontal="left" vertical="center" wrapText="1"/>
    </xf>
    <xf numFmtId="0" fontId="48" fillId="10" borderId="107" xfId="11336" applyFont="1" applyFill="1" applyBorder="1" applyAlignment="1">
      <alignment horizontal="left" vertical="center" wrapText="1"/>
    </xf>
    <xf numFmtId="0" fontId="48" fillId="10" borderId="85" xfId="11336"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5623" applyNumberFormat="1" applyFont="1" applyBorder="1" applyAlignment="1" applyProtection="1">
      <alignment vertical="center"/>
    </xf>
    <xf numFmtId="0" fontId="50" fillId="0" borderId="96" xfId="15623" applyNumberFormat="1" applyFont="1" applyBorder="1" applyAlignment="1" applyProtection="1">
      <alignment vertical="center"/>
    </xf>
    <xf numFmtId="182"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wrapText="1"/>
    </xf>
    <xf numFmtId="0" fontId="52" fillId="2" borderId="1" xfId="15623" applyNumberFormat="1" applyFont="1" applyFill="1" applyBorder="1" applyAlignment="1" applyProtection="1">
      <alignment horizontal="center" vertical="center"/>
    </xf>
    <xf numFmtId="182" fontId="51" fillId="2" borderId="1" xfId="15623" applyNumberFormat="1" applyFont="1" applyFill="1" applyBorder="1" applyAlignment="1" applyProtection="1">
      <alignment horizontal="center" vertical="center" wrapText="1"/>
    </xf>
    <xf numFmtId="0" fontId="51" fillId="2" borderId="64" xfId="15623"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24254"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946"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7" fontId="30" fillId="2" borderId="64" xfId="0" applyNumberFormat="1" applyFont="1" applyFill="1" applyBorder="1" applyAlignment="1" applyProtection="1">
      <alignment horizontal="center" vertical="center" wrapText="1"/>
    </xf>
    <xf numFmtId="17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946" applyFont="1" applyFill="1" applyBorder="1" applyAlignment="1" applyProtection="1">
      <alignment horizontal="center" vertical="center" wrapText="1"/>
      <protection locked="0"/>
    </xf>
    <xf numFmtId="0" fontId="55" fillId="2" borderId="8" xfId="10946" applyFont="1" applyFill="1" applyBorder="1" applyAlignment="1" applyProtection="1">
      <alignment vertical="center" wrapText="1"/>
      <protection locked="0"/>
    </xf>
    <xf numFmtId="0" fontId="55" fillId="2" borderId="29" xfId="10946"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946" applyFont="1" applyFill="1" applyBorder="1" applyAlignment="1" applyProtection="1">
      <alignment horizontal="center" vertical="center" wrapText="1"/>
    </xf>
    <xf numFmtId="10" fontId="55" fillId="0" borderId="4" xfId="10946" applyNumberFormat="1" applyFont="1" applyFill="1" applyBorder="1" applyAlignment="1" applyProtection="1">
      <alignment horizontal="center" vertical="center" wrapText="1"/>
      <protection locked="0"/>
    </xf>
    <xf numFmtId="10" fontId="30" fillId="2" borderId="11" xfId="10946"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946" applyFont="1" applyFill="1" applyBorder="1" applyAlignment="1" applyProtection="1">
      <alignment horizontal="center" vertical="center" wrapText="1"/>
    </xf>
    <xf numFmtId="10" fontId="55" fillId="0" borderId="62" xfId="10946" applyNumberFormat="1" applyFont="1" applyFill="1" applyBorder="1" applyAlignment="1" applyProtection="1">
      <alignment horizontal="center" vertical="center" wrapText="1"/>
      <protection locked="0"/>
    </xf>
    <xf numFmtId="10" fontId="30" fillId="2" borderId="14" xfId="10946" applyNumberFormat="1" applyFont="1" applyFill="1" applyBorder="1" applyAlignment="1" applyProtection="1">
      <alignment horizontal="center" vertical="center" wrapText="1"/>
    </xf>
    <xf numFmtId="0" fontId="55" fillId="2" borderId="18" xfId="10946" applyFont="1" applyFill="1" applyBorder="1" applyAlignment="1" applyProtection="1">
      <alignment horizontal="center" vertical="center" wrapText="1"/>
      <protection locked="0"/>
    </xf>
    <xf numFmtId="0" fontId="55" fillId="2" borderId="0" xfId="10946" applyFont="1" applyFill="1" applyBorder="1" applyAlignment="1" applyProtection="1">
      <alignment vertical="center" wrapText="1"/>
      <protection locked="0"/>
    </xf>
    <xf numFmtId="10" fontId="30" fillId="2" borderId="40" xfId="10946"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946" applyFont="1" applyFill="1" applyBorder="1" applyAlignment="1" applyProtection="1">
      <alignment horizontal="center" vertical="center" wrapText="1"/>
    </xf>
    <xf numFmtId="0" fontId="30" fillId="2" borderId="0" xfId="10946" applyFont="1" applyFill="1" applyAlignment="1" applyProtection="1">
      <alignment vertical="center" wrapText="1"/>
      <protection locked="0"/>
    </xf>
    <xf numFmtId="0" fontId="27" fillId="0" borderId="1" xfId="10946" applyFont="1" applyFill="1" applyBorder="1" applyAlignment="1" applyProtection="1">
      <alignment horizontal="center" vertical="center" wrapText="1"/>
      <protection locked="0"/>
    </xf>
    <xf numFmtId="0" fontId="30" fillId="2" borderId="4" xfId="10946" applyFont="1" applyFill="1" applyBorder="1" applyAlignment="1" applyProtection="1">
      <alignment horizontal="center" vertical="center" wrapText="1"/>
      <protection locked="0"/>
    </xf>
    <xf numFmtId="0" fontId="30" fillId="2" borderId="1" xfId="10946" applyFont="1" applyFill="1" applyBorder="1" applyAlignment="1" applyProtection="1">
      <alignment horizontal="center" vertical="center" wrapText="1"/>
      <protection locked="0"/>
    </xf>
    <xf numFmtId="187" fontId="6" fillId="2" borderId="1" xfId="10946" applyNumberFormat="1" applyFont="1" applyFill="1" applyBorder="1" applyAlignment="1" applyProtection="1">
      <alignment horizontal="center" vertical="center"/>
    </xf>
    <xf numFmtId="0" fontId="30" fillId="2" borderId="1" xfId="10946" applyFont="1" applyFill="1" applyBorder="1" applyAlignment="1" applyProtection="1">
      <alignment horizontal="center" vertical="center" wrapText="1"/>
    </xf>
    <xf numFmtId="0" fontId="6" fillId="2" borderId="1" xfId="10946"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946" applyFont="1" applyFill="1" applyAlignment="1" applyProtection="1">
      <alignment horizontal="center" vertical="center" wrapText="1"/>
      <protection locked="0"/>
    </xf>
    <xf numFmtId="0" fontId="30" fillId="5" borderId="0" xfId="10946" applyFont="1" applyFill="1" applyAlignment="1" applyProtection="1">
      <alignment horizontal="center" vertical="center" wrapText="1"/>
    </xf>
    <xf numFmtId="0" fontId="55" fillId="2" borderId="0" xfId="10946" applyFont="1" applyFill="1" applyAlignment="1" applyProtection="1">
      <alignment horizontal="center" vertical="center" wrapText="1"/>
      <protection locked="0"/>
    </xf>
    <xf numFmtId="0" fontId="55" fillId="5" borderId="0" xfId="10946" applyFont="1" applyFill="1" applyAlignment="1" applyProtection="1">
      <alignment horizontal="center" vertical="center" wrapText="1"/>
    </xf>
    <xf numFmtId="182" fontId="30" fillId="2" borderId="1" xfId="10946" applyNumberFormat="1" applyFont="1" applyFill="1" applyBorder="1" applyAlignment="1" applyProtection="1">
      <alignment horizontal="center" vertical="center" wrapText="1"/>
      <protection locked="0"/>
    </xf>
    <xf numFmtId="0" fontId="6" fillId="2" borderId="1" xfId="10946" applyFont="1" applyFill="1" applyBorder="1" applyAlignment="1" applyProtection="1">
      <alignment horizontal="center" vertical="center"/>
    </xf>
    <xf numFmtId="180" fontId="43" fillId="0" borderId="1" xfId="10946" applyNumberFormat="1" applyFont="1" applyFill="1" applyBorder="1" applyAlignment="1" applyProtection="1">
      <alignment horizontal="center" vertical="center"/>
      <protection locked="0"/>
    </xf>
    <xf numFmtId="180" fontId="43" fillId="2" borderId="1" xfId="10946" applyNumberFormat="1" applyFont="1" applyFill="1" applyBorder="1" applyAlignment="1" applyProtection="1">
      <alignment horizontal="center" vertical="center"/>
    </xf>
    <xf numFmtId="177" fontId="43" fillId="2" borderId="1" xfId="10946" applyNumberFormat="1" applyFont="1" applyFill="1" applyBorder="1" applyAlignment="1" applyProtection="1">
      <alignment horizontal="center" vertical="center" wrapText="1"/>
    </xf>
    <xf numFmtId="0" fontId="30" fillId="2" borderId="1" xfId="10946" applyNumberFormat="1" applyFont="1" applyFill="1" applyBorder="1" applyAlignment="1" applyProtection="1">
      <alignment horizontal="center" vertical="center" wrapText="1"/>
    </xf>
    <xf numFmtId="0" fontId="30" fillId="5" borderId="0" xfId="10946" applyFont="1" applyFill="1" applyAlignment="1" applyProtection="1">
      <alignment horizontal="center" vertical="center" wrapText="1"/>
      <protection locked="0"/>
    </xf>
    <xf numFmtId="0" fontId="30" fillId="0" borderId="0" xfId="10946" applyFont="1" applyAlignment="1" applyProtection="1">
      <alignment horizontal="center" vertical="center" wrapText="1"/>
    </xf>
    <xf numFmtId="0" fontId="55" fillId="0" borderId="0" xfId="10946" applyFont="1" applyAlignment="1" applyProtection="1">
      <alignment horizontal="center" vertical="center" wrapText="1"/>
    </xf>
    <xf numFmtId="0" fontId="30" fillId="0" borderId="0" xfId="1094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5623"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5623" applyNumberFormat="1" applyFont="1" applyFill="1" applyBorder="1" applyAlignment="1" applyProtection="1">
      <alignment horizontal="center" vertical="center"/>
    </xf>
    <xf numFmtId="0" fontId="30" fillId="2" borderId="36" xfId="15623"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24254"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24254" applyNumberFormat="1" applyFont="1" applyFill="1" applyBorder="1" applyAlignment="1" applyProtection="1">
      <alignment horizontal="center"/>
    </xf>
    <xf numFmtId="0" fontId="30" fillId="2" borderId="10" xfId="24254"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24254"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24254"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24254"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24254" applyFont="1" applyFill="1" applyBorder="1" applyAlignment="1" applyProtection="1">
      <alignment vertical="center"/>
      <protection locked="0"/>
    </xf>
    <xf numFmtId="0" fontId="28" fillId="2" borderId="112" xfId="24254" applyFont="1" applyFill="1" applyBorder="1" applyAlignment="1" applyProtection="1">
      <alignment vertical="center"/>
      <protection locked="0"/>
    </xf>
    <xf numFmtId="0" fontId="28" fillId="3" borderId="16" xfId="24254"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8" fontId="61" fillId="2" borderId="108" xfId="0" applyNumberFormat="1"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7" borderId="58"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1" fillId="0" borderId="136" xfId="0" applyNumberFormat="1"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8"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21"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24254"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24254"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20476" applyFont="1" applyAlignment="1">
      <alignment horizontal="left"/>
    </xf>
    <xf numFmtId="0" fontId="8" fillId="0" borderId="0" xfId="20476" applyFont="1" applyAlignment="1">
      <alignment horizontal="right"/>
    </xf>
    <xf numFmtId="0" fontId="80" fillId="0" borderId="0" xfId="20476" applyFont="1" applyAlignment="1">
      <alignment horizontal="left"/>
    </xf>
    <xf numFmtId="0" fontId="80" fillId="0" borderId="0" xfId="20476" applyFont="1" applyFill="1" applyAlignment="1" applyProtection="1">
      <alignment horizontal="left"/>
      <protection locked="0"/>
    </xf>
    <xf numFmtId="0" fontId="80" fillId="0" borderId="0" xfId="20476" applyFont="1" applyAlignment="1" applyProtection="1">
      <alignment horizontal="left"/>
      <protection locked="0"/>
    </xf>
    <xf numFmtId="0" fontId="81" fillId="0" borderId="0" xfId="20476" applyFont="1" applyAlignment="1" applyProtection="1">
      <alignment horizontal="left"/>
      <protection locked="0"/>
    </xf>
    <xf numFmtId="0" fontId="81" fillId="0" borderId="0" xfId="20476" applyFont="1" applyAlignment="1" applyProtection="1">
      <alignment horizontal="left" vertical="center"/>
      <protection locked="0"/>
    </xf>
    <xf numFmtId="49" fontId="82" fillId="2" borderId="96" xfId="20476" applyNumberFormat="1" applyFont="1" applyFill="1" applyBorder="1" applyAlignment="1" applyProtection="1"/>
    <xf numFmtId="0" fontId="63" fillId="2" borderId="0" xfId="20476" applyFont="1" applyFill="1" applyAlignment="1" applyProtection="1">
      <alignment horizontal="center" vertical="center"/>
    </xf>
    <xf numFmtId="0" fontId="30" fillId="2" borderId="0" xfId="20476" applyFont="1" applyFill="1" applyBorder="1" applyAlignment="1" applyProtection="1">
      <alignment vertical="center"/>
    </xf>
    <xf numFmtId="49" fontId="27" fillId="2" borderId="0" xfId="20476" applyNumberFormat="1" applyFont="1" applyFill="1" applyBorder="1" applyAlignment="1" applyProtection="1">
      <alignment horizontal="center"/>
    </xf>
    <xf numFmtId="0" fontId="27" fillId="2" borderId="0" xfId="20476" applyNumberFormat="1" applyFont="1" applyFill="1" applyBorder="1" applyAlignment="1" applyProtection="1">
      <alignment horizontal="center"/>
    </xf>
    <xf numFmtId="0" fontId="27" fillId="0" borderId="0" xfId="20476" applyNumberFormat="1" applyFont="1" applyFill="1" applyBorder="1" applyAlignment="1" applyProtection="1">
      <alignment horizontal="center"/>
      <protection locked="0"/>
    </xf>
    <xf numFmtId="0" fontId="29" fillId="2" borderId="1" xfId="24254" applyFont="1" applyFill="1" applyBorder="1" applyAlignment="1" applyProtection="1">
      <alignment vertical="center"/>
    </xf>
    <xf numFmtId="187" fontId="38" fillId="2" borderId="1" xfId="20476" applyNumberFormat="1" applyFont="1" applyFill="1" applyBorder="1" applyAlignment="1" applyProtection="1">
      <alignment horizontal="right" vertical="center"/>
    </xf>
    <xf numFmtId="49" fontId="30" fillId="2" borderId="0" xfId="20476" applyNumberFormat="1" applyFont="1" applyFill="1" applyBorder="1" applyAlignment="1" applyProtection="1"/>
    <xf numFmtId="49" fontId="29" fillId="2" borderId="0" xfId="20476" applyNumberFormat="1" applyFont="1" applyFill="1" applyBorder="1" applyAlignment="1" applyProtection="1"/>
    <xf numFmtId="49" fontId="29" fillId="0" borderId="0" xfId="20476" applyNumberFormat="1" applyFont="1" applyFill="1" applyBorder="1" applyAlignment="1" applyProtection="1">
      <protection locked="0"/>
    </xf>
    <xf numFmtId="0" fontId="8" fillId="0" borderId="0" xfId="20476" applyFont="1" applyAlignment="1" applyProtection="1">
      <alignment horizontal="left"/>
      <protection locked="0"/>
    </xf>
    <xf numFmtId="0" fontId="29" fillId="2" borderId="15" xfId="24254" applyFont="1" applyFill="1" applyBorder="1" applyAlignment="1" applyProtection="1">
      <alignment vertical="center"/>
    </xf>
    <xf numFmtId="0" fontId="38" fillId="2" borderId="15" xfId="20476" applyFont="1" applyFill="1" applyBorder="1" applyAlignment="1" applyProtection="1">
      <alignment horizontal="right" vertical="center"/>
    </xf>
    <xf numFmtId="0" fontId="8" fillId="2" borderId="1" xfId="20476" applyFont="1" applyFill="1" applyBorder="1" applyAlignment="1" applyProtection="1">
      <alignment vertical="center"/>
    </xf>
    <xf numFmtId="0" fontId="30" fillId="0" borderId="1" xfId="20476" applyFont="1" applyFill="1" applyBorder="1" applyAlignment="1" applyProtection="1">
      <alignment horizontal="left" vertical="center"/>
      <protection locked="0"/>
    </xf>
    <xf numFmtId="0" fontId="12" fillId="2" borderId="0" xfId="24254" applyFont="1" applyFill="1" applyBorder="1" applyAlignment="1" applyProtection="1">
      <alignment vertical="center"/>
    </xf>
    <xf numFmtId="0" fontId="36" fillId="0" borderId="13" xfId="20476" applyFont="1" applyFill="1" applyBorder="1" applyAlignment="1" applyProtection="1">
      <alignment horizontal="left" vertical="center"/>
      <protection locked="0"/>
    </xf>
    <xf numFmtId="0" fontId="8" fillId="2" borderId="50" xfId="20476" applyFont="1" applyFill="1" applyBorder="1" applyAlignment="1" applyProtection="1">
      <alignment vertical="center"/>
    </xf>
    <xf numFmtId="0" fontId="29" fillId="0" borderId="109" xfId="20476" applyFont="1" applyFill="1" applyBorder="1" applyAlignment="1" applyProtection="1">
      <alignment horizontal="left" vertical="center"/>
      <protection locked="0"/>
    </xf>
    <xf numFmtId="0" fontId="29" fillId="2" borderId="25" xfId="20476" applyFont="1" applyFill="1" applyBorder="1" applyAlignment="1">
      <alignment vertical="center"/>
    </xf>
    <xf numFmtId="0" fontId="29" fillId="2" borderId="116" xfId="20476" applyFont="1" applyFill="1" applyBorder="1" applyAlignment="1">
      <alignment vertical="center"/>
    </xf>
    <xf numFmtId="0" fontId="29" fillId="0" borderId="0" xfId="20476" applyFont="1" applyFill="1" applyBorder="1" applyAlignment="1" applyProtection="1">
      <alignment vertical="center"/>
      <protection locked="0"/>
    </xf>
    <xf numFmtId="0" fontId="29" fillId="2" borderId="120" xfId="20476" applyFont="1" applyFill="1" applyBorder="1" applyAlignment="1">
      <alignment horizontal="left" vertical="center"/>
    </xf>
    <xf numFmtId="0" fontId="29" fillId="2" borderId="96" xfId="20476" applyFont="1" applyFill="1" applyBorder="1" applyAlignment="1">
      <alignment horizontal="left" vertical="center"/>
    </xf>
    <xf numFmtId="0" fontId="29" fillId="2" borderId="112" xfId="20476" applyFont="1" applyFill="1" applyBorder="1" applyAlignment="1">
      <alignment horizontal="left" vertical="center"/>
    </xf>
    <xf numFmtId="187" fontId="29" fillId="2" borderId="34" xfId="20476" applyNumberFormat="1" applyFont="1" applyFill="1" applyBorder="1" applyAlignment="1">
      <alignment horizontal="left" vertical="center"/>
    </xf>
    <xf numFmtId="10" fontId="29" fillId="2" borderId="96" xfId="20476" applyNumberFormat="1" applyFont="1" applyFill="1" applyBorder="1" applyAlignment="1">
      <alignment horizontal="left" vertical="center"/>
    </xf>
    <xf numFmtId="187" fontId="29" fillId="2" borderId="117" xfId="20476" applyNumberFormat="1" applyFont="1" applyFill="1" applyBorder="1" applyAlignment="1">
      <alignment horizontal="left" vertical="center"/>
    </xf>
    <xf numFmtId="187" fontId="29" fillId="0" borderId="0" xfId="20476" applyNumberFormat="1" applyFont="1" applyFill="1" applyBorder="1" applyAlignment="1" applyProtection="1">
      <alignment horizontal="left" vertical="center"/>
      <protection locked="0"/>
    </xf>
    <xf numFmtId="0" fontId="29" fillId="2" borderId="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187" fontId="29" fillId="2" borderId="1" xfId="20476" applyNumberFormat="1" applyFont="1" applyFill="1" applyBorder="1" applyAlignment="1">
      <alignment horizontal="left" vertical="center"/>
    </xf>
    <xf numFmtId="0" fontId="29" fillId="2" borderId="1" xfId="20476" applyFont="1" applyFill="1" applyBorder="1" applyAlignment="1">
      <alignment horizontal="left" vertical="center"/>
    </xf>
    <xf numFmtId="0" fontId="29" fillId="2" borderId="11" xfId="20476" applyFont="1" applyFill="1" applyBorder="1" applyAlignment="1">
      <alignment horizontal="left" vertical="center"/>
    </xf>
    <xf numFmtId="0" fontId="29" fillId="0" borderId="0" xfId="20476" applyFont="1" applyFill="1" applyBorder="1" applyAlignment="1" applyProtection="1">
      <alignment horizontal="left" vertical="center"/>
      <protection locked="0"/>
    </xf>
    <xf numFmtId="9" fontId="29" fillId="0" borderId="1" xfId="20476" applyNumberFormat="1" applyFont="1" applyFill="1" applyBorder="1" applyAlignment="1" applyProtection="1">
      <alignment horizontal="left" vertical="center"/>
      <protection locked="0"/>
    </xf>
    <xf numFmtId="0" fontId="29" fillId="2" borderId="11" xfId="20476" applyFont="1" applyFill="1" applyBorder="1" applyAlignment="1">
      <alignment vertical="center"/>
    </xf>
    <xf numFmtId="184" fontId="29" fillId="2" borderId="1" xfId="20476" applyNumberFormat="1" applyFont="1" applyFill="1" applyBorder="1" applyAlignment="1">
      <alignment horizontal="left" vertical="center"/>
    </xf>
    <xf numFmtId="49" fontId="30" fillId="2" borderId="10" xfId="20476" applyNumberFormat="1"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187" fontId="30" fillId="2" borderId="1" xfId="20476" applyNumberFormat="1" applyFont="1" applyFill="1" applyBorder="1" applyAlignment="1">
      <alignment horizontal="left" vertical="center"/>
    </xf>
    <xf numFmtId="184" fontId="30" fillId="2" borderId="1" xfId="20476" applyNumberFormat="1" applyFont="1" applyFill="1" applyBorder="1" applyAlignment="1">
      <alignment horizontal="left" vertical="center"/>
    </xf>
    <xf numFmtId="0" fontId="8" fillId="2" borderId="4" xfId="20476" applyFont="1" applyFill="1" applyBorder="1" applyAlignment="1">
      <alignment horizontal="right" vertical="center"/>
    </xf>
    <xf numFmtId="194" fontId="30" fillId="0" borderId="1" xfId="20476" applyNumberFormat="1" applyFont="1" applyFill="1" applyBorder="1" applyAlignment="1" applyProtection="1">
      <alignment horizontal="left" vertical="center"/>
      <protection locked="0"/>
    </xf>
    <xf numFmtId="184" fontId="30" fillId="2" borderId="4" xfId="20476" applyNumberFormat="1" applyFont="1" applyFill="1" applyBorder="1" applyAlignment="1">
      <alignment horizontal="right" vertical="center"/>
    </xf>
    <xf numFmtId="180" fontId="30" fillId="0" borderId="1" xfId="20476" applyNumberFormat="1" applyFont="1" applyFill="1" applyBorder="1" applyAlignment="1" applyProtection="1">
      <alignment horizontal="left" vertical="center"/>
      <protection locked="0"/>
    </xf>
    <xf numFmtId="187" fontId="30" fillId="0" borderId="1" xfId="20476" applyNumberFormat="1" applyFont="1" applyFill="1" applyBorder="1" applyAlignment="1" applyProtection="1">
      <alignment horizontal="left" vertical="center"/>
      <protection locked="0"/>
    </xf>
    <xf numFmtId="184" fontId="30" fillId="0" borderId="1" xfId="20476" applyNumberFormat="1" applyFont="1" applyFill="1" applyBorder="1" applyAlignment="1" applyProtection="1">
      <alignment horizontal="left" vertical="center"/>
      <protection locked="0"/>
    </xf>
    <xf numFmtId="0" fontId="29" fillId="2" borderId="12" xfId="20476" applyFont="1" applyFill="1" applyBorder="1" applyAlignment="1">
      <alignment horizontal="left" vertical="center"/>
    </xf>
    <xf numFmtId="187" fontId="29" fillId="2" borderId="13" xfId="20476" applyNumberFormat="1" applyFont="1" applyFill="1" applyBorder="1" applyAlignment="1">
      <alignment horizontal="left" vertical="center"/>
    </xf>
    <xf numFmtId="184" fontId="29" fillId="0" borderId="13" xfId="20476" applyNumberFormat="1" applyFont="1" applyFill="1" applyBorder="1" applyAlignment="1" applyProtection="1">
      <alignment horizontal="left" vertical="center"/>
      <protection locked="0"/>
    </xf>
    <xf numFmtId="0" fontId="29" fillId="2" borderId="14" xfId="20476" applyFont="1" applyFill="1" applyBorder="1" applyAlignment="1">
      <alignment vertical="center"/>
    </xf>
    <xf numFmtId="187" fontId="29" fillId="2" borderId="96" xfId="20476" applyNumberFormat="1" applyFont="1" applyFill="1" applyBorder="1" applyAlignment="1">
      <alignment horizontal="left" vertical="center"/>
    </xf>
    <xf numFmtId="184" fontId="29" fillId="0" borderId="96" xfId="20476" applyNumberFormat="1" applyFont="1" applyFill="1" applyBorder="1" applyAlignment="1" applyProtection="1">
      <alignment horizontal="left" vertical="center"/>
      <protection locked="0"/>
    </xf>
    <xf numFmtId="0" fontId="29" fillId="2" borderId="23" xfId="20476" applyFont="1" applyFill="1" applyBorder="1" applyAlignment="1">
      <alignment vertical="center"/>
    </xf>
    <xf numFmtId="0" fontId="29" fillId="2" borderId="118" xfId="20476" applyFont="1" applyFill="1" applyBorder="1" applyAlignment="1">
      <alignment vertical="center"/>
    </xf>
    <xf numFmtId="0" fontId="29" fillId="2" borderId="117" xfId="20476" applyFont="1" applyFill="1" applyBorder="1" applyAlignment="1">
      <alignment horizontal="left" vertical="center"/>
    </xf>
    <xf numFmtId="0" fontId="29" fillId="2" borderId="142" xfId="20476" applyFont="1" applyFill="1" applyBorder="1" applyAlignment="1">
      <alignment horizontal="left" vertical="center"/>
    </xf>
    <xf numFmtId="0" fontId="83" fillId="0" borderId="2" xfId="20476" applyFont="1" applyFill="1" applyBorder="1" applyAlignment="1" applyProtection="1">
      <alignment horizontal="left" vertical="center"/>
      <protection locked="0"/>
    </xf>
    <xf numFmtId="0" fontId="83" fillId="0" borderId="142" xfId="20476" applyFont="1" applyFill="1" applyBorder="1" applyAlignment="1" applyProtection="1">
      <alignment horizontal="left" vertical="center"/>
      <protection locked="0"/>
    </xf>
    <xf numFmtId="0" fontId="83" fillId="0" borderId="4" xfId="20476" applyFont="1" applyFill="1" applyBorder="1" applyAlignment="1" applyProtection="1">
      <alignment horizontal="left" vertical="center"/>
      <protection locked="0"/>
    </xf>
    <xf numFmtId="0" fontId="30" fillId="0" borderId="0" xfId="20476" applyFont="1" applyFill="1" applyBorder="1" applyAlignment="1" applyProtection="1">
      <alignment horizontal="left" vertical="center"/>
      <protection locked="0"/>
    </xf>
    <xf numFmtId="0" fontId="30" fillId="2" borderId="41" xfId="20476" applyFont="1" applyFill="1" applyBorder="1" applyAlignment="1">
      <alignment horizontal="left" vertical="center"/>
    </xf>
    <xf numFmtId="0" fontId="30" fillId="2" borderId="1" xfId="20476" applyFont="1" applyFill="1" applyBorder="1" applyAlignment="1">
      <alignment horizontal="left" vertical="center"/>
    </xf>
    <xf numFmtId="187" fontId="30" fillId="2" borderId="2" xfId="20476" applyNumberFormat="1" applyFont="1" applyFill="1" applyBorder="1" applyAlignment="1">
      <alignment horizontal="left" vertical="center"/>
    </xf>
    <xf numFmtId="187" fontId="30" fillId="2" borderId="142" xfId="20476" applyNumberFormat="1" applyFont="1" applyFill="1" applyBorder="1" applyAlignment="1">
      <alignment horizontal="left" vertical="center"/>
    </xf>
    <xf numFmtId="187" fontId="30" fillId="2" borderId="4" xfId="20476" applyNumberFormat="1" applyFont="1" applyFill="1" applyBorder="1" applyAlignment="1">
      <alignment horizontal="left" vertical="center"/>
    </xf>
    <xf numFmtId="0" fontId="30" fillId="2" borderId="11" xfId="20476" applyFont="1" applyFill="1" applyBorder="1" applyAlignment="1">
      <alignment horizontal="left" vertical="center"/>
    </xf>
    <xf numFmtId="0" fontId="30" fillId="0" borderId="0" xfId="20476" applyFont="1" applyFill="1" applyBorder="1" applyAlignment="1" applyProtection="1">
      <alignment horizontal="right" vertical="center"/>
      <protection locked="0"/>
    </xf>
    <xf numFmtId="0" fontId="30" fillId="2" borderId="41" xfId="20476" applyFont="1" applyFill="1" applyBorder="1" applyAlignment="1">
      <alignment horizontal="right" vertical="center"/>
    </xf>
    <xf numFmtId="0" fontId="30" fillId="2" borderId="1" xfId="20476" applyFont="1" applyFill="1" applyBorder="1" applyAlignment="1">
      <alignment horizontal="right" vertical="center"/>
    </xf>
    <xf numFmtId="187" fontId="30" fillId="2" borderId="2" xfId="20476" applyNumberFormat="1" applyFont="1" applyFill="1" applyBorder="1" applyAlignment="1">
      <alignment horizontal="right" vertical="center"/>
    </xf>
    <xf numFmtId="184" fontId="30" fillId="0" borderId="142" xfId="20476" applyNumberFormat="1" applyFont="1" applyFill="1" applyBorder="1" applyAlignment="1" applyProtection="1">
      <alignment horizontal="right" vertical="center"/>
      <protection locked="0"/>
    </xf>
    <xf numFmtId="184" fontId="30" fillId="0" borderId="4" xfId="20476" applyNumberFormat="1" applyFont="1" applyFill="1" applyBorder="1" applyAlignment="1" applyProtection="1">
      <alignment horizontal="right" vertical="center"/>
      <protection locked="0"/>
    </xf>
    <xf numFmtId="0" fontId="30" fillId="2" borderId="11" xfId="20476" applyFont="1" applyFill="1" applyBorder="1" applyAlignment="1">
      <alignment horizontal="right" vertical="center"/>
    </xf>
    <xf numFmtId="184" fontId="30" fillId="2" borderId="2" xfId="20476" applyNumberFormat="1" applyFont="1" applyFill="1" applyBorder="1" applyAlignment="1">
      <alignment horizontal="right" vertical="center"/>
    </xf>
    <xf numFmtId="0" fontId="8" fillId="0" borderId="0" xfId="20476" applyFont="1" applyAlignment="1" applyProtection="1">
      <alignment horizontal="right"/>
      <protection locked="0"/>
    </xf>
    <xf numFmtId="184" fontId="30" fillId="2" borderId="142" xfId="20476" applyNumberFormat="1" applyFont="1" applyFill="1" applyBorder="1" applyAlignment="1">
      <alignment horizontal="right" vertical="center"/>
    </xf>
    <xf numFmtId="184" fontId="30" fillId="0" borderId="2" xfId="20476" applyNumberFormat="1" applyFont="1" applyFill="1" applyBorder="1" applyAlignment="1" applyProtection="1">
      <alignment horizontal="right" vertical="center"/>
      <protection locked="0"/>
    </xf>
    <xf numFmtId="0" fontId="30" fillId="2" borderId="142" xfId="20476" applyFont="1" applyFill="1" applyBorder="1" applyAlignment="1">
      <alignment horizontal="left" vertical="center"/>
    </xf>
    <xf numFmtId="10" fontId="30" fillId="0" borderId="2" xfId="20476" applyNumberFormat="1" applyFont="1" applyFill="1" applyBorder="1" applyAlignment="1" applyProtection="1">
      <alignment horizontal="left" vertical="center"/>
      <protection locked="0"/>
    </xf>
    <xf numFmtId="10" fontId="30" fillId="0" borderId="142" xfId="20476" applyNumberFormat="1" applyFont="1" applyFill="1" applyBorder="1" applyAlignment="1" applyProtection="1">
      <alignment horizontal="left" vertical="center"/>
      <protection locked="0"/>
    </xf>
    <xf numFmtId="10" fontId="30" fillId="0" borderId="4" xfId="20476" applyNumberFormat="1" applyFont="1" applyFill="1" applyBorder="1" applyAlignment="1" applyProtection="1">
      <alignment horizontal="left" vertical="center"/>
      <protection locked="0"/>
    </xf>
    <xf numFmtId="184" fontId="30" fillId="0" borderId="2" xfId="20476" applyNumberFormat="1" applyFont="1" applyFill="1" applyBorder="1" applyAlignment="1" applyProtection="1">
      <alignment horizontal="left" vertical="center"/>
      <protection locked="0"/>
    </xf>
    <xf numFmtId="184" fontId="30" fillId="0" borderId="142" xfId="20476" applyNumberFormat="1" applyFont="1" applyFill="1" applyBorder="1" applyAlignment="1" applyProtection="1">
      <alignment horizontal="left" vertical="center"/>
      <protection locked="0"/>
    </xf>
    <xf numFmtId="184" fontId="30" fillId="0" borderId="4" xfId="20476" applyNumberFormat="1" applyFont="1" applyFill="1" applyBorder="1" applyAlignment="1" applyProtection="1">
      <alignment horizontal="left" vertical="center"/>
      <protection locked="0"/>
    </xf>
    <xf numFmtId="194" fontId="30" fillId="0" borderId="0" xfId="20476" applyNumberFormat="1" applyFont="1" applyFill="1" applyBorder="1" applyAlignment="1" applyProtection="1">
      <alignment horizontal="left" vertical="center"/>
      <protection locked="0"/>
    </xf>
    <xf numFmtId="0" fontId="30" fillId="2" borderId="13" xfId="20476" applyFont="1" applyFill="1" applyBorder="1" applyAlignment="1">
      <alignment horizontal="left" vertical="center"/>
    </xf>
    <xf numFmtId="194" fontId="30" fillId="0" borderId="33" xfId="20476" applyNumberFormat="1" applyFont="1" applyFill="1" applyBorder="1" applyAlignment="1" applyProtection="1">
      <alignment horizontal="left" vertical="center"/>
      <protection locked="0"/>
    </xf>
    <xf numFmtId="194" fontId="30" fillId="0" borderId="143" xfId="20476" applyNumberFormat="1" applyFont="1" applyFill="1" applyBorder="1" applyAlignment="1" applyProtection="1">
      <alignment horizontal="left" vertical="center"/>
      <protection locked="0"/>
    </xf>
    <xf numFmtId="194" fontId="30" fillId="0" borderId="62" xfId="20476" applyNumberFormat="1" applyFont="1" applyFill="1" applyBorder="1" applyAlignment="1" applyProtection="1">
      <alignment horizontal="left" vertical="center"/>
      <protection locked="0"/>
    </xf>
    <xf numFmtId="194" fontId="30" fillId="2" borderId="11" xfId="20476" applyNumberFormat="1" applyFont="1" applyFill="1" applyBorder="1" applyAlignment="1">
      <alignment horizontal="left" vertical="center"/>
    </xf>
    <xf numFmtId="0" fontId="30" fillId="0" borderId="0" xfId="20476" applyFont="1" applyFill="1" applyBorder="1" applyAlignment="1" applyProtection="1">
      <alignment horizontal="left"/>
      <protection locked="0"/>
    </xf>
    <xf numFmtId="0" fontId="30" fillId="2" borderId="10" xfId="20476" applyFont="1" applyFill="1" applyBorder="1" applyAlignment="1">
      <alignment horizontal="left" vertical="center"/>
    </xf>
    <xf numFmtId="187" fontId="30" fillId="2" borderId="1" xfId="20476" applyNumberFormat="1" applyFont="1" applyFill="1" applyBorder="1" applyAlignment="1">
      <alignment horizontal="left"/>
    </xf>
    <xf numFmtId="0" fontId="30" fillId="2" borderId="1" xfId="20476" applyFont="1" applyFill="1" applyBorder="1" applyAlignment="1">
      <alignment horizontal="left"/>
    </xf>
    <xf numFmtId="0" fontId="30" fillId="2" borderId="11" xfId="20476" applyFont="1" applyFill="1" applyBorder="1" applyAlignment="1">
      <alignment horizontal="left"/>
    </xf>
    <xf numFmtId="0" fontId="30" fillId="2" borderId="12" xfId="20476" applyFont="1" applyFill="1" applyBorder="1" applyAlignment="1">
      <alignment horizontal="left" vertical="center"/>
    </xf>
    <xf numFmtId="187" fontId="30" fillId="2" borderId="13" xfId="20476" applyNumberFormat="1" applyFont="1" applyFill="1" applyBorder="1" applyAlignment="1">
      <alignment horizontal="left" vertical="center"/>
    </xf>
    <xf numFmtId="0" fontId="30" fillId="2" borderId="13" xfId="20476" applyFont="1" applyFill="1" applyBorder="1" applyAlignment="1">
      <alignment horizontal="left"/>
    </xf>
    <xf numFmtId="0" fontId="30" fillId="2" borderId="14" xfId="20476" applyFont="1" applyFill="1" applyBorder="1" applyAlignment="1">
      <alignment horizontal="left" vertical="center"/>
    </xf>
    <xf numFmtId="0" fontId="8" fillId="0" borderId="0" xfId="20476" applyFont="1" applyFill="1" applyAlignment="1" applyProtection="1">
      <alignment horizontal="left"/>
      <protection locked="0"/>
    </xf>
    <xf numFmtId="0" fontId="29" fillId="3" borderId="49" xfId="20476" applyFont="1" applyFill="1" applyBorder="1" applyAlignment="1" applyProtection="1">
      <alignment vertical="center"/>
      <protection locked="0"/>
    </xf>
    <xf numFmtId="0" fontId="29" fillId="3" borderId="31" xfId="20476" applyFont="1" applyFill="1" applyBorder="1" applyAlignment="1" applyProtection="1">
      <alignment vertical="center"/>
      <protection locked="0"/>
    </xf>
    <xf numFmtId="0" fontId="30" fillId="0" borderId="0" xfId="20476" applyFont="1" applyAlignment="1" applyProtection="1">
      <alignment horizontal="left"/>
      <protection locked="0"/>
    </xf>
    <xf numFmtId="0" fontId="29" fillId="0" borderId="1" xfId="20476" applyFont="1" applyFill="1" applyBorder="1" applyAlignment="1" applyProtection="1">
      <alignment horizontal="left" vertical="center"/>
      <protection locked="0"/>
    </xf>
    <xf numFmtId="180" fontId="6" fillId="0" borderId="1" xfId="24254" applyNumberFormat="1" applyFont="1" applyBorder="1" applyAlignment="1" applyProtection="1">
      <alignment horizontal="left" vertical="center"/>
      <protection locked="0" hidden="1"/>
    </xf>
    <xf numFmtId="0" fontId="30" fillId="0" borderId="15" xfId="20476" applyFont="1" applyFill="1" applyBorder="1" applyAlignment="1" applyProtection="1">
      <alignment horizontal="left" vertical="center"/>
      <protection locked="0"/>
    </xf>
    <xf numFmtId="0" fontId="41" fillId="2" borderId="41" xfId="20476" applyFont="1" applyFill="1" applyBorder="1" applyAlignment="1" applyProtection="1">
      <alignment vertical="center"/>
      <protection locked="0"/>
    </xf>
    <xf numFmtId="0" fontId="41" fillId="2" borderId="3" xfId="20476" applyFont="1" applyFill="1" applyBorder="1" applyAlignment="1" applyProtection="1">
      <alignment vertical="center"/>
      <protection locked="0"/>
    </xf>
    <xf numFmtId="0" fontId="29" fillId="2" borderId="3" xfId="20476" applyFont="1" applyFill="1" applyBorder="1" applyAlignment="1" applyProtection="1">
      <alignment vertical="center"/>
      <protection locked="0"/>
    </xf>
    <xf numFmtId="0" fontId="29" fillId="2" borderId="10" xfId="20476" applyFont="1" applyFill="1" applyBorder="1" applyAlignment="1" applyProtection="1">
      <alignment horizontal="left" vertical="center" wrapText="1"/>
      <protection locked="0"/>
    </xf>
    <xf numFmtId="0" fontId="30" fillId="2" borderId="2" xfId="20476" applyFont="1" applyFill="1" applyBorder="1" applyAlignment="1" applyProtection="1">
      <alignment vertical="center"/>
      <protection locked="0"/>
    </xf>
    <xf numFmtId="0" fontId="30" fillId="2" borderId="1" xfId="20476" applyFont="1" applyFill="1" applyBorder="1" applyAlignment="1" applyProtection="1">
      <alignment horizontal="left" vertical="center"/>
      <protection locked="0"/>
    </xf>
    <xf numFmtId="0" fontId="30" fillId="0" borderId="2" xfId="20476" applyFont="1" applyFill="1" applyBorder="1" applyAlignment="1" applyProtection="1">
      <alignment vertical="center"/>
      <protection locked="0"/>
    </xf>
    <xf numFmtId="0" fontId="6" fillId="0" borderId="1" xfId="20476" applyFont="1" applyFill="1" applyBorder="1" applyAlignment="1" applyProtection="1">
      <alignment horizontal="left" vertical="center"/>
      <protection locked="0"/>
    </xf>
    <xf numFmtId="9" fontId="30" fillId="0" borderId="1" xfId="20476" applyNumberFormat="1" applyFont="1" applyFill="1" applyBorder="1" applyAlignment="1" applyProtection="1">
      <alignment horizontal="left" vertical="center"/>
      <protection locked="0"/>
    </xf>
    <xf numFmtId="0" fontId="29" fillId="2" borderId="2" xfId="20476" applyFont="1" applyFill="1" applyBorder="1" applyAlignment="1" applyProtection="1">
      <alignment vertical="center"/>
      <protection locked="0"/>
    </xf>
    <xf numFmtId="0" fontId="41" fillId="2" borderId="1" xfId="20476" applyFont="1" applyFill="1" applyBorder="1" applyAlignment="1" applyProtection="1">
      <alignment horizontal="left" vertical="center"/>
      <protection locked="0"/>
    </xf>
    <xf numFmtId="9" fontId="29" fillId="2" borderId="1" xfId="20476" applyNumberFormat="1" applyFont="1" applyFill="1" applyBorder="1" applyAlignment="1" applyProtection="1">
      <alignment horizontal="left" vertical="center"/>
      <protection locked="0"/>
    </xf>
    <xf numFmtId="180" fontId="30" fillId="3" borderId="1" xfId="20476" applyNumberFormat="1" applyFont="1" applyFill="1" applyBorder="1" applyAlignment="1" applyProtection="1">
      <alignment horizontal="left" vertical="center"/>
      <protection locked="0"/>
    </xf>
    <xf numFmtId="0" fontId="6" fillId="0" borderId="1" xfId="20476" applyFont="1" applyFill="1" applyBorder="1" applyAlignment="1" applyProtection="1">
      <alignment horizontal="left" vertical="center" wrapText="1"/>
      <protection locked="0"/>
    </xf>
    <xf numFmtId="0" fontId="29" fillId="2" borderId="2" xfId="20476" applyFont="1" applyFill="1" applyBorder="1" applyAlignment="1" applyProtection="1">
      <alignment vertical="center" wrapText="1"/>
      <protection locked="0"/>
    </xf>
    <xf numFmtId="0" fontId="29" fillId="2" borderId="3" xfId="20476" applyFont="1" applyFill="1" applyBorder="1" applyAlignment="1" applyProtection="1">
      <alignment vertical="center" wrapText="1"/>
      <protection locked="0"/>
    </xf>
    <xf numFmtId="0" fontId="29" fillId="2" borderId="4" xfId="20476" applyFont="1" applyFill="1" applyBorder="1" applyAlignment="1" applyProtection="1">
      <alignment vertical="center" wrapText="1"/>
      <protection locked="0"/>
    </xf>
    <xf numFmtId="0" fontId="41" fillId="2" borderId="48" xfId="20476" applyFont="1" applyFill="1" applyBorder="1" applyAlignment="1" applyProtection="1">
      <alignment vertical="center"/>
      <protection locked="0"/>
    </xf>
    <xf numFmtId="0" fontId="41" fillId="2" borderId="95" xfId="20476" applyFont="1" applyFill="1" applyBorder="1" applyAlignment="1" applyProtection="1">
      <alignment vertical="center"/>
      <protection locked="0"/>
    </xf>
    <xf numFmtId="0" fontId="41" fillId="2" borderId="114" xfId="20476" applyFont="1" applyFill="1" applyBorder="1" applyAlignment="1" applyProtection="1">
      <alignment vertical="center"/>
      <protection locked="0"/>
    </xf>
    <xf numFmtId="0" fontId="6" fillId="2" borderId="1" xfId="20476" applyFont="1" applyFill="1" applyBorder="1" applyAlignment="1" applyProtection="1">
      <alignment horizontal="left" vertical="center"/>
      <protection locked="0"/>
    </xf>
    <xf numFmtId="9" fontId="6" fillId="2" borderId="1" xfId="20476" applyNumberFormat="1" applyFont="1" applyFill="1" applyBorder="1" applyAlignment="1" applyProtection="1">
      <alignment horizontal="left" vertical="center"/>
      <protection locked="0"/>
    </xf>
    <xf numFmtId="0" fontId="30" fillId="0" borderId="0" xfId="20476" applyFont="1" applyAlignment="1" applyProtection="1">
      <alignment horizontal="right"/>
      <protection locked="0"/>
    </xf>
    <xf numFmtId="0" fontId="41" fillId="2" borderId="34" xfId="20476" applyFont="1" applyFill="1" applyBorder="1" applyAlignment="1" applyProtection="1">
      <alignment vertical="center"/>
      <protection locked="0"/>
    </xf>
    <xf numFmtId="0" fontId="41" fillId="2" borderId="96" xfId="20476" applyFont="1" applyFill="1" applyBorder="1" applyAlignment="1" applyProtection="1">
      <alignment vertical="center"/>
      <protection locked="0"/>
    </xf>
    <xf numFmtId="0" fontId="41" fillId="2" borderId="112" xfId="20476" applyFont="1" applyFill="1" applyBorder="1" applyAlignment="1" applyProtection="1">
      <alignment vertical="center"/>
      <protection locked="0"/>
    </xf>
    <xf numFmtId="0" fontId="41" fillId="0" borderId="1" xfId="20476" applyFont="1" applyFill="1" applyBorder="1" applyAlignment="1" applyProtection="1">
      <alignment horizontal="left" vertical="center"/>
      <protection locked="0"/>
    </xf>
    <xf numFmtId="0" fontId="12" fillId="2" borderId="111" xfId="20476" applyFont="1" applyFill="1" applyBorder="1" applyAlignment="1" applyProtection="1">
      <alignment horizontal="left" vertical="center" wrapText="1"/>
      <protection locked="0"/>
    </xf>
    <xf numFmtId="0" fontId="10" fillId="2" borderId="20" xfId="20476" applyFont="1" applyFill="1" applyBorder="1" applyAlignment="1" applyProtection="1">
      <alignment vertical="center"/>
      <protection locked="0"/>
    </xf>
    <xf numFmtId="0" fontId="8" fillId="2" borderId="20" xfId="20476" applyFont="1" applyFill="1" applyBorder="1" applyAlignment="1" applyProtection="1">
      <alignment vertical="center"/>
      <protection locked="0"/>
    </xf>
    <xf numFmtId="0" fontId="84" fillId="0" borderId="20" xfId="20476" applyFill="1" applyBorder="1" applyAlignment="1" applyProtection="1">
      <alignment horizontal="left" vertical="center"/>
      <protection locked="0"/>
    </xf>
    <xf numFmtId="9" fontId="30" fillId="0" borderId="13" xfId="20476" applyNumberFormat="1" applyFont="1" applyFill="1" applyBorder="1" applyAlignment="1" applyProtection="1">
      <alignment horizontal="left" vertical="center"/>
      <protection locked="0"/>
    </xf>
    <xf numFmtId="0" fontId="30" fillId="0" borderId="0" xfId="20476" applyFont="1" applyFill="1" applyAlignment="1" applyProtection="1">
      <alignment horizontal="left" vertical="center"/>
      <protection locked="0"/>
    </xf>
    <xf numFmtId="0" fontId="12" fillId="2" borderId="20" xfId="20476" applyFont="1" applyFill="1" applyBorder="1" applyAlignment="1" applyProtection="1">
      <alignment vertical="center"/>
      <protection locked="0"/>
    </xf>
    <xf numFmtId="0" fontId="29" fillId="3" borderId="29" xfId="20476" applyFont="1" applyFill="1" applyBorder="1" applyAlignment="1" applyProtection="1">
      <alignment vertical="center"/>
      <protection locked="0"/>
    </xf>
    <xf numFmtId="0" fontId="30" fillId="0" borderId="0" xfId="20476" applyFont="1" applyAlignment="1" applyProtection="1">
      <alignment horizontal="left" vertical="center"/>
      <protection locked="0"/>
    </xf>
    <xf numFmtId="0" fontId="29" fillId="0" borderId="11" xfId="20476" applyFont="1" applyFill="1" applyBorder="1" applyAlignment="1" applyProtection="1">
      <alignment horizontal="left" vertical="center"/>
      <protection locked="0"/>
    </xf>
    <xf numFmtId="0" fontId="29" fillId="2" borderId="11" xfId="20476" applyFont="1" applyFill="1" applyBorder="1" applyAlignment="1" applyProtection="1">
      <alignment horizontal="left" vertical="center"/>
      <protection locked="0"/>
    </xf>
    <xf numFmtId="180" fontId="6" fillId="0" borderId="11" xfId="24254" applyNumberFormat="1" applyFont="1" applyBorder="1" applyAlignment="1" applyProtection="1">
      <alignment horizontal="left" vertical="center"/>
      <protection locked="0" hidden="1"/>
    </xf>
    <xf numFmtId="180" fontId="30" fillId="2" borderId="11" xfId="20476" applyNumberFormat="1" applyFont="1" applyFill="1" applyBorder="1" applyAlignment="1" applyProtection="1">
      <alignment horizontal="left" vertical="center"/>
      <protection locked="0"/>
    </xf>
    <xf numFmtId="0" fontId="30" fillId="0" borderId="40" xfId="20476" applyFont="1" applyFill="1" applyBorder="1" applyAlignment="1" applyProtection="1">
      <alignment horizontal="left" vertical="center"/>
      <protection locked="0"/>
    </xf>
    <xf numFmtId="0" fontId="30" fillId="2" borderId="40" xfId="20476" applyFont="1" applyFill="1" applyBorder="1" applyAlignment="1" applyProtection="1">
      <alignment horizontal="left" vertical="center"/>
      <protection locked="0"/>
    </xf>
    <xf numFmtId="0" fontId="30" fillId="0" borderId="11" xfId="20476" applyFont="1" applyFill="1" applyBorder="1" applyAlignment="1" applyProtection="1">
      <alignment horizontal="left" vertical="center"/>
      <protection locked="0"/>
    </xf>
    <xf numFmtId="180" fontId="29" fillId="2" borderId="1" xfId="20476" applyNumberFormat="1" applyFont="1" applyFill="1" applyBorder="1" applyAlignment="1" applyProtection="1">
      <alignment horizontal="left" vertical="center"/>
      <protection locked="0"/>
    </xf>
    <xf numFmtId="180" fontId="30" fillId="0" borderId="11" xfId="20476" applyNumberFormat="1" applyFont="1" applyFill="1" applyBorder="1" applyAlignment="1" applyProtection="1">
      <alignment horizontal="left" vertical="center"/>
      <protection locked="0"/>
    </xf>
    <xf numFmtId="0" fontId="41" fillId="2" borderId="11" xfId="20476" applyFont="1" applyFill="1" applyBorder="1" applyAlignment="1" applyProtection="1">
      <alignment horizontal="left" vertical="center"/>
      <protection locked="0"/>
    </xf>
    <xf numFmtId="0" fontId="6" fillId="0" borderId="11" xfId="20476" applyFont="1" applyFill="1" applyBorder="1" applyAlignment="1" applyProtection="1">
      <alignment horizontal="left" vertical="center"/>
      <protection locked="0"/>
    </xf>
    <xf numFmtId="9" fontId="6" fillId="0" borderId="1" xfId="20476" applyNumberFormat="1" applyFont="1" applyFill="1" applyBorder="1" applyAlignment="1" applyProtection="1">
      <alignment horizontal="left" vertical="center"/>
      <protection locked="0"/>
    </xf>
    <xf numFmtId="0" fontId="29" fillId="0" borderId="0" xfId="20476" applyFont="1" applyFill="1" applyAlignment="1" applyProtection="1">
      <alignment horizontal="left" vertical="center"/>
      <protection locked="0"/>
    </xf>
    <xf numFmtId="9" fontId="41" fillId="0" borderId="1" xfId="20476" applyNumberFormat="1" applyFont="1" applyFill="1" applyBorder="1" applyAlignment="1" applyProtection="1">
      <alignment horizontal="left" vertical="center"/>
      <protection locked="0"/>
    </xf>
    <xf numFmtId="184" fontId="6" fillId="0" borderId="13" xfId="20476" applyNumberFormat="1" applyFont="1" applyFill="1" applyBorder="1" applyAlignment="1" applyProtection="1">
      <alignment horizontal="left" vertical="center"/>
      <protection locked="0"/>
    </xf>
    <xf numFmtId="0" fontId="85" fillId="0" borderId="115" xfId="20476" applyFont="1" applyFill="1" applyBorder="1" applyAlignment="1" applyProtection="1">
      <alignment horizontal="left" vertical="center"/>
      <protection locked="0"/>
    </xf>
    <xf numFmtId="0" fontId="29" fillId="2" borderId="1" xfId="20476" applyFont="1" applyFill="1" applyBorder="1" applyAlignment="1" applyProtection="1">
      <alignment horizontal="left" vertical="center"/>
      <protection locked="0"/>
    </xf>
    <xf numFmtId="180" fontId="30" fillId="2" borderId="1" xfId="20476" applyNumberFormat="1" applyFont="1" applyFill="1" applyBorder="1" applyAlignment="1" applyProtection="1">
      <alignment horizontal="left" vertical="center"/>
      <protection locked="0"/>
    </xf>
    <xf numFmtId="0" fontId="30" fillId="2" borderId="15" xfId="20476" applyFont="1" applyFill="1" applyBorder="1" applyAlignment="1" applyProtection="1">
      <alignment horizontal="left" vertical="center"/>
      <protection locked="0"/>
    </xf>
    <xf numFmtId="0" fontId="29" fillId="2" borderId="2" xfId="20476" applyFont="1" applyFill="1" applyBorder="1" applyAlignment="1" applyProtection="1">
      <alignment horizontal="left" vertical="center"/>
      <protection locked="0"/>
    </xf>
    <xf numFmtId="0" fontId="81" fillId="0" borderId="0" xfId="20476"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24254"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24254" applyFont="1" applyFill="1" applyBorder="1" applyAlignment="1" applyProtection="1">
      <alignment horizontal="left" vertical="center"/>
      <protection locked="0"/>
    </xf>
    <xf numFmtId="0" fontId="40" fillId="3" borderId="4" xfId="24254" applyFont="1" applyFill="1" applyBorder="1" applyAlignment="1" applyProtection="1">
      <alignment vertical="center"/>
    </xf>
    <xf numFmtId="0" fontId="40" fillId="11" borderId="0" xfId="24254"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24254"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24254" applyFont="1" applyFill="1" applyBorder="1" applyAlignment="1" applyProtection="1">
      <alignment horizontal="right" vertical="center"/>
    </xf>
    <xf numFmtId="0" fontId="36" fillId="2" borderId="2" xfId="24254"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24254" applyNumberFormat="1" applyFont="1" applyFill="1" applyBorder="1" applyAlignment="1" applyProtection="1">
      <alignment horizontal="center" vertical="center"/>
    </xf>
    <xf numFmtId="184" fontId="36" fillId="2" borderId="1" xfId="24254" applyNumberFormat="1" applyFont="1" applyFill="1" applyBorder="1" applyAlignment="1" applyProtection="1">
      <alignment horizontal="center" vertical="center"/>
    </xf>
    <xf numFmtId="9" fontId="36" fillId="2" borderId="1" xfId="24254" applyNumberFormat="1" applyFont="1" applyFill="1" applyBorder="1" applyAlignment="1" applyProtection="1">
      <alignment horizontal="center" vertical="center"/>
    </xf>
    <xf numFmtId="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vertical="center"/>
    </xf>
    <xf numFmtId="10" fontId="36" fillId="2" borderId="1" xfId="24254"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24254"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24254" applyFont="1" applyFill="1" applyBorder="1" applyAlignment="1" applyProtection="1">
      <alignment vertical="center"/>
    </xf>
    <xf numFmtId="180" fontId="71" fillId="2" borderId="1" xfId="24254" applyNumberFormat="1" applyFont="1" applyFill="1" applyBorder="1" applyAlignment="1" applyProtection="1">
      <alignment horizontal="center" vertical="center"/>
    </xf>
    <xf numFmtId="0" fontId="71" fillId="2" borderId="1" xfId="24254" applyFont="1" applyFill="1" applyBorder="1" applyAlignment="1" applyProtection="1">
      <alignment vertical="center"/>
    </xf>
    <xf numFmtId="180" fontId="71" fillId="2" borderId="1" xfId="24254" applyNumberFormat="1" applyFont="1" applyFill="1" applyBorder="1" applyAlignment="1" applyProtection="1">
      <alignment vertical="center"/>
    </xf>
    <xf numFmtId="10" fontId="71" fillId="2" borderId="1" xfId="24254"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24254"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24254"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0" fontId="36" fillId="2" borderId="3" xfId="24254"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24254"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24254"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24254"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24254"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24254" applyFont="1" applyFill="1" applyBorder="1" applyAlignment="1" applyProtection="1">
      <alignment vertical="center"/>
    </xf>
    <xf numFmtId="49" fontId="28" fillId="2" borderId="0" xfId="24254" applyNumberFormat="1" applyFont="1" applyFill="1" applyBorder="1" applyAlignment="1" applyProtection="1">
      <alignment horizontal="right" vertical="center"/>
    </xf>
    <xf numFmtId="0" fontId="29" fillId="3" borderId="2" xfId="24254" applyFont="1" applyFill="1" applyBorder="1" applyAlignment="1" applyProtection="1">
      <alignment vertical="center"/>
      <protection locked="0"/>
    </xf>
    <xf numFmtId="0" fontId="28" fillId="2" borderId="2" xfId="24254" applyFont="1" applyFill="1" applyBorder="1" applyAlignment="1" applyProtection="1">
      <alignment horizontal="right" vertical="center"/>
    </xf>
    <xf numFmtId="0" fontId="28" fillId="2" borderId="4" xfId="24254" applyFont="1" applyFill="1" applyBorder="1" applyAlignment="1" applyProtection="1">
      <alignment vertical="center"/>
    </xf>
    <xf numFmtId="0" fontId="28" fillId="3" borderId="1" xfId="24254" applyFont="1" applyFill="1" applyBorder="1" applyAlignment="1" applyProtection="1">
      <alignment vertical="center"/>
      <protection locked="0"/>
    </xf>
    <xf numFmtId="0" fontId="29" fillId="3" borderId="11" xfId="24254"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24254"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24254" applyNumberFormat="1" applyFont="1" applyFill="1" applyBorder="1" applyAlignment="1" applyProtection="1">
      <alignment horizontal="center" vertical="center"/>
    </xf>
    <xf numFmtId="9" fontId="29" fillId="13" borderId="2" xfId="24254" applyNumberFormat="1" applyFont="1" applyFill="1" applyBorder="1" applyAlignment="1" applyProtection="1">
      <alignment horizontal="center" vertical="center"/>
    </xf>
    <xf numFmtId="0" fontId="58" fillId="3" borderId="11" xfId="24254"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8209" applyFont="1" applyBorder="1">
      <alignment vertical="center"/>
    </xf>
    <xf numFmtId="0" fontId="0" fillId="5" borderId="0" xfId="8209" applyFont="1" applyFill="1" applyBorder="1">
      <alignment vertical="center"/>
    </xf>
    <xf numFmtId="0" fontId="11" fillId="0" borderId="0" xfId="8209" applyFont="1" applyBorder="1" applyAlignment="1">
      <alignment horizontal="center" vertical="center"/>
    </xf>
    <xf numFmtId="0" fontId="226" fillId="0" borderId="0" xfId="8209" applyBorder="1">
      <alignment vertical="center"/>
    </xf>
    <xf numFmtId="49" fontId="226" fillId="0" borderId="0" xfId="8209" applyNumberFormat="1" applyBorder="1">
      <alignment vertical="center"/>
    </xf>
    <xf numFmtId="0" fontId="226" fillId="5" borderId="0" xfId="8209" applyFill="1" applyBorder="1">
      <alignment vertical="center"/>
    </xf>
    <xf numFmtId="0" fontId="89" fillId="0" borderId="1" xfId="8209" applyFont="1" applyFill="1" applyBorder="1" applyAlignment="1">
      <alignment horizontal="center"/>
    </xf>
    <xf numFmtId="49" fontId="89" fillId="0" borderId="1" xfId="8209" applyNumberFormat="1" applyFont="1" applyFill="1" applyBorder="1" applyAlignment="1">
      <alignment horizontal="center" wrapText="1"/>
    </xf>
    <xf numFmtId="0" fontId="89" fillId="5" borderId="1" xfId="8209" applyFont="1" applyFill="1" applyBorder="1" applyAlignment="1">
      <alignment horizontal="center"/>
    </xf>
    <xf numFmtId="0" fontId="87" fillId="0" borderId="1" xfId="8209" applyFont="1" applyFill="1" applyBorder="1" applyAlignment="1">
      <alignment horizontal="center"/>
    </xf>
    <xf numFmtId="0" fontId="87" fillId="5" borderId="1" xfId="8209" applyFont="1" applyFill="1" applyBorder="1" applyAlignment="1">
      <alignment horizontal="center"/>
    </xf>
    <xf numFmtId="49" fontId="87" fillId="0" borderId="1" xfId="8209" applyNumberFormat="1" applyFont="1" applyFill="1" applyBorder="1" applyAlignment="1">
      <alignment horizontal="center"/>
    </xf>
    <xf numFmtId="0" fontId="87" fillId="5" borderId="1" xfId="8209" applyFont="1" applyFill="1" applyBorder="1" applyAlignment="1">
      <alignment horizontal="left" vertical="center" wrapText="1"/>
    </xf>
    <xf numFmtId="0" fontId="0" fillId="0" borderId="1" xfId="8209" applyFont="1" applyFill="1" applyBorder="1" applyAlignment="1">
      <alignment horizontal="center"/>
    </xf>
    <xf numFmtId="194" fontId="0" fillId="5" borderId="1" xfId="8209" applyNumberFormat="1" applyFont="1" applyFill="1" applyBorder="1" applyAlignment="1">
      <alignment horizontal="center"/>
    </xf>
    <xf numFmtId="192" fontId="0" fillId="0" borderId="1" xfId="8209" applyNumberFormat="1" applyFont="1" applyFill="1" applyBorder="1" applyAlignment="1">
      <alignment horizontal="right"/>
    </xf>
    <xf numFmtId="49" fontId="87" fillId="5" borderId="1" xfId="8209" applyNumberFormat="1" applyFont="1" applyFill="1" applyBorder="1" applyAlignment="1">
      <alignment horizontal="center"/>
    </xf>
    <xf numFmtId="0" fontId="226" fillId="5" borderId="1" xfId="8209" applyFill="1" applyBorder="1" applyAlignment="1">
      <alignment horizontal="center"/>
    </xf>
    <xf numFmtId="192" fontId="0" fillId="5" borderId="1" xfId="8209" applyNumberFormat="1" applyFont="1" applyFill="1" applyBorder="1" applyAlignment="1">
      <alignment horizontal="right"/>
    </xf>
    <xf numFmtId="0" fontId="8" fillId="5" borderId="1" xfId="8209" applyFont="1" applyFill="1" applyBorder="1" applyAlignment="1">
      <alignment horizontal="center"/>
    </xf>
    <xf numFmtId="0" fontId="0" fillId="5" borderId="1" xfId="8209" applyFont="1" applyFill="1" applyBorder="1" applyAlignment="1">
      <alignment horizontal="center"/>
    </xf>
    <xf numFmtId="0" fontId="226" fillId="0" borderId="1" xfId="8209" applyFill="1" applyBorder="1" applyAlignment="1">
      <alignment horizontal="center"/>
    </xf>
    <xf numFmtId="187" fontId="85" fillId="0" borderId="1" xfId="8209" applyNumberFormat="1" applyFont="1" applyFill="1" applyBorder="1" applyAlignment="1">
      <alignment horizontal="center"/>
    </xf>
    <xf numFmtId="49" fontId="85" fillId="0" borderId="1" xfId="8209" applyNumberFormat="1" applyFont="1" applyFill="1" applyBorder="1" applyAlignment="1">
      <alignment horizontal="center"/>
    </xf>
    <xf numFmtId="197" fontId="85" fillId="5" borderId="1" xfId="8209" applyNumberFormat="1" applyFont="1" applyFill="1" applyBorder="1" applyAlignment="1">
      <alignment horizontal="center"/>
    </xf>
    <xf numFmtId="192" fontId="85" fillId="0" borderId="1" xfId="8209" applyNumberFormat="1" applyFont="1" applyFill="1" applyBorder="1" applyAlignment="1">
      <alignment horizontal="center"/>
    </xf>
    <xf numFmtId="0" fontId="226" fillId="0" borderId="1" xfId="8209" applyBorder="1">
      <alignment vertical="center"/>
    </xf>
    <xf numFmtId="49" fontId="226" fillId="0" borderId="1" xfId="8209" applyNumberFormat="1" applyBorder="1">
      <alignment vertical="center"/>
    </xf>
    <xf numFmtId="0" fontId="0" fillId="0" borderId="1" xfId="8209" applyFont="1" applyBorder="1">
      <alignment vertical="center"/>
    </xf>
    <xf numFmtId="49" fontId="0" fillId="0" borderId="1" xfId="8209" applyNumberFormat="1" applyFont="1" applyBorder="1">
      <alignment vertical="center"/>
    </xf>
    <xf numFmtId="0" fontId="226" fillId="5" borderId="1" xfId="8209" applyFill="1" applyBorder="1">
      <alignment vertical="center"/>
    </xf>
    <xf numFmtId="0" fontId="0" fillId="5" borderId="1" xfId="8209" applyFont="1" applyFill="1" applyBorder="1">
      <alignment vertical="center"/>
    </xf>
    <xf numFmtId="49" fontId="226" fillId="5" borderId="1" xfId="8209" applyNumberFormat="1" applyFill="1" applyBorder="1">
      <alignment vertical="center"/>
    </xf>
    <xf numFmtId="49" fontId="0" fillId="5" borderId="1" xfId="8209" applyNumberFormat="1" applyFont="1" applyFill="1" applyBorder="1">
      <alignment vertical="center"/>
    </xf>
    <xf numFmtId="0" fontId="0" fillId="5" borderId="15" xfId="8209" applyFont="1" applyFill="1" applyBorder="1">
      <alignment vertical="center"/>
    </xf>
    <xf numFmtId="0" fontId="0" fillId="5" borderId="15" xfId="8209" applyFont="1" applyFill="1" applyBorder="1" applyAlignment="1">
      <alignment vertical="center"/>
    </xf>
    <xf numFmtId="0" fontId="11" fillId="0" borderId="1" xfId="8209" applyFont="1" applyBorder="1" applyAlignment="1">
      <alignment horizontal="center" vertical="center"/>
    </xf>
    <xf numFmtId="49" fontId="11" fillId="0" borderId="1" xfId="8209" applyNumberFormat="1" applyFont="1" applyBorder="1" applyAlignment="1">
      <alignment horizontal="center"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90" fillId="0" borderId="0" xfId="0" applyFont="1" applyAlignment="1">
      <alignment horizontal="left" vertical="center"/>
    </xf>
    <xf numFmtId="58" fontId="90" fillId="0" borderId="0" xfId="0" applyNumberFormat="1" applyFont="1" applyAlignment="1">
      <alignment horizontal="left" vertical="center"/>
    </xf>
    <xf numFmtId="0" fontId="92"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25023" applyFont="1" applyFill="1" applyBorder="1" applyAlignment="1" applyProtection="1">
      <alignment horizontal="left" vertical="center" wrapText="1"/>
    </xf>
    <xf numFmtId="0" fontId="61" fillId="2" borderId="42" xfId="2502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25023" applyFont="1" applyFill="1" applyBorder="1" applyAlignment="1" applyProtection="1">
      <alignment horizontal="left" vertical="center" wrapText="1"/>
    </xf>
    <xf numFmtId="0" fontId="61" fillId="7" borderId="1" xfId="2502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2502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25023" applyFont="1" applyFill="1" applyAlignment="1" applyProtection="1">
      <alignment horizontal="left"/>
    </xf>
    <xf numFmtId="0" fontId="36" fillId="2" borderId="39" xfId="25023" applyFont="1" applyFill="1" applyBorder="1" applyAlignment="1" applyProtection="1">
      <alignment horizontal="left" vertical="center" wrapText="1"/>
    </xf>
    <xf numFmtId="0" fontId="36" fillId="2" borderId="42" xfId="2502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2502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2502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25023" applyFont="1" applyFill="1" applyAlignment="1" applyProtection="1">
      <alignment vertical="center" wrapText="1"/>
      <protection locked="0"/>
    </xf>
    <xf numFmtId="0" fontId="47" fillId="2" borderId="0" xfId="2502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26" fillId="0" borderId="0" xfId="20487" applyAlignment="1" applyProtection="1">
      <alignment horizontal="left"/>
      <protection locked="0"/>
    </xf>
    <xf numFmtId="0" fontId="105" fillId="2" borderId="1" xfId="20487" applyFont="1" applyFill="1" applyBorder="1" applyAlignment="1" applyProtection="1">
      <alignment horizontal="left" vertical="center" wrapText="1"/>
    </xf>
    <xf numFmtId="0" fontId="105" fillId="11" borderId="0" xfId="20487" applyFont="1" applyFill="1" applyBorder="1" applyAlignment="1" applyProtection="1">
      <alignment horizontal="left" vertical="center" wrapText="1"/>
      <protection locked="0"/>
    </xf>
    <xf numFmtId="0" fontId="226" fillId="11" borderId="0" xfId="20487" applyFill="1" applyBorder="1" applyAlignment="1" applyProtection="1">
      <alignment horizontal="left"/>
      <protection locked="0"/>
    </xf>
    <xf numFmtId="0" fontId="226" fillId="11" borderId="0" xfId="20487" applyFill="1" applyAlignment="1" applyProtection="1">
      <alignment horizontal="left"/>
      <protection locked="0"/>
    </xf>
    <xf numFmtId="14" fontId="105" fillId="2" borderId="1" xfId="20487" applyNumberFormat="1" applyFont="1" applyFill="1" applyBorder="1" applyAlignment="1" applyProtection="1">
      <alignment horizontal="left" vertical="center" wrapText="1"/>
    </xf>
    <xf numFmtId="0" fontId="105" fillId="0" borderId="1" xfId="20487" applyFont="1" applyFill="1" applyBorder="1" applyAlignment="1" applyProtection="1">
      <alignment horizontal="left" vertical="center" wrapText="1"/>
      <protection locked="0"/>
    </xf>
    <xf numFmtId="0" fontId="226" fillId="2" borderId="1" xfId="20487" applyFill="1" applyBorder="1" applyAlignment="1" applyProtection="1">
      <alignment horizontal="left" vertical="center"/>
    </xf>
    <xf numFmtId="0" fontId="105" fillId="2" borderId="15" xfId="20487" applyFont="1" applyFill="1" applyBorder="1" applyAlignment="1" applyProtection="1">
      <alignment horizontal="left" vertical="center" wrapText="1"/>
    </xf>
    <xf numFmtId="0" fontId="0" fillId="0" borderId="1" xfId="20487" applyFont="1" applyFill="1" applyBorder="1" applyAlignment="1" applyProtection="1">
      <alignment horizontal="left"/>
      <protection locked="0"/>
    </xf>
    <xf numFmtId="0" fontId="105" fillId="0" borderId="15" xfId="20487" applyFont="1" applyFill="1" applyBorder="1" applyAlignment="1" applyProtection="1">
      <alignment horizontal="left" vertical="center" wrapText="1"/>
      <protection locked="0"/>
    </xf>
    <xf numFmtId="0" fontId="226" fillId="0" borderId="1" xfId="20487" applyBorder="1" applyAlignment="1" applyProtection="1">
      <alignment horizontal="left"/>
      <protection locked="0"/>
    </xf>
    <xf numFmtId="0" fontId="105" fillId="0" borderId="1" xfId="2048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24254" applyFont="1" applyFill="1" applyBorder="1" applyAlignment="1" applyProtection="1">
      <alignment vertical="center" wrapText="1"/>
    </xf>
    <xf numFmtId="0" fontId="61" fillId="2" borderId="8" xfId="24254" applyFont="1" applyFill="1" applyBorder="1" applyAlignment="1" applyProtection="1">
      <alignment vertical="center" wrapText="1"/>
    </xf>
    <xf numFmtId="0" fontId="61" fillId="2" borderId="32" xfId="24254" applyFont="1" applyFill="1" applyBorder="1" applyAlignment="1" applyProtection="1">
      <alignment vertical="center" wrapText="1"/>
    </xf>
    <xf numFmtId="189" fontId="55" fillId="2" borderId="7" xfId="24254"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0" fontId="36" fillId="2" borderId="10" xfId="24254" applyNumberFormat="1" applyFont="1" applyFill="1" applyBorder="1" applyAlignment="1" applyProtection="1">
      <alignment horizontal="left" vertical="center"/>
    </xf>
    <xf numFmtId="180" fontId="61" fillId="2" borderId="1" xfId="24254" applyNumberFormat="1" applyFont="1" applyFill="1" applyBorder="1" applyAlignment="1" applyProtection="1">
      <alignment vertical="center"/>
    </xf>
    <xf numFmtId="180" fontId="61" fillId="7" borderId="2" xfId="24254" applyNumberFormat="1" applyFont="1" applyFill="1" applyBorder="1" applyAlignment="1" applyProtection="1">
      <alignment vertical="center"/>
      <protection locked="0"/>
    </xf>
    <xf numFmtId="180" fontId="36" fillId="2" borderId="10" xfId="24254"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2" fontId="55" fillId="2" borderId="1" xfId="24254" applyNumberFormat="1" applyFont="1" applyFill="1" applyBorder="1" applyAlignment="1" applyProtection="1">
      <alignment horizontal="center" vertical="center"/>
    </xf>
    <xf numFmtId="189" fontId="55" fillId="2" borderId="1" xfId="24254"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0" fontId="61" fillId="2" borderId="10" xfId="24254" applyNumberFormat="1" applyFont="1" applyFill="1" applyBorder="1" applyAlignment="1" applyProtection="1">
      <alignment horizontal="left" vertical="center" wrapText="1"/>
      <protection locked="0"/>
    </xf>
    <xf numFmtId="180" fontId="61" fillId="2" borderId="2" xfId="24254"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24254" applyFont="1" applyFill="1" applyBorder="1" applyAlignment="1" applyProtection="1">
      <alignment vertical="center" wrapText="1"/>
    </xf>
    <xf numFmtId="0" fontId="71" fillId="2" borderId="13" xfId="24254" applyFont="1" applyFill="1" applyBorder="1" applyAlignment="1" applyProtection="1">
      <alignment vertical="center"/>
    </xf>
    <xf numFmtId="0" fontId="71" fillId="2" borderId="12" xfId="24254" applyFont="1" applyFill="1" applyBorder="1" applyAlignment="1" applyProtection="1">
      <alignment vertical="center"/>
    </xf>
    <xf numFmtId="0" fontId="71" fillId="2" borderId="13" xfId="24254" applyFont="1" applyFill="1" applyBorder="1" applyAlignment="1" applyProtection="1">
      <alignment horizontal="center" vertical="center"/>
    </xf>
    <xf numFmtId="184" fontId="71" fillId="2" borderId="13" xfId="24254"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4" fontId="55" fillId="2" borderId="7" xfId="24254" applyNumberFormat="1" applyFont="1" applyFill="1" applyBorder="1" applyAlignment="1" applyProtection="1">
      <alignment vertical="center" wrapText="1"/>
    </xf>
    <xf numFmtId="194" fontId="55"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4" fontId="55" fillId="2" borderId="10" xfId="24254" applyNumberFormat="1" applyFont="1" applyFill="1" applyBorder="1" applyAlignment="1" applyProtection="1">
      <alignment vertical="center" wrapText="1"/>
    </xf>
    <xf numFmtId="194" fontId="61"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24254" applyNumberFormat="1" applyFont="1" applyFill="1" applyBorder="1" applyAlignment="1" applyProtection="1">
      <alignment vertical="center" wrapText="1"/>
    </xf>
    <xf numFmtId="194" fontId="55" fillId="2" borderId="11" xfId="24254" applyNumberFormat="1" applyFont="1" applyFill="1" applyBorder="1" applyAlignment="1" applyProtection="1">
      <alignment horizontal="center" vertical="center"/>
    </xf>
    <xf numFmtId="194" fontId="55" fillId="2" borderId="12" xfId="24254" applyNumberFormat="1" applyFont="1" applyFill="1" applyBorder="1" applyAlignment="1" applyProtection="1">
      <alignment vertical="center" wrapText="1"/>
    </xf>
    <xf numFmtId="194" fontId="55" fillId="2" borderId="14" xfId="24254"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24254"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24254" applyNumberFormat="1" applyFont="1" applyFill="1" applyBorder="1" applyAlignment="1" applyProtection="1">
      <alignment horizontal="center" vertical="center"/>
      <protection locked="0"/>
    </xf>
    <xf numFmtId="0" fontId="55" fillId="2" borderId="11" xfId="24254"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24254"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1" xfId="0" applyFont="1" applyFill="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24254" applyNumberFormat="1" applyFont="1" applyFill="1" applyBorder="1" applyAlignment="1" applyProtection="1">
      <alignment horizontal="center" vertical="center" wrapText="1"/>
    </xf>
    <xf numFmtId="0" fontId="61" fillId="2" borderId="8" xfId="24254" applyFont="1" applyFill="1" applyBorder="1" applyAlignment="1" applyProtection="1">
      <alignment horizontal="center" vertical="center" wrapText="1"/>
    </xf>
    <xf numFmtId="182" fontId="61" fillId="2" borderId="8" xfId="24254" applyNumberFormat="1" applyFont="1" applyFill="1" applyBorder="1" applyAlignment="1" applyProtection="1">
      <alignment horizontal="center" vertical="center" wrapText="1"/>
    </xf>
    <xf numFmtId="0" fontId="61" fillId="3" borderId="8" xfId="24254" applyFont="1" applyFill="1" applyBorder="1" applyAlignment="1" applyProtection="1">
      <alignment horizontal="center" vertical="center" wrapText="1"/>
      <protection locked="0"/>
    </xf>
    <xf numFmtId="0" fontId="61" fillId="2" borderId="32" xfId="24254" applyFont="1" applyFill="1" applyBorder="1" applyAlignment="1" applyProtection="1">
      <alignment horizontal="center" vertical="center" wrapText="1"/>
    </xf>
    <xf numFmtId="182" fontId="36" fillId="2" borderId="10" xfId="24254" applyNumberFormat="1" applyFont="1" applyFill="1" applyBorder="1" applyAlignment="1" applyProtection="1">
      <alignment horizontal="center" vertical="center"/>
    </xf>
    <xf numFmtId="180" fontId="36" fillId="0" borderId="1" xfId="24254" applyNumberFormat="1" applyFont="1" applyFill="1" applyBorder="1" applyAlignment="1" applyProtection="1">
      <alignment horizontal="center" vertical="center"/>
      <protection locked="0"/>
    </xf>
    <xf numFmtId="0" fontId="61" fillId="2" borderId="1" xfId="24254" applyNumberFormat="1" applyFont="1" applyFill="1" applyBorder="1" applyAlignment="1" applyProtection="1">
      <alignment horizontal="center" vertical="center"/>
    </xf>
    <xf numFmtId="10" fontId="36" fillId="0" borderId="1" xfId="24254"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24254" applyNumberFormat="1" applyFont="1" applyFill="1" applyBorder="1" applyAlignment="1" applyProtection="1">
      <alignment horizontal="center" vertical="center"/>
      <protection locked="0"/>
    </xf>
    <xf numFmtId="10" fontId="61" fillId="0" borderId="1" xfId="24254" applyNumberFormat="1" applyFont="1" applyFill="1" applyBorder="1" applyAlignment="1" applyProtection="1">
      <alignment horizontal="center" vertical="center"/>
      <protection locked="0"/>
    </xf>
    <xf numFmtId="180" fontId="61" fillId="2" borderId="1" xfId="24254" applyNumberFormat="1" applyFont="1" applyFill="1" applyBorder="1" applyAlignment="1" applyProtection="1">
      <alignment horizontal="center" vertical="center"/>
    </xf>
    <xf numFmtId="10" fontId="61" fillId="2" borderId="1" xfId="24254" applyNumberFormat="1" applyFont="1" applyFill="1" applyBorder="1" applyAlignment="1" applyProtection="1">
      <alignment horizontal="center" vertical="center"/>
    </xf>
    <xf numFmtId="0" fontId="71" fillId="2" borderId="14" xfId="24254"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24254" applyNumberFormat="1" applyFont="1" applyFill="1" applyBorder="1" applyAlignment="1" applyProtection="1">
      <alignment horizontal="center" vertical="center"/>
    </xf>
    <xf numFmtId="10" fontId="61" fillId="2" borderId="13" xfId="24254"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24254" applyFont="1" applyFill="1" applyBorder="1" applyAlignment="1" applyProtection="1">
      <alignment horizontal="center" vertical="center" wrapText="1"/>
    </xf>
    <xf numFmtId="0" fontId="61" fillId="2" borderId="31" xfId="24254" applyFont="1" applyFill="1" applyBorder="1" applyAlignment="1" applyProtection="1">
      <alignment horizontal="center" vertical="center" wrapText="1"/>
    </xf>
    <xf numFmtId="0" fontId="61" fillId="2" borderId="36" xfId="24254"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24254"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24254"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24254" applyNumberFormat="1" applyFont="1" applyFill="1" applyBorder="1" applyAlignment="1" applyProtection="1">
      <alignment horizontal="center" vertical="center"/>
    </xf>
    <xf numFmtId="182" fontId="61" fillId="2" borderId="62" xfId="24254" applyNumberFormat="1" applyFont="1" applyFill="1" applyBorder="1" applyAlignment="1" applyProtection="1">
      <alignment horizontal="center" vertical="center"/>
    </xf>
    <xf numFmtId="0" fontId="61" fillId="2" borderId="46" xfId="24254"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24254"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24254"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4" fontId="56" fillId="2" borderId="9" xfId="24254"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4" fontId="71" fillId="2" borderId="9" xfId="24254"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24254" applyNumberFormat="1" applyFont="1" applyFill="1" applyBorder="1" applyAlignment="1" applyProtection="1">
      <alignment horizontal="center" vertical="center"/>
    </xf>
    <xf numFmtId="194" fontId="56" fillId="2" borderId="38" xfId="24254" applyNumberFormat="1" applyFont="1" applyFill="1" applyBorder="1" applyAlignment="1" applyProtection="1">
      <alignment horizontal="center" vertical="center"/>
    </xf>
    <xf numFmtId="194" fontId="56" fillId="2" borderId="39" xfId="242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24254"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24254"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24254" applyNumberFormat="1" applyFont="1" applyFill="1" applyBorder="1" applyAlignment="1" applyProtection="1">
      <alignment vertical="center"/>
      <protection locked="0" hidden="1"/>
    </xf>
    <xf numFmtId="180" fontId="61" fillId="0" borderId="1" xfId="24254"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24254"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0" fontId="36" fillId="3" borderId="1" xfId="24254"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20478" applyFont="1" applyFill="1" applyAlignment="1">
      <alignment horizontal="left" vertical="center"/>
    </xf>
    <xf numFmtId="0" fontId="113" fillId="0" borderId="0" xfId="20478" applyFont="1" applyAlignment="1">
      <alignment horizontal="left" vertical="center"/>
    </xf>
    <xf numFmtId="0" fontId="112" fillId="0" borderId="0" xfId="20478" applyFont="1" applyAlignment="1">
      <alignment horizontal="left" vertical="center"/>
    </xf>
    <xf numFmtId="0" fontId="114" fillId="0" borderId="0" xfId="20478" applyFont="1" applyAlignment="1">
      <alignment horizontal="left" vertical="center"/>
    </xf>
    <xf numFmtId="0" fontId="115" fillId="0" borderId="0" xfId="20478" applyFont="1" applyAlignment="1">
      <alignment horizontal="left" vertical="center"/>
    </xf>
    <xf numFmtId="14" fontId="115" fillId="0" borderId="0" xfId="20478" applyNumberFormat="1" applyFont="1" applyAlignment="1">
      <alignment horizontal="left" vertical="center"/>
    </xf>
    <xf numFmtId="0" fontId="116" fillId="0" borderId="0" xfId="20478" applyFont="1" applyAlignment="1">
      <alignment horizontal="left" vertical="center"/>
    </xf>
    <xf numFmtId="0" fontId="117" fillId="3" borderId="15" xfId="20478" applyFont="1" applyFill="1" applyBorder="1" applyAlignment="1">
      <alignment horizontal="left" vertical="center"/>
    </xf>
    <xf numFmtId="0" fontId="118" fillId="0" borderId="1" xfId="20478" applyFont="1" applyBorder="1" applyAlignment="1">
      <alignment horizontal="left" vertical="center"/>
    </xf>
    <xf numFmtId="0" fontId="118" fillId="0" borderId="2" xfId="20478" applyFont="1" applyBorder="1" applyAlignment="1">
      <alignment horizontal="left" vertical="center"/>
    </xf>
    <xf numFmtId="0" fontId="117" fillId="3" borderId="157" xfId="20478" applyFont="1" applyFill="1" applyBorder="1" applyAlignment="1">
      <alignment horizontal="left" vertical="center"/>
    </xf>
    <xf numFmtId="0" fontId="118" fillId="0" borderId="1" xfId="20478" applyFont="1" applyFill="1" applyBorder="1" applyAlignment="1">
      <alignment horizontal="left" vertical="center"/>
    </xf>
    <xf numFmtId="198" fontId="118" fillId="0" borderId="1" xfId="20478" applyNumberFormat="1" applyFont="1" applyFill="1" applyBorder="1" applyAlignment="1">
      <alignment horizontal="left" vertical="center"/>
    </xf>
    <xf numFmtId="198" fontId="119" fillId="0" borderId="2" xfId="20478" applyNumberFormat="1" applyFont="1" applyFill="1" applyBorder="1" applyAlignment="1">
      <alignment horizontal="left" vertical="center"/>
    </xf>
    <xf numFmtId="0" fontId="118" fillId="0" borderId="158" xfId="20478" applyFont="1" applyFill="1" applyBorder="1" applyAlignment="1">
      <alignment horizontal="left" vertical="center"/>
    </xf>
    <xf numFmtId="191" fontId="118" fillId="0" borderId="1" xfId="20478" applyNumberFormat="1" applyFont="1" applyFill="1" applyBorder="1" applyAlignment="1">
      <alignment horizontal="left" vertical="center"/>
    </xf>
    <xf numFmtId="0" fontId="119" fillId="0" borderId="1" xfId="20478" applyFont="1" applyFill="1" applyBorder="1" applyAlignment="1">
      <alignment horizontal="left" vertical="center"/>
    </xf>
    <xf numFmtId="198" fontId="118" fillId="0" borderId="2" xfId="20478" applyNumberFormat="1" applyFont="1" applyFill="1" applyBorder="1" applyAlignment="1">
      <alignment horizontal="left" vertical="center"/>
    </xf>
    <xf numFmtId="0" fontId="119" fillId="0" borderId="0" xfId="20478" applyFont="1" applyFill="1" applyAlignment="1">
      <alignment horizontal="left" vertical="center"/>
    </xf>
    <xf numFmtId="0" fontId="117" fillId="0" borderId="1" xfId="20478" applyFont="1" applyFill="1" applyBorder="1" applyAlignment="1">
      <alignment horizontal="left" vertical="center"/>
    </xf>
    <xf numFmtId="0" fontId="115" fillId="0" borderId="1" xfId="20478" applyFont="1" applyBorder="1" applyAlignment="1">
      <alignment horizontal="left" vertical="center"/>
    </xf>
    <xf numFmtId="191" fontId="118" fillId="0" borderId="2" xfId="20478" applyNumberFormat="1" applyFont="1" applyFill="1" applyBorder="1" applyAlignment="1">
      <alignment horizontal="left" vertical="center"/>
    </xf>
    <xf numFmtId="0" fontId="115" fillId="0" borderId="158" xfId="20478" applyFont="1" applyBorder="1" applyAlignment="1">
      <alignment horizontal="left" vertical="center"/>
    </xf>
    <xf numFmtId="0" fontId="120" fillId="0" borderId="1" xfId="20478" applyFont="1" applyBorder="1" applyAlignment="1">
      <alignment horizontal="left" vertical="center"/>
    </xf>
    <xf numFmtId="191" fontId="120" fillId="0" borderId="1" xfId="0" applyNumberFormat="1" applyFont="1" applyFill="1" applyBorder="1" applyAlignment="1">
      <alignment horizontal="left" vertical="center"/>
    </xf>
    <xf numFmtId="14" fontId="115" fillId="0" borderId="1" xfId="20478" applyNumberFormat="1" applyFont="1" applyBorder="1" applyAlignment="1">
      <alignment horizontal="left" vertical="center"/>
    </xf>
    <xf numFmtId="14" fontId="115" fillId="0" borderId="2" xfId="20478" applyNumberFormat="1" applyFont="1" applyBorder="1" applyAlignment="1">
      <alignment horizontal="left" vertical="center"/>
    </xf>
    <xf numFmtId="14" fontId="112" fillId="0" borderId="0" xfId="20478" applyNumberFormat="1" applyFont="1" applyAlignment="1">
      <alignment horizontal="left" vertical="center"/>
    </xf>
    <xf numFmtId="14" fontId="112" fillId="0" borderId="159" xfId="20478" applyNumberFormat="1" applyFont="1" applyBorder="1" applyAlignment="1">
      <alignment horizontal="left" vertical="center"/>
    </xf>
    <xf numFmtId="0" fontId="112" fillId="0" borderId="0" xfId="20478" applyFont="1" applyBorder="1" applyAlignment="1">
      <alignment horizontal="left" vertical="center"/>
    </xf>
    <xf numFmtId="0" fontId="121" fillId="0" borderId="0" xfId="20478"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20483" applyFont="1">
      <alignment vertical="center"/>
    </xf>
    <xf numFmtId="0" fontId="128" fillId="0" borderId="0" xfId="20483" applyFont="1" applyProtection="1">
      <alignment vertical="center"/>
    </xf>
    <xf numFmtId="0" fontId="47" fillId="0" borderId="0" xfId="20483" applyFont="1" applyProtection="1">
      <alignment vertical="center"/>
    </xf>
    <xf numFmtId="0" fontId="128" fillId="0" borderId="0" xfId="20483" applyFont="1" applyAlignment="1" applyProtection="1">
      <alignment horizontal="center" vertical="center"/>
    </xf>
    <xf numFmtId="0" fontId="49" fillId="0" borderId="16" xfId="20483" applyFont="1" applyFill="1" applyBorder="1" applyAlignment="1" applyProtection="1">
      <alignment horizontal="left" vertical="center" wrapText="1"/>
    </xf>
    <xf numFmtId="0" fontId="40" fillId="0" borderId="16" xfId="20483" applyFont="1" applyFill="1" applyBorder="1" applyAlignment="1" applyProtection="1">
      <alignment horizontal="center" vertical="center" wrapText="1"/>
    </xf>
    <xf numFmtId="0" fontId="103" fillId="0" borderId="1" xfId="20483" applyFont="1" applyFill="1" applyBorder="1" applyAlignment="1" applyProtection="1">
      <alignment horizontal="left" vertical="center" wrapText="1"/>
    </xf>
    <xf numFmtId="0" fontId="40" fillId="0" borderId="1" xfId="20483" applyFont="1" applyFill="1" applyBorder="1" applyAlignment="1" applyProtection="1">
      <alignment horizontal="center" vertical="center" wrapText="1"/>
    </xf>
    <xf numFmtId="0" fontId="134" fillId="0" borderId="1" xfId="20483" applyFont="1" applyFill="1" applyBorder="1" applyAlignment="1" applyProtection="1">
      <alignment horizontal="left" vertical="center" wrapText="1"/>
    </xf>
    <xf numFmtId="0" fontId="76" fillId="0" borderId="2" xfId="20483" applyFont="1" applyFill="1" applyBorder="1" applyAlignment="1" applyProtection="1">
      <alignment vertical="center" wrapText="1"/>
    </xf>
    <xf numFmtId="0" fontId="102" fillId="0" borderId="1" xfId="20483" applyFont="1" applyFill="1" applyBorder="1" applyAlignment="1" applyProtection="1">
      <alignment horizontal="left" vertical="center" wrapText="1"/>
    </xf>
    <xf numFmtId="0" fontId="76" fillId="0" borderId="1" xfId="20483" applyFont="1" applyFill="1" applyBorder="1" applyAlignment="1" applyProtection="1">
      <alignment horizontal="center" vertical="center" wrapText="1"/>
    </xf>
    <xf numFmtId="0" fontId="49" fillId="0" borderId="1" xfId="20483" applyFont="1" applyFill="1" applyBorder="1" applyAlignment="1" applyProtection="1">
      <alignment horizontal="left" vertical="center" wrapText="1"/>
    </xf>
    <xf numFmtId="0" fontId="40" fillId="0" borderId="4" xfId="20483" applyFont="1" applyFill="1" applyBorder="1" applyAlignment="1" applyProtection="1">
      <alignment horizontal="center" vertical="center" wrapText="1"/>
    </xf>
    <xf numFmtId="0" fontId="76" fillId="0" borderId="4" xfId="20483" applyFont="1" applyFill="1" applyBorder="1" applyAlignment="1" applyProtection="1">
      <alignment horizontal="center" vertical="center" wrapText="1"/>
    </xf>
    <xf numFmtId="0" fontId="60" fillId="0" borderId="1" xfId="20483" applyFont="1" applyBorder="1" applyAlignment="1">
      <alignment horizontal="center" vertical="center"/>
    </xf>
    <xf numFmtId="0" fontId="103" fillId="0" borderId="6" xfId="20483" applyFont="1" applyFill="1" applyBorder="1" applyAlignment="1" applyProtection="1">
      <alignment horizontal="left" vertical="center" wrapText="1"/>
    </xf>
    <xf numFmtId="0" fontId="76" fillId="0" borderId="6" xfId="20483" applyFont="1" applyFill="1" applyBorder="1" applyAlignment="1" applyProtection="1">
      <alignment horizontal="center" vertical="center" wrapText="1"/>
    </xf>
    <xf numFmtId="0" fontId="6" fillId="0" borderId="0" xfId="20483" applyFont="1" applyProtection="1">
      <alignment vertical="center"/>
    </xf>
    <xf numFmtId="0" fontId="47" fillId="0" borderId="0" xfId="20483" applyFont="1" applyProtection="1">
      <alignment vertical="center"/>
      <protection locked="0"/>
    </xf>
    <xf numFmtId="0" fontId="130" fillId="0" borderId="0" xfId="20483"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8" applyFont="1">
      <alignment vertical="center"/>
    </xf>
    <xf numFmtId="0" fontId="226" fillId="0" borderId="0" xfId="20478">
      <alignment vertical="center"/>
    </xf>
    <xf numFmtId="0" fontId="139" fillId="0" borderId="0" xfId="20478" applyFont="1" applyAlignment="1">
      <alignment vertical="top" wrapText="1"/>
    </xf>
    <xf numFmtId="0" fontId="140" fillId="0" borderId="0" xfId="20478" applyFont="1">
      <alignment vertical="center"/>
    </xf>
    <xf numFmtId="0" fontId="112" fillId="0" borderId="5" xfId="0" applyFont="1" applyBorder="1" applyProtection="1">
      <alignment vertical="center"/>
    </xf>
    <xf numFmtId="0" fontId="112" fillId="0" borderId="136" xfId="0" applyFont="1" applyBorder="1" applyProtection="1">
      <alignment vertical="center"/>
    </xf>
    <xf numFmtId="0" fontId="112" fillId="0" borderId="0" xfId="0" applyFont="1" applyBorder="1" applyProtection="1">
      <alignment vertical="center"/>
    </xf>
    <xf numFmtId="0" fontId="112" fillId="0" borderId="0" xfId="20485"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0485"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0485"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0485"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0485" applyFont="1" applyBorder="1" applyAlignment="1" applyProtection="1">
      <alignment vertical="center" wrapText="1"/>
    </xf>
    <xf numFmtId="0" fontId="112" fillId="0" borderId="6" xfId="0" applyFont="1" applyBorder="1" applyAlignment="1" applyProtection="1">
      <alignment horizontal="left" vertical="center"/>
    </xf>
    <xf numFmtId="186" fontId="112" fillId="0" borderId="6" xfId="0" applyNumberFormat="1" applyFont="1" applyBorder="1" applyAlignment="1" applyProtection="1">
      <alignment horizontal="left" vertical="center"/>
    </xf>
    <xf numFmtId="0" fontId="112" fillId="0" borderId="16" xfId="20485"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70" fillId="5" borderId="0" xfId="0" applyFont="1" applyFill="1" applyProtection="1">
      <alignment vertical="center"/>
      <protection locked="0"/>
    </xf>
    <xf numFmtId="0" fontId="87" fillId="5" borderId="0" xfId="0" applyFont="1" applyFill="1" applyProtection="1">
      <alignment vertical="center"/>
      <protection locked="0"/>
    </xf>
    <xf numFmtId="187" fontId="226" fillId="0" borderId="0" xfId="8209" applyNumberFormat="1" applyBorder="1">
      <alignment vertical="center"/>
    </xf>
    <xf numFmtId="58" fontId="90" fillId="19" borderId="0" xfId="0" applyNumberFormat="1" applyFont="1" applyFill="1" applyAlignment="1">
      <alignment horizontal="left" vertical="center"/>
    </xf>
    <xf numFmtId="0" fontId="90" fillId="19" borderId="0" xfId="0" applyFont="1" applyFill="1" applyAlignment="1">
      <alignment horizontal="left" vertical="center"/>
    </xf>
    <xf numFmtId="0" fontId="140" fillId="0" borderId="0" xfId="20478" applyFont="1" applyAlignment="1" applyProtection="1">
      <alignment horizontal="left" vertical="top" wrapText="1"/>
    </xf>
    <xf numFmtId="0" fontId="40" fillId="0" borderId="15" xfId="20483" applyFont="1" applyFill="1" applyBorder="1" applyAlignment="1" applyProtection="1">
      <alignment horizontal="left" vertical="center" wrapText="1"/>
    </xf>
    <xf numFmtId="0" fontId="40" fillId="0" borderId="64" xfId="20483" applyFont="1" applyFill="1" applyBorder="1" applyAlignment="1" applyProtection="1">
      <alignment horizontal="left" vertical="center" wrapText="1"/>
    </xf>
    <xf numFmtId="0" fontId="40" fillId="0" borderId="16" xfId="20483" applyFont="1" applyFill="1" applyBorder="1" applyAlignment="1" applyProtection="1">
      <alignment horizontal="left" vertical="center" wrapText="1"/>
    </xf>
    <xf numFmtId="0" fontId="40" fillId="0" borderId="15" xfId="20483" applyFont="1" applyFill="1" applyBorder="1" applyAlignment="1" applyProtection="1">
      <alignment vertical="center" wrapText="1"/>
    </xf>
    <xf numFmtId="0" fontId="40" fillId="0" borderId="64" xfId="20483" applyFont="1" applyFill="1" applyBorder="1" applyAlignment="1" applyProtection="1">
      <alignment vertical="center" wrapText="1"/>
    </xf>
    <xf numFmtId="0" fontId="40" fillId="0" borderId="16" xfId="20483" applyFont="1" applyFill="1" applyBorder="1" applyAlignment="1" applyProtection="1">
      <alignment vertical="center" wrapText="1"/>
    </xf>
    <xf numFmtId="0" fontId="40" fillId="0" borderId="121" xfId="20483" applyFont="1" applyFill="1" applyBorder="1" applyAlignment="1" applyProtection="1">
      <alignment horizontal="left" vertical="center" wrapText="1"/>
    </xf>
    <xf numFmtId="0" fontId="130" fillId="0" borderId="0" xfId="20483" applyFont="1" applyAlignment="1" applyProtection="1">
      <alignment horizontal="left" vertical="center" wrapText="1"/>
    </xf>
    <xf numFmtId="0" fontId="128" fillId="0" borderId="0" xfId="20483" applyFont="1" applyAlignment="1" applyProtection="1">
      <alignment horizontal="center" vertical="center"/>
    </xf>
    <xf numFmtId="0" fontId="128" fillId="0" borderId="5" xfId="20483"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6" fontId="133"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20478" applyFont="1" applyFill="1" applyBorder="1" applyAlignment="1">
      <alignment horizontal="left" vertical="center"/>
    </xf>
    <xf numFmtId="0" fontId="118" fillId="0" borderId="1" xfId="20478" applyFont="1" applyBorder="1" applyAlignment="1">
      <alignment horizontal="left" vertical="center"/>
    </xf>
    <xf numFmtId="0" fontId="118" fillId="0" borderId="158" xfId="20478"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8"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26" fillId="0" borderId="96" xfId="8209" applyBorder="1" applyAlignment="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2" borderId="10" xfId="20476" applyFont="1" applyFill="1" applyBorder="1" applyAlignment="1" applyProtection="1">
      <alignment horizontal="left" vertical="center" wrapText="1"/>
      <protection locked="0"/>
    </xf>
    <xf numFmtId="0" fontId="41" fillId="2" borderId="51" xfId="20476" applyFont="1" applyFill="1" applyBorder="1" applyAlignment="1" applyProtection="1">
      <alignment horizontal="left" vertical="center"/>
      <protection locked="0"/>
    </xf>
    <xf numFmtId="0" fontId="41" fillId="2" borderId="58" xfId="20476" applyFont="1" applyFill="1" applyBorder="1" applyAlignment="1" applyProtection="1">
      <alignment horizontal="left" vertical="center"/>
      <protection locked="0"/>
    </xf>
    <xf numFmtId="0" fontId="29" fillId="2" borderId="15" xfId="20476" applyFont="1" applyFill="1" applyBorder="1" applyAlignment="1" applyProtection="1">
      <alignment horizontal="left" vertical="center" wrapText="1"/>
      <protection locked="0"/>
    </xf>
    <xf numFmtId="0" fontId="29" fillId="2" borderId="64" xfId="20476" applyFont="1" applyFill="1" applyBorder="1" applyAlignment="1" applyProtection="1">
      <alignment horizontal="left" vertical="center" wrapText="1"/>
      <protection locked="0"/>
    </xf>
    <xf numFmtId="0" fontId="29" fillId="2" borderId="16" xfId="20476" applyFont="1" applyFill="1" applyBorder="1" applyAlignment="1" applyProtection="1">
      <alignment horizontal="left" vertical="center" wrapText="1"/>
      <protection locked="0"/>
    </xf>
    <xf numFmtId="0" fontId="29" fillId="2" borderId="41" xfId="20476" applyFont="1" applyFill="1" applyBorder="1" applyAlignment="1" applyProtection="1">
      <alignment horizontal="left" vertical="center"/>
      <protection locked="0"/>
    </xf>
    <xf numFmtId="0" fontId="29" fillId="2" borderId="4" xfId="20476" applyFont="1" applyFill="1" applyBorder="1" applyAlignment="1" applyProtection="1">
      <alignment horizontal="left" vertical="center"/>
      <protection locked="0"/>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0" fontId="29" fillId="2" borderId="33" xfId="20476" applyFont="1" applyFill="1" applyBorder="1" applyAlignment="1">
      <alignment horizontal="left" vertical="center"/>
    </xf>
    <xf numFmtId="0" fontId="29" fillId="2" borderId="62" xfId="20476" applyFont="1" applyFill="1" applyBorder="1" applyAlignment="1">
      <alignment horizontal="left" vertical="center"/>
    </xf>
    <xf numFmtId="0" fontId="29" fillId="14" borderId="120" xfId="20476" applyFont="1" applyFill="1" applyBorder="1" applyAlignment="1" applyProtection="1">
      <alignment vertical="center"/>
      <protection locked="0"/>
    </xf>
    <xf numFmtId="0" fontId="29" fillId="14" borderId="112" xfId="20476" applyFont="1" applyFill="1" applyBorder="1" applyAlignment="1" applyProtection="1">
      <alignment vertical="center"/>
      <protection locked="0"/>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0" fontId="41" fillId="2" borderId="118" xfId="20476" applyFont="1" applyFill="1" applyBorder="1" applyAlignment="1">
      <alignment horizontal="left" vertical="center"/>
    </xf>
    <xf numFmtId="0" fontId="41" fillId="2" borderId="25" xfId="20476" applyFont="1" applyFill="1" applyBorder="1" applyAlignment="1">
      <alignment horizontal="left" vertical="center"/>
    </xf>
    <xf numFmtId="0" fontId="41" fillId="2" borderId="110" xfId="20476"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70" fillId="0" borderId="4"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946" applyFont="1" applyFill="1" applyBorder="1" applyAlignment="1" applyProtection="1">
      <alignment horizontal="right" vertical="center" wrapText="1"/>
      <protection locked="0"/>
    </xf>
    <xf numFmtId="0" fontId="30" fillId="2" borderId="4" xfId="10946"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946"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11336" applyFont="1" applyFill="1" applyBorder="1" applyAlignment="1" applyProtection="1">
      <alignment horizontal="left" vertical="center" wrapText="1"/>
    </xf>
    <xf numFmtId="0" fontId="48" fillId="10" borderId="77" xfId="11336" applyFont="1" applyFill="1" applyBorder="1" applyAlignment="1" applyProtection="1">
      <alignment horizontal="left" vertical="center" wrapText="1"/>
    </xf>
    <xf numFmtId="0" fontId="48" fillId="10" borderId="83" xfId="11336" applyFont="1" applyFill="1" applyBorder="1" applyAlignment="1" applyProtection="1">
      <alignment horizontal="left" vertical="center" wrapText="1"/>
    </xf>
    <xf numFmtId="0" fontId="6" fillId="10" borderId="84" xfId="11336" applyFont="1" applyFill="1" applyBorder="1" applyAlignment="1" applyProtection="1">
      <alignment horizontal="left" vertical="center" wrapText="1"/>
    </xf>
    <xf numFmtId="0" fontId="6" fillId="10" borderId="77" xfId="11336" applyFont="1" applyFill="1" applyBorder="1" applyAlignment="1" applyProtection="1">
      <alignment horizontal="left" vertical="center" wrapText="1"/>
    </xf>
    <xf numFmtId="0" fontId="6" fillId="10" borderId="83" xfId="11336" applyFont="1" applyFill="1" applyBorder="1" applyAlignment="1" applyProtection="1">
      <alignment horizontal="left" vertical="center" wrapText="1"/>
    </xf>
    <xf numFmtId="0" fontId="10" fillId="0" borderId="0" xfId="11336" applyFont="1" applyAlignment="1">
      <alignment horizontal="left" vertical="center"/>
    </xf>
    <xf numFmtId="0" fontId="41" fillId="0" borderId="0" xfId="11336" applyFont="1" applyAlignment="1">
      <alignment horizontal="left" vertical="center"/>
    </xf>
    <xf numFmtId="0" fontId="48" fillId="10" borderId="81" xfId="11336" applyFont="1" applyFill="1" applyBorder="1" applyAlignment="1" applyProtection="1">
      <alignment horizontal="left" vertical="center" wrapText="1"/>
    </xf>
    <xf numFmtId="0" fontId="48" fillId="10" borderId="82" xfId="11336" applyFont="1" applyFill="1" applyBorder="1" applyAlignment="1" applyProtection="1">
      <alignment horizontal="left" vertical="center" wrapText="1"/>
    </xf>
    <xf numFmtId="0" fontId="44" fillId="0" borderId="0" xfId="11336"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31076">
    <cellStyle name="20% - 强调文字颜色 1 2" xfId="10"/>
    <cellStyle name="20% - 强调文字颜色 1 2 10" xfId="518"/>
    <cellStyle name="20% - 强调文字颜色 1 2 2" xfId="527"/>
    <cellStyle name="20% - 强调文字颜色 1 2 2 2" xfId="455"/>
    <cellStyle name="20% - 强调文字颜色 1 2 2 2 2" xfId="540"/>
    <cellStyle name="20% - 强调文字颜色 1 2 2 2 2 2" xfId="496"/>
    <cellStyle name="20% - 强调文字颜色 1 2 2 2 2 2 2" xfId="480"/>
    <cellStyle name="20% - 强调文字颜色 1 2 2 2 2 2 2 2" xfId="461"/>
    <cellStyle name="20% - 强调文字颜色 1 2 2 2 2 2 2 3" xfId="553"/>
    <cellStyle name="20% - 强调文字颜色 1 2 2 2 2 2 3" xfId="557"/>
    <cellStyle name="20% - 强调文字颜色 1 2 2 2 2 3" xfId="499"/>
    <cellStyle name="20% - 强调文字颜色 1 2 2 2 2 3 2" xfId="482"/>
    <cellStyle name="20% - 强调文字颜色 1 2 2 2 2 3 3" xfId="572"/>
    <cellStyle name="20% - 强调文字颜色 1 2 2 2 2 4" xfId="86"/>
    <cellStyle name="20% - 强调文字颜色 1 2 2 2 3" xfId="575"/>
    <cellStyle name="20% - 强调文字颜色 1 2 2 2 3 2" xfId="387"/>
    <cellStyle name="20% - 强调文字颜色 1 2 2 2 3 2 2" xfId="578"/>
    <cellStyle name="20% - 强调文字颜色 1 2 2 2 3 2 3" xfId="589"/>
    <cellStyle name="20% - 强调文字颜色 1 2 2 2 3 3" xfId="321"/>
    <cellStyle name="20% - 强调文字颜色 1 2 2 2 4" xfId="345"/>
    <cellStyle name="20% - 强调文字颜色 1 2 2 2 4 2" xfId="595"/>
    <cellStyle name="20% - 强调文字颜色 1 2 2 2 4 3" xfId="602"/>
    <cellStyle name="20% - 强调文字颜色 1 2 2 2 5" xfId="355"/>
    <cellStyle name="20% - 强调文字颜色 1 2 2 3" xfId="609"/>
    <cellStyle name="20% - 强调文字颜色 1 2 2 3 2" xfId="620"/>
    <cellStyle name="20% - 强调文字颜色 1 2 2 3 2 2" xfId="629"/>
    <cellStyle name="20% - 强调文字颜色 1 2 2 3 2 2 2" xfId="643"/>
    <cellStyle name="20% - 强调文字颜色 1 2 2 3 2 2 3" xfId="647"/>
    <cellStyle name="20% - 强调文字颜色 1 2 2 3 2 3" xfId="653"/>
    <cellStyle name="20% - 强调文字颜色 1 2 2 3 3" xfId="658"/>
    <cellStyle name="20% - 强调文字颜色 1 2 2 3 3 2" xfId="666"/>
    <cellStyle name="20% - 强调文字颜色 1 2 2 3 3 3" xfId="680"/>
    <cellStyle name="20% - 强调文字颜色 1 2 2 3 4" xfId="699"/>
    <cellStyle name="20% - 强调文字颜色 1 2 2 4" xfId="710"/>
    <cellStyle name="20% - 强调文字颜色 1 2 2 4 2" xfId="720"/>
    <cellStyle name="20% - 强调文字颜色 1 2 2 4 2 2" xfId="734"/>
    <cellStyle name="20% - 强调文字颜色 1 2 2 4 2 2 2" xfId="743"/>
    <cellStyle name="20% - 强调文字颜色 1 2 2 4 2 2 3" xfId="757"/>
    <cellStyle name="20% - 强调文字颜色 1 2 2 4 2 3" xfId="776"/>
    <cellStyle name="20% - 强调文字颜色 1 2 2 4 3" xfId="798"/>
    <cellStyle name="20% - 强调文字颜色 1 2 2 4 3 2" xfId="811"/>
    <cellStyle name="20% - 强调文字颜色 1 2 2 4 3 3" xfId="831"/>
    <cellStyle name="20% - 强调文字颜色 1 2 2 4 4" xfId="851"/>
    <cellStyle name="20% - 强调文字颜色 1 2 2 5" xfId="857"/>
    <cellStyle name="20% - 强调文字颜色 1 2 2 5 2" xfId="860"/>
    <cellStyle name="20% - 强调文字颜色 1 2 2 5 2 2" xfId="877"/>
    <cellStyle name="20% - 强调文字颜色 1 2 2 5 2 3" xfId="123"/>
    <cellStyle name="20% - 强调文字颜色 1 2 2 5 3" xfId="894"/>
    <cellStyle name="20% - 强调文字颜色 1 2 2 6" xfId="897"/>
    <cellStyle name="20% - 强调文字颜色 1 2 2 6 2" xfId="902"/>
    <cellStyle name="20% - 强调文字颜色 1 2 2 6 3" xfId="906"/>
    <cellStyle name="20% - 强调文字颜色 1 2 2 7" xfId="912"/>
    <cellStyle name="20% - 强调文字颜色 1 2 3" xfId="917"/>
    <cellStyle name="20% - 强调文字颜色 1 2 3 2" xfId="932"/>
    <cellStyle name="20% - 强调文字颜色 1 2 3 2 2" xfId="941"/>
    <cellStyle name="20% - 强调文字颜色 1 2 3 2 2 2" xfId="946"/>
    <cellStyle name="20% - 强调文字颜色 1 2 3 2 2 2 2" xfId="950"/>
    <cellStyle name="20% - 强调文字颜色 1 2 3 2 2 2 2 2" xfId="957"/>
    <cellStyle name="20% - 强调文字颜色 1 2 3 2 2 2 2 3" xfId="984"/>
    <cellStyle name="20% - 强调文字颜色 1 2 3 2 2 2 3" xfId="1004"/>
    <cellStyle name="20% - 强调文字颜色 1 2 3 2 2 3" xfId="1008"/>
    <cellStyle name="20% - 强调文字颜色 1 2 3 2 2 3 2" xfId="1018"/>
    <cellStyle name="20% - 强调文字颜色 1 2 3 2 2 3 3" xfId="229"/>
    <cellStyle name="20% - 强调文字颜色 1 2 3 2 2 4" xfId="491"/>
    <cellStyle name="20% - 强调文字颜色 1 2 3 2 3" xfId="1021"/>
    <cellStyle name="20% - 强调文字颜色 1 2 3 2 3 2" xfId="1032"/>
    <cellStyle name="20% - 强调文字颜色 1 2 3 2 3 2 2" xfId="419"/>
    <cellStyle name="20% - 强调文字颜色 1 2 3 2 3 2 3" xfId="441"/>
    <cellStyle name="20% - 强调文字颜色 1 2 3 2 3 3" xfId="1049"/>
    <cellStyle name="20% - 强调文字颜色 1 2 3 2 4" xfId="1054"/>
    <cellStyle name="20% - 强调文字颜色 1 2 3 2 4 2" xfId="1063"/>
    <cellStyle name="20% - 强调文字颜色 1 2 3 2 4 3" xfId="1076"/>
    <cellStyle name="20% - 强调文字颜色 1 2 3 2 5" xfId="1085"/>
    <cellStyle name="20% - 强调文字颜色 1 2 3 3" xfId="1100"/>
    <cellStyle name="20% - 强调文字颜色 1 2 3 3 2" xfId="1105"/>
    <cellStyle name="20% - 强调文字颜色 1 2 3 3 2 2" xfId="70"/>
    <cellStyle name="20% - 强调文字颜色 1 2 3 3 2 2 2" xfId="359"/>
    <cellStyle name="20% - 强调文字颜色 1 2 3 3 2 2 3" xfId="377"/>
    <cellStyle name="20% - 强调文字颜色 1 2 3 3 2 3" xfId="1116"/>
    <cellStyle name="20% - 强调文字颜色 1 2 3 3 3" xfId="1125"/>
    <cellStyle name="20% - 强调文字颜色 1 2 3 3 3 2" xfId="1132"/>
    <cellStyle name="20% - 强调文字颜色 1 2 3 3 3 3" xfId="1147"/>
    <cellStyle name="20% - 强调文字颜色 1 2 3 3 4" xfId="1158"/>
    <cellStyle name="20% - 强调文字颜色 1 2 3 4" xfId="1168"/>
    <cellStyle name="20% - 强调文字颜色 1 2 3 4 2" xfId="1175"/>
    <cellStyle name="20% - 强调文字颜色 1 2 3 4 2 2" xfId="182"/>
    <cellStyle name="20% - 强调文字颜色 1 2 3 4 2 2 2" xfId="1187"/>
    <cellStyle name="20% - 强调文字颜色 1 2 3 4 2 2 3" xfId="1193"/>
    <cellStyle name="20% - 强调文字颜色 1 2 3 4 2 3" xfId="1211"/>
    <cellStyle name="20% - 强调文字颜色 1 2 3 4 3" xfId="1218"/>
    <cellStyle name="20% - 强调文字颜色 1 2 3 4 3 2" xfId="1221"/>
    <cellStyle name="20% - 强调文字颜色 1 2 3 4 3 3" xfId="1232"/>
    <cellStyle name="20% - 强调文字颜色 1 2 3 4 4" xfId="1250"/>
    <cellStyle name="20% - 强调文字颜色 1 2 3 5" xfId="1252"/>
    <cellStyle name="20% - 强调文字颜色 1 2 3 5 2" xfId="1256"/>
    <cellStyle name="20% - 强调文字颜色 1 2 3 5 2 2" xfId="1258"/>
    <cellStyle name="20% - 强调文字颜色 1 2 3 5 2 3" xfId="1264"/>
    <cellStyle name="20% - 强调文字颜色 1 2 3 5 3" xfId="641"/>
    <cellStyle name="20% - 强调文字颜色 1 2 3 6" xfId="1269"/>
    <cellStyle name="20% - 强调文字颜色 1 2 3 6 2" xfId="1275"/>
    <cellStyle name="20% - 强调文字颜色 1 2 3 6 3" xfId="1282"/>
    <cellStyle name="20% - 强调文字颜色 1 2 3 7" xfId="524"/>
    <cellStyle name="20% - 强调文字颜色 1 2 4" xfId="1291"/>
    <cellStyle name="20% - 强调文字颜色 1 2 4 2" xfId="1304"/>
    <cellStyle name="20% - 强调文字颜色 1 2 4 2 2" xfId="1315"/>
    <cellStyle name="20% - 强调文字颜色 1 2 4 2 2 2" xfId="1316"/>
    <cellStyle name="20% - 强调文字颜色 1 2 4 2 2 2 2" xfId="1322"/>
    <cellStyle name="20% - 强调文字颜色 1 2 4 2 2 2 2 2" xfId="1345"/>
    <cellStyle name="20% - 强调文字颜色 1 2 4 2 2 2 2 3" xfId="198"/>
    <cellStyle name="20% - 强调文字颜色 1 2 4 2 2 2 3" xfId="1347"/>
    <cellStyle name="20% - 强调文字颜色 1 2 4 2 2 3" xfId="1277"/>
    <cellStyle name="20% - 强调文字颜色 1 2 4 2 2 3 2" xfId="1351"/>
    <cellStyle name="20% - 强调文字颜色 1 2 4 2 2 3 3" xfId="1365"/>
    <cellStyle name="20% - 强调文字颜色 1 2 4 2 2 4" xfId="1283"/>
    <cellStyle name="20% - 强调文字颜色 1 2 4 2 3" xfId="1378"/>
    <cellStyle name="20% - 强调文字颜色 1 2 4 2 3 2" xfId="175"/>
    <cellStyle name="20% - 强调文字颜色 1 2 4 2 3 2 2" xfId="1382"/>
    <cellStyle name="20% - 强调文字颜色 1 2 4 2 3 2 3" xfId="1394"/>
    <cellStyle name="20% - 强调文字颜色 1 2 4 2 3 3" xfId="458"/>
    <cellStyle name="20% - 强调文字颜色 1 2 4 2 4" xfId="1396"/>
    <cellStyle name="20% - 强调文字颜色 1 2 4 2 4 2" xfId="1398"/>
    <cellStyle name="20% - 强调文字颜色 1 2 4 2 4 3" xfId="927"/>
    <cellStyle name="20% - 强调文字颜色 1 2 4 2 5" xfId="1399"/>
    <cellStyle name="20% - 强调文字颜色 1 2 4 3" xfId="1408"/>
    <cellStyle name="20% - 强调文字颜色 1 2 4 3 2" xfId="1415"/>
    <cellStyle name="20% - 强调文字颜色 1 2 4 3 2 2" xfId="1421"/>
    <cellStyle name="20% - 强调文字颜色 1 2 4 3 2 2 2" xfId="1431"/>
    <cellStyle name="20% - 强调文字颜色 1 2 4 3 2 2 3" xfId="1432"/>
    <cellStyle name="20% - 强调文字颜色 1 2 4 3 2 3" xfId="1443"/>
    <cellStyle name="20% - 强调文字颜色 1 2 4 3 3" xfId="1448"/>
    <cellStyle name="20% - 强调文字颜色 1 2 4 3 3 2" xfId="1453"/>
    <cellStyle name="20% - 强调文字颜色 1 2 4 3 3 3" xfId="1461"/>
    <cellStyle name="20% - 强调文字颜色 1 2 4 3 4" xfId="150"/>
    <cellStyle name="20% - 强调文字颜色 1 2 4 4" xfId="1474"/>
    <cellStyle name="20% - 强调文字颜色 1 2 4 4 2" xfId="1488"/>
    <cellStyle name="20% - 强调文字颜色 1 2 4 4 2 2" xfId="1495"/>
    <cellStyle name="20% - 强调文字颜色 1 2 4 4 2 2 2" xfId="1507"/>
    <cellStyle name="20% - 强调文字颜色 1 2 4 4 2 2 3" xfId="1523"/>
    <cellStyle name="20% - 强调文字颜色 1 2 4 4 2 3" xfId="1538"/>
    <cellStyle name="20% - 强调文字颜色 1 2 4 4 3" xfId="1544"/>
    <cellStyle name="20% - 强调文字颜色 1 2 4 4 3 2" xfId="1560"/>
    <cellStyle name="20% - 强调文字颜色 1 2 4 4 3 3" xfId="1572"/>
    <cellStyle name="20% - 强调文字颜色 1 2 4 4 4" xfId="1581"/>
    <cellStyle name="20% - 强调文字颜色 1 2 4 5" xfId="1584"/>
    <cellStyle name="20% - 强调文字颜色 1 2 4 5 2" xfId="168"/>
    <cellStyle name="20% - 强调文字颜色 1 2 4 5 2 2" xfId="1602"/>
    <cellStyle name="20% - 强调文字颜色 1 2 4 5 2 3" xfId="157"/>
    <cellStyle name="20% - 强调文字颜色 1 2 4 5 3" xfId="112"/>
    <cellStyle name="20% - 强调文字颜色 1 2 4 6" xfId="1609"/>
    <cellStyle name="20% - 强调文字颜色 1 2 4 6 2" xfId="1445"/>
    <cellStyle name="20% - 强调文字颜色 1 2 4 6 3" xfId="1617"/>
    <cellStyle name="20% - 强调文字颜色 1 2 4 7" xfId="1619"/>
    <cellStyle name="20% - 强调文字颜色 1 2 5" xfId="1624"/>
    <cellStyle name="20% - 强调文字颜色 1 2 5 2" xfId="1641"/>
    <cellStyle name="20% - 强调文字颜色 1 2 5 2 2" xfId="305"/>
    <cellStyle name="20% - 强调文字颜色 1 2 5 2 2 2" xfId="1645"/>
    <cellStyle name="20% - 强调文字颜色 1 2 5 2 2 2 2" xfId="545"/>
    <cellStyle name="20% - 强调文字颜色 1 2 5 2 2 2 3" xfId="1653"/>
    <cellStyle name="20% - 强调文字颜色 1 2 5 2 2 3" xfId="1667"/>
    <cellStyle name="20% - 强调文字颜色 1 2 5 2 3" xfId="1676"/>
    <cellStyle name="20% - 强调文字颜色 1 2 5 2 3 2" xfId="1680"/>
    <cellStyle name="20% - 强调文字颜色 1 2 5 2 3 3" xfId="1702"/>
    <cellStyle name="20% - 强调文字颜色 1 2 5 2 4" xfId="1707"/>
    <cellStyle name="20% - 强调文字颜色 1 2 5 3" xfId="1710"/>
    <cellStyle name="20% - 强调文字颜色 1 2 5 3 2" xfId="1717"/>
    <cellStyle name="20% - 强调文字颜色 1 2 5 3 2 2" xfId="1737"/>
    <cellStyle name="20% - 强调文字颜色 1 2 5 3 2 3" xfId="968"/>
    <cellStyle name="20% - 强调文字颜色 1 2 5 3 3" xfId="1746"/>
    <cellStyle name="20% - 强调文字颜色 1 2 5 4" xfId="1755"/>
    <cellStyle name="20% - 强调文字颜色 1 2 5 4 2" xfId="1769"/>
    <cellStyle name="20% - 强调文字颜色 1 2 5 4 3" xfId="1772"/>
    <cellStyle name="20% - 强调文字颜色 1 2 5 5" xfId="1779"/>
    <cellStyle name="20% - 强调文字颜色 1 2 6" xfId="1788"/>
    <cellStyle name="20% - 强调文字颜色 1 2 6 2" xfId="1793"/>
    <cellStyle name="20% - 强调文字颜色 1 2 6 2 2" xfId="78"/>
    <cellStyle name="20% - 强调文字颜色 1 2 6 2 2 2" xfId="1802"/>
    <cellStyle name="20% - 强调文字颜色 1 2 6 2 2 3" xfId="1810"/>
    <cellStyle name="20% - 强调文字颜色 1 2 6 2 3" xfId="1818"/>
    <cellStyle name="20% - 强调文字颜色 1 2 6 3" xfId="309"/>
    <cellStyle name="20% - 强调文字颜色 1 2 6 3 2" xfId="1648"/>
    <cellStyle name="20% - 强调文字颜色 1 2 6 3 3" xfId="1657"/>
    <cellStyle name="20% - 强调文字颜色 1 2 6 4" xfId="1671"/>
    <cellStyle name="20% - 强调文字颜色 1 2 7" xfId="1840"/>
    <cellStyle name="20% - 强调文字颜色 1 2 7 2" xfId="1844"/>
    <cellStyle name="20% - 强调文字颜色 1 2 7 2 2" xfId="1845"/>
    <cellStyle name="20% - 强调文字颜色 1 2 7 2 2 2" xfId="1868"/>
    <cellStyle name="20% - 强调文字颜色 1 2 7 2 2 3" xfId="1871"/>
    <cellStyle name="20% - 强调文字颜色 1 2 7 2 3" xfId="1874"/>
    <cellStyle name="20% - 强调文字颜色 1 2 7 3" xfId="1714"/>
    <cellStyle name="20% - 强调文字颜色 1 2 7 3 2" xfId="1725"/>
    <cellStyle name="20% - 强调文字颜色 1 2 7 3 3" xfId="954"/>
    <cellStyle name="20% - 强调文字颜色 1 2 7 4" xfId="1743"/>
    <cellStyle name="20% - 强调文字颜色 1 2 8" xfId="1894"/>
    <cellStyle name="20% - 强调文字颜色 1 2 8 2" xfId="1898"/>
    <cellStyle name="20% - 强调文字颜色 1 2 8 2 2" xfId="1906"/>
    <cellStyle name="20% - 强调文字颜色 1 2 8 2 3" xfId="1917"/>
    <cellStyle name="20% - 强调文字颜色 1 2 8 3" xfId="1759"/>
    <cellStyle name="20% - 强调文字颜色 1 2 9" xfId="1930"/>
    <cellStyle name="20% - 强调文字颜色 1 2 9 2" xfId="1936"/>
    <cellStyle name="20% - 强调文字颜色 2 2" xfId="1937"/>
    <cellStyle name="20% - 强调文字颜色 2 2 10" xfId="1955"/>
    <cellStyle name="20% - 强调文字颜色 2 2 2" xfId="1967"/>
    <cellStyle name="20% - 强调文字颜色 2 2 2 2" xfId="1693"/>
    <cellStyle name="20% - 强调文字颜色 2 2 2 2 2" xfId="1979"/>
    <cellStyle name="20% - 强调文字颜色 2 2 2 2 2 2" xfId="1992"/>
    <cellStyle name="20% - 强调文字颜色 2 2 2 2 2 2 2" xfId="404"/>
    <cellStyle name="20% - 强调文字颜色 2 2 2 2 2 2 2 2" xfId="260"/>
    <cellStyle name="20% - 强调文字颜色 2 2 2 2 2 2 2 3" xfId="1998"/>
    <cellStyle name="20% - 强调文字颜色 2 2 2 2 2 2 3" xfId="506"/>
    <cellStyle name="20% - 强调文字颜色 2 2 2 2 2 3" xfId="2001"/>
    <cellStyle name="20% - 强调文字颜色 2 2 2 2 2 3 2" xfId="2009"/>
    <cellStyle name="20% - 强调文字颜色 2 2 2 2 2 3 3" xfId="2015"/>
    <cellStyle name="20% - 强调文字颜色 2 2 2 2 2 4" xfId="803"/>
    <cellStyle name="20% - 强调文字颜色 2 2 2 2 3" xfId="2022"/>
    <cellStyle name="20% - 强调文字颜色 2 2 2 2 3 2" xfId="2038"/>
    <cellStyle name="20% - 强调文字颜色 2 2 2 2 3 2 2" xfId="2046"/>
    <cellStyle name="20% - 强调文字颜色 2 2 2 2 3 2 3" xfId="2053"/>
    <cellStyle name="20% - 强调文字颜色 2 2 2 2 3 3" xfId="2062"/>
    <cellStyle name="20% - 强调文字颜色 2 2 2 2 4" xfId="2074"/>
    <cellStyle name="20% - 强调文字颜色 2 2 2 2 4 2" xfId="2081"/>
    <cellStyle name="20% - 强调文字颜色 2 2 2 2 4 3" xfId="2088"/>
    <cellStyle name="20% - 强调文字颜色 2 2 2 2 5" xfId="1040"/>
    <cellStyle name="20% - 强调文字颜色 2 2 2 3" xfId="2098"/>
    <cellStyle name="20% - 强调文字颜色 2 2 2 3 2" xfId="2121"/>
    <cellStyle name="20% - 强调文字颜色 2 2 2 3 2 2" xfId="2125"/>
    <cellStyle name="20% - 强调文字颜色 2 2 2 3 2 2 2" xfId="1298"/>
    <cellStyle name="20% - 强调文字颜色 2 2 2 3 2 2 3" xfId="1637"/>
    <cellStyle name="20% - 强调文字颜色 2 2 2 3 2 3" xfId="2129"/>
    <cellStyle name="20% - 强调文字颜色 2 2 2 3 3" xfId="2139"/>
    <cellStyle name="20% - 强调文字颜色 2 2 2 3 3 2" xfId="2145"/>
    <cellStyle name="20% - 强调文字颜色 2 2 2 3 3 3" xfId="2156"/>
    <cellStyle name="20% - 强调文字颜色 2 2 2 3 4" xfId="2169"/>
    <cellStyle name="20% - 强调文字颜色 2 2 2 4" xfId="2179"/>
    <cellStyle name="20% - 强调文字颜色 2 2 2 4 2" xfId="2187"/>
    <cellStyle name="20% - 强调文字颜色 2 2 2 4 2 2" xfId="292"/>
    <cellStyle name="20% - 强调文字颜色 2 2 2 4 2 2 2" xfId="2210"/>
    <cellStyle name="20% - 强调文字颜色 2 2 2 4 2 2 3" xfId="2221"/>
    <cellStyle name="20% - 强调文字颜色 2 2 2 4 2 3" xfId="365"/>
    <cellStyle name="20% - 强调文字颜色 2 2 2 4 3" xfId="2224"/>
    <cellStyle name="20% - 强调文字颜色 2 2 2 4 3 2" xfId="2234"/>
    <cellStyle name="20% - 强调文字颜色 2 2 2 4 3 3" xfId="2246"/>
    <cellStyle name="20% - 强调文字颜色 2 2 2 4 4" xfId="872"/>
    <cellStyle name="20% - 强调文字颜色 2 2 2 5" xfId="2116"/>
    <cellStyle name="20% - 强调文字颜色 2 2 2 5 2" xfId="2127"/>
    <cellStyle name="20% - 强调文字颜色 2 2 2 5 2 2" xfId="1285"/>
    <cellStyle name="20% - 强调文字颜色 2 2 2 5 2 3" xfId="1630"/>
    <cellStyle name="20% - 强调文字颜色 2 2 2 5 3" xfId="2133"/>
    <cellStyle name="20% - 强调文字颜色 2 2 2 6" xfId="2141"/>
    <cellStyle name="20% - 强调文字颜色 2 2 2 6 2" xfId="2152"/>
    <cellStyle name="20% - 强调文字颜色 2 2 2 6 3" xfId="2165"/>
    <cellStyle name="20% - 强调文字颜色 2 2 2 7" xfId="2173"/>
    <cellStyle name="20% - 强调文字颜色 2 2 3" xfId="2260"/>
    <cellStyle name="20% - 强调文字颜色 2 2 3 2" xfId="2272"/>
    <cellStyle name="20% - 强调文字颜色 2 2 3 2 2" xfId="2287"/>
    <cellStyle name="20% - 强调文字颜色 2 2 3 2 2 2" xfId="88"/>
    <cellStyle name="20% - 强调文字颜色 2 2 3 2 2 2 2" xfId="2297"/>
    <cellStyle name="20% - 强调文字颜色 2 2 3 2 2 2 2 2" xfId="2303"/>
    <cellStyle name="20% - 强调文字颜色 2 2 3 2 2 2 2 3" xfId="2335"/>
    <cellStyle name="20% - 强调文字颜色 2 2 3 2 2 2 3" xfId="1388"/>
    <cellStyle name="20% - 强调文字颜色 2 2 3 2 2 3" xfId="2342"/>
    <cellStyle name="20% - 强调文字颜色 2 2 3 2 2 3 2" xfId="2364"/>
    <cellStyle name="20% - 强调文字颜色 2 2 3 2 2 3 3" xfId="537"/>
    <cellStyle name="20% - 强调文字颜色 2 2 3 2 2 4" xfId="1231"/>
    <cellStyle name="20% - 强调文字颜色 2 2 3 2 3" xfId="2371"/>
    <cellStyle name="20% - 强调文字颜色 2 2 3 2 3 2" xfId="281"/>
    <cellStyle name="20% - 强调文字颜色 2 2 3 2 3 2 2" xfId="2390"/>
    <cellStyle name="20% - 强调文字颜色 2 2 3 2 3 2 3" xfId="2402"/>
    <cellStyle name="20% - 强调文字颜色 2 2 3 2 3 3" xfId="2413"/>
    <cellStyle name="20% - 强调文字颜色 2 2 3 2 4" xfId="2427"/>
    <cellStyle name="20% - 强调文字颜色 2 2 3 2 4 2" xfId="2432"/>
    <cellStyle name="20% - 强调文字颜色 2 2 3 2 4 3" xfId="2443"/>
    <cellStyle name="20% - 强调文字颜色 2 2 3 2 5" xfId="1137"/>
    <cellStyle name="20% - 强调文字颜色 2 2 3 3" xfId="2454"/>
    <cellStyle name="20% - 强调文字颜色 2 2 3 3 2" xfId="2462"/>
    <cellStyle name="20% - 强调文字颜色 2 2 3 3 2 2" xfId="2470"/>
    <cellStyle name="20% - 强调文字颜色 2 2 3 3 2 2 2" xfId="611"/>
    <cellStyle name="20% - 强调文字颜色 2 2 3 3 2 2 3" xfId="712"/>
    <cellStyle name="20% - 强调文字颜色 2 2 3 3 2 3" xfId="2483"/>
    <cellStyle name="20% - 强调文字颜色 2 2 3 3 3" xfId="2499"/>
    <cellStyle name="20% - 强调文字颜色 2 2 3 3 3 2" xfId="2503"/>
    <cellStyle name="20% - 强调文字颜色 2 2 3 3 3 3" xfId="2522"/>
    <cellStyle name="20% - 强调文字颜色 2 2 3 3 4" xfId="2540"/>
    <cellStyle name="20% - 强调文字颜色 2 2 3 4" xfId="2548"/>
    <cellStyle name="20% - 强调文字颜色 2 2 3 4 2" xfId="2551"/>
    <cellStyle name="20% - 强调文字颜色 2 2 3 4 2 2" xfId="2567"/>
    <cellStyle name="20% - 强调文字颜色 2 2 3 4 2 2 2" xfId="2110"/>
    <cellStyle name="20% - 强调文字颜色 2 2 3 4 2 2 3" xfId="2184"/>
    <cellStyle name="20% - 强调文字颜色 2 2 3 4 2 3" xfId="1184"/>
    <cellStyle name="20% - 强调文字颜色 2 2 3 4 3" xfId="2577"/>
    <cellStyle name="20% - 强调文字颜色 2 2 3 4 3 2" xfId="2592"/>
    <cellStyle name="20% - 强调文字颜色 2 2 3 4 3 3" xfId="2601"/>
    <cellStyle name="20% - 强调文字颜色 2 2 3 4 4" xfId="2613"/>
    <cellStyle name="20% - 强调文字颜色 2 2 3 5" xfId="2189"/>
    <cellStyle name="20% - 强调文字颜色 2 2 3 5 2" xfId="297"/>
    <cellStyle name="20% - 强调文字颜色 2 2 3 5 2 2" xfId="2204"/>
    <cellStyle name="20% - 强调文字颜色 2 2 3 5 2 3" xfId="2214"/>
    <cellStyle name="20% - 强调文字颜色 2 2 3 5 3" xfId="368"/>
    <cellStyle name="20% - 强调文字颜色 2 2 3 6" xfId="2228"/>
    <cellStyle name="20% - 强调文字颜色 2 2 3 6 2" xfId="2244"/>
    <cellStyle name="20% - 强调文字颜色 2 2 3 6 3" xfId="2256"/>
    <cellStyle name="20% - 强调文字颜色 2 2 3 7" xfId="871"/>
    <cellStyle name="20% - 强调文字颜色 2 2 4" xfId="2620"/>
    <cellStyle name="20% - 强调文字颜色 2 2 4 2" xfId="2635"/>
    <cellStyle name="20% - 强调文字颜色 2 2 4 2 2" xfId="504"/>
    <cellStyle name="20% - 强调文字颜色 2 2 4 2 2 2" xfId="493"/>
    <cellStyle name="20% - 强调文字颜色 2 2 4 2 2 2 2" xfId="751"/>
    <cellStyle name="20% - 强调文字颜色 2 2 4 2 2 2 2 2" xfId="517"/>
    <cellStyle name="20% - 强调文字颜色 2 2 4 2 2 2 2 3" xfId="2645"/>
    <cellStyle name="20% - 强调文字颜色 2 2 4 2 2 2 3" xfId="2650"/>
    <cellStyle name="20% - 强调文字颜色 2 2 4 2 2 3" xfId="561"/>
    <cellStyle name="20% - 强调文字颜色 2 2 4 2 2 3 2" xfId="2659"/>
    <cellStyle name="20% - 强调文字颜色 2 2 4 2 2 3 3" xfId="1987"/>
    <cellStyle name="20% - 强调文字颜色 2 2 4 2 2 4" xfId="1551"/>
    <cellStyle name="20% - 强调文字颜色 2 2 4 2 3" xfId="93"/>
    <cellStyle name="20% - 强调文字颜色 2 2 4 2 3 2" xfId="2289"/>
    <cellStyle name="20% - 强调文字颜色 2 2 4 2 3 2 2" xfId="2323"/>
    <cellStyle name="20% - 强调文字颜色 2 2 4 2 3 2 3" xfId="2328"/>
    <cellStyle name="20% - 强调文字颜色 2 2 4 2 3 3" xfId="1385"/>
    <cellStyle name="20% - 强调文字颜色 2 2 4 2 4" xfId="2337"/>
    <cellStyle name="20% - 强调文字颜色 2 2 4 2 4 2" xfId="2347"/>
    <cellStyle name="20% - 强调文字颜色 2 2 4 2 4 3" xfId="532"/>
    <cellStyle name="20% - 强调文字颜色 2 2 4 2 5" xfId="1225"/>
    <cellStyle name="20% - 强调文字颜色 2 2 4 3" xfId="2676"/>
    <cellStyle name="20% - 强调文字颜色 2 2 4 3 2" xfId="324"/>
    <cellStyle name="20% - 强调文字颜色 2 2 4 3 2 2" xfId="2686"/>
    <cellStyle name="20% - 强调文字颜色 2 2 4 3 2 2 2" xfId="2693"/>
    <cellStyle name="20% - 强调文字颜色 2 2 4 3 2 2 3" xfId="2714"/>
    <cellStyle name="20% - 强调文字颜色 2 2 4 3 2 3" xfId="2724"/>
    <cellStyle name="20% - 强调文字颜色 2 2 4 3 3" xfId="282"/>
    <cellStyle name="20% - 强调文字颜色 2 2 4 3 3 2" xfId="2372"/>
    <cellStyle name="20% - 强调文字颜色 2 2 4 3 3 3" xfId="2397"/>
    <cellStyle name="20% - 强调文字颜色 2 2 4 3 4" xfId="2412"/>
    <cellStyle name="20% - 强调文字颜色 2 2 4 4" xfId="2740"/>
    <cellStyle name="20% - 强调文字颜色 2 2 4 4 2" xfId="599"/>
    <cellStyle name="20% - 强调文字颜色 2 2 4 4 2 2" xfId="2743"/>
    <cellStyle name="20% - 强调文字颜色 2 2 4 4 2 2 2" xfId="2754"/>
    <cellStyle name="20% - 强调文字颜色 2 2 4 4 2 2 3" xfId="27"/>
    <cellStyle name="20% - 强调文字颜色 2 2 4 4 2 3" xfId="2757"/>
    <cellStyle name="20% - 强调文字颜色 2 2 4 4 3" xfId="2428"/>
    <cellStyle name="20% - 强调文字颜色 2 2 4 4 3 2" xfId="2762"/>
    <cellStyle name="20% - 强调文字颜色 2 2 4 4 3 3" xfId="2780"/>
    <cellStyle name="20% - 强调文字颜色 2 2 4 4 4" xfId="2437"/>
    <cellStyle name="20% - 强调文字颜色 2 2 4 5" xfId="2123"/>
    <cellStyle name="20% - 强调文字颜色 2 2 4 5 2" xfId="1295"/>
    <cellStyle name="20% - 强调文字颜色 2 2 4 5 2 2" xfId="1307"/>
    <cellStyle name="20% - 强调文字颜色 2 2 4 5 2 3" xfId="1404"/>
    <cellStyle name="20% - 强调文字颜色 2 2 4 5 3" xfId="1633"/>
    <cellStyle name="20% - 强调文字颜色 2 2 4 6" xfId="2128"/>
    <cellStyle name="20% - 强调文字颜色 2 2 4 6 2" xfId="2788"/>
    <cellStyle name="20% - 强调文字颜色 2 2 4 6 3" xfId="2806"/>
    <cellStyle name="20% - 强调文字颜色 2 2 4 7" xfId="2810"/>
    <cellStyle name="20% - 强调文字颜色 2 2 5" xfId="2815"/>
    <cellStyle name="20% - 强调文字颜色 2 2 5 2" xfId="2818"/>
    <cellStyle name="20% - 强调文字颜色 2 2 5 2 2" xfId="652"/>
    <cellStyle name="20% - 强调文字颜色 2 2 5 2 2 2" xfId="1284"/>
    <cellStyle name="20% - 强调文字颜色 2 2 5 2 2 2 2" xfId="1197"/>
    <cellStyle name="20% - 强调文字颜色 2 2 5 2 2 2 3" xfId="2829"/>
    <cellStyle name="20% - 强调文字颜色 2 2 5 2 2 3" xfId="2830"/>
    <cellStyle name="20% - 强调文字颜色 2 2 5 2 3" xfId="2463"/>
    <cellStyle name="20% - 强调文字颜色 2 2 5 2 3 2" xfId="606"/>
    <cellStyle name="20% - 强调文字颜色 2 2 5 2 3 3" xfId="702"/>
    <cellStyle name="20% - 强调文字颜色 2 2 5 2 4" xfId="2477"/>
    <cellStyle name="20% - 强调文字颜色 2 2 5 3" xfId="2842"/>
    <cellStyle name="20% - 强调文字颜色 2 2 5 3 2" xfId="679"/>
    <cellStyle name="20% - 强调文字颜色 2 2 5 3 2 2" xfId="1615"/>
    <cellStyle name="20% - 强调文字颜色 2 2 5 3 2 3" xfId="1330"/>
    <cellStyle name="20% - 强调文字颜色 2 2 5 3 3" xfId="2502"/>
    <cellStyle name="20% - 强调文字颜色 2 2 5 4" xfId="1940"/>
    <cellStyle name="20% - 强调文字颜色 2 2 5 4 2" xfId="2848"/>
    <cellStyle name="20% - 强调文字颜色 2 2 5 4 3" xfId="2851"/>
    <cellStyle name="20% - 强调文字颜色 2 2 5 5" xfId="2143"/>
    <cellStyle name="20% - 强调文字颜色 2 2 6" xfId="2854"/>
    <cellStyle name="20% - 强调文字颜色 2 2 6 2" xfId="2859"/>
    <cellStyle name="20% - 强调文字颜色 2 2 6 2 2" xfId="768"/>
    <cellStyle name="20% - 强调文字颜色 2 2 6 2 2 2" xfId="2863"/>
    <cellStyle name="20% - 强调文字颜色 2 2 6 2 2 3" xfId="2651"/>
    <cellStyle name="20% - 强调文字颜色 2 2 6 2 3" xfId="2564"/>
    <cellStyle name="20% - 强调文字颜色 2 2 6 3" xfId="2864"/>
    <cellStyle name="20% - 强调文字颜色 2 2 6 3 2" xfId="826"/>
    <cellStyle name="20% - 强调文字颜色 2 2 6 3 3" xfId="2582"/>
    <cellStyle name="20% - 强调文字颜色 2 2 6 4" xfId="2868"/>
    <cellStyle name="20% - 强调文字颜色 2 2 7" xfId="2869"/>
    <cellStyle name="20% - 强调文字颜色 2 2 7 2" xfId="1087"/>
    <cellStyle name="20% - 强调文字颜色 2 2 7 2 2" xfId="137"/>
    <cellStyle name="20% - 强调文字颜色 2 2 7 2 2 2" xfId="2873"/>
    <cellStyle name="20% - 强调文字颜色 2 2 7 2 2 3" xfId="2876"/>
    <cellStyle name="20% - 强调文字颜色 2 2 7 2 3" xfId="2196"/>
    <cellStyle name="20% - 强调文字颜色 2 2 7 3" xfId="2877"/>
    <cellStyle name="20% - 强调文字颜色 2 2 7 3 2" xfId="2885"/>
    <cellStyle name="20% - 强调文字颜色 2 2 7 3 3" xfId="2892"/>
    <cellStyle name="20% - 强调文字颜色 2 2 7 4" xfId="2041"/>
    <cellStyle name="20% - 强调文字颜色 2 2 8" xfId="2903"/>
    <cellStyle name="20% - 强调文字颜色 2 2 8 2" xfId="2912"/>
    <cellStyle name="20% - 强调文字颜色 2 2 8 2 2" xfId="2917"/>
    <cellStyle name="20% - 强调文字颜色 2 2 8 2 3" xfId="2925"/>
    <cellStyle name="20% - 强调文字颜色 2 2 8 3" xfId="2933"/>
    <cellStyle name="20% - 强调文字颜色 2 2 9" xfId="1902"/>
    <cellStyle name="20% - 强调文字颜色 2 2 9 2" xfId="1910"/>
    <cellStyle name="20% - 强调文字颜色 3 2" xfId="2946"/>
    <cellStyle name="20% - 强调文字颜色 3 2 10" xfId="2955"/>
    <cellStyle name="20% - 强调文字颜色 3 2 2" xfId="2093"/>
    <cellStyle name="20% - 强调文字颜色 3 2 2 2" xfId="2958"/>
    <cellStyle name="20% - 强调文字颜色 3 2 2 2 2" xfId="2972"/>
    <cellStyle name="20% - 强调文字颜色 3 2 2 2 2 2" xfId="2974"/>
    <cellStyle name="20% - 强调文字颜色 3 2 2 2 2 2 2" xfId="1151"/>
    <cellStyle name="20% - 强调文字颜色 3 2 2 2 2 2 2 2" xfId="2792"/>
    <cellStyle name="20% - 强调文字颜色 3 2 2 2 2 2 2 3" xfId="2981"/>
    <cellStyle name="20% - 强调文字颜色 3 2 2 2 2 2 3" xfId="2381"/>
    <cellStyle name="20% - 强调文字颜色 3 2 2 2 2 3" xfId="2994"/>
    <cellStyle name="20% - 强调文字颜色 3 2 2 2 2 3 2" xfId="3010"/>
    <cellStyle name="20% - 强调文字颜色 3 2 2 2 2 3 3" xfId="3014"/>
    <cellStyle name="20% - 强调文字颜色 3 2 2 2 2 4" xfId="2231"/>
    <cellStyle name="20% - 强调文字颜色 3 2 2 2 3" xfId="3019"/>
    <cellStyle name="20% - 强调文字颜色 3 2 2 2 3 2" xfId="3026"/>
    <cellStyle name="20% - 强调文字颜色 3 2 2 2 3 2 2" xfId="1238"/>
    <cellStyle name="20% - 强调文字颜色 3 2 2 2 3 2 3" xfId="2777"/>
    <cellStyle name="20% - 强调文字颜色 3 2 2 2 3 3" xfId="3035"/>
    <cellStyle name="20% - 强调文字颜色 3 2 2 2 4" xfId="84"/>
    <cellStyle name="20% - 强调文字颜色 3 2 2 2 4 2" xfId="1799"/>
    <cellStyle name="20% - 强调文字颜色 3 2 2 2 4 3" xfId="1807"/>
    <cellStyle name="20% - 强调文字颜色 3 2 2 2 5" xfId="1814"/>
    <cellStyle name="20% - 强调文字颜色 3 2 2 3" xfId="3041"/>
    <cellStyle name="20% - 强调文字颜色 3 2 2 3 2" xfId="3051"/>
    <cellStyle name="20% - 强调文字颜色 3 2 2 3 2 2" xfId="1623"/>
    <cellStyle name="20% - 强调文字颜色 3 2 2 3 2 2 2" xfId="1464"/>
    <cellStyle name="20% - 强调文字颜色 3 2 2 3 2 2 3" xfId="3058"/>
    <cellStyle name="20% - 强调文字颜色 3 2 2 3 2 3" xfId="3064"/>
    <cellStyle name="20% - 强调文字颜色 3 2 2 3 3" xfId="3068"/>
    <cellStyle name="20% - 强调文字颜色 3 2 2 3 3 2" xfId="3072"/>
    <cellStyle name="20% - 强调文字颜色 3 2 2 3 3 3" xfId="271"/>
    <cellStyle name="20% - 强调文字颜色 3 2 2 3 4" xfId="1647"/>
    <cellStyle name="20% - 强调文字颜色 3 2 2 4" xfId="3081"/>
    <cellStyle name="20% - 强调文字颜色 3 2 2 4 2" xfId="3095"/>
    <cellStyle name="20% - 强调文字颜色 3 2 2 4 2 2" xfId="1000"/>
    <cellStyle name="20% - 强调文字颜色 3 2 2 4 2 2 2" xfId="3100"/>
    <cellStyle name="20% - 强调文字颜色 3 2 2 4 2 2 3" xfId="3116"/>
    <cellStyle name="20% - 强调文字颜色 3 2 2 4 2 3" xfId="3125"/>
    <cellStyle name="20% - 强调文字颜色 3 2 2 4 3" xfId="3142"/>
    <cellStyle name="20% - 强调文字颜色 3 2 2 4 3 2" xfId="241"/>
    <cellStyle name="20% - 强调文字颜色 3 2 2 4 3 3" xfId="3146"/>
    <cellStyle name="20% - 强调文字颜色 3 2 2 4 4" xfId="1677"/>
    <cellStyle name="20% - 强调文字颜色 3 2 2 5" xfId="3154"/>
    <cellStyle name="20% - 强调文字颜色 3 2 2 5 2" xfId="314"/>
    <cellStyle name="20% - 强调文字颜色 3 2 2 5 2 2" xfId="510"/>
    <cellStyle name="20% - 强调文字颜色 3 2 2 5 2 3" xfId="3162"/>
    <cellStyle name="20% - 强调文字颜色 3 2 2 5 3" xfId="3168"/>
    <cellStyle name="20% - 强调文字颜色 3 2 2 6" xfId="3175"/>
    <cellStyle name="20% - 强调文字颜色 3 2 2 6 2" xfId="585"/>
    <cellStyle name="20% - 强调文字颜色 3 2 2 6 3" xfId="1593"/>
    <cellStyle name="20% - 强调文字颜色 3 2 2 7" xfId="3177"/>
    <cellStyle name="20% - 强调文字颜色 3 2 3" xfId="1859"/>
    <cellStyle name="20% - 强调文字颜色 3 2 3 2" xfId="3181"/>
    <cellStyle name="20% - 强调文字颜色 3 2 3 2 2" xfId="789"/>
    <cellStyle name="20% - 强调文字颜色 3 2 3 2 2 2" xfId="805"/>
    <cellStyle name="20% - 强调文字颜色 3 2 3 2 2 2 2" xfId="3187"/>
    <cellStyle name="20% - 强调文字颜色 3 2 3 2 2 2 2 2" xfId="3190"/>
    <cellStyle name="20% - 强调文字颜色 3 2 3 2 2 2 2 3" xfId="3203"/>
    <cellStyle name="20% - 强调文字颜色 3 2 3 2 2 2 3" xfId="2301"/>
    <cellStyle name="20% - 强调文字颜色 3 2 3 2 2 3" xfId="824"/>
    <cellStyle name="20% - 强调文字颜色 3 2 3 2 2 3 2" xfId="975"/>
    <cellStyle name="20% - 强调文字颜色 3 2 3 2 2 3 3" xfId="3212"/>
    <cellStyle name="20% - 强调文字颜色 3 2 3 2 2 4" xfId="2589"/>
    <cellStyle name="20% - 强调文字颜色 3 2 3 2 3" xfId="841"/>
    <cellStyle name="20% - 强调文字颜色 3 2 3 2 3 2" xfId="3218"/>
    <cellStyle name="20% - 强调文字颜色 3 2 3 2 3 2 2" xfId="3226"/>
    <cellStyle name="20% - 强调文字颜色 3 2 3 2 3 2 3" xfId="3232"/>
    <cellStyle name="20% - 强调文字颜色 3 2 3 2 3 3" xfId="3239"/>
    <cellStyle name="20% - 强调文字颜色 3 2 3 2 4" xfId="3251"/>
    <cellStyle name="20% - 强调文字颜色 3 2 3 2 4 2" xfId="1853"/>
    <cellStyle name="20% - 强调文字颜色 3 2 3 2 4 3" xfId="3274"/>
    <cellStyle name="20% - 强调文字颜色 3 2 3 2 5" xfId="3284"/>
    <cellStyle name="20% - 强调文字颜色 3 2 3 3" xfId="3298"/>
    <cellStyle name="20% - 强调文字颜色 3 2 3 3 2" xfId="3309"/>
    <cellStyle name="20% - 强调文字颜色 3 2 3 3 2 2" xfId="2811"/>
    <cellStyle name="20% - 强调文字颜色 3 2 3 3 2 2 2" xfId="1996"/>
    <cellStyle name="20% - 强调文字颜色 3 2 3 3 2 2 3" xfId="3312"/>
    <cellStyle name="20% - 强调文字颜色 3 2 3 3 2 3" xfId="2887"/>
    <cellStyle name="20% - 强调文字颜色 3 2 3 3 3" xfId="3318"/>
    <cellStyle name="20% - 强调文字颜色 3 2 3 3 3 2" xfId="3325"/>
    <cellStyle name="20% - 强调文字颜色 3 2 3 3 3 3" xfId="3337"/>
    <cellStyle name="20% - 强调文字颜色 3 2 3 3 4" xfId="1735"/>
    <cellStyle name="20% - 强调文字颜色 3 2 3 4" xfId="3354"/>
    <cellStyle name="20% - 强调文字颜色 3 2 3 4 2" xfId="3356"/>
    <cellStyle name="20% - 强调文字颜色 3 2 3 4 2 2" xfId="3363"/>
    <cellStyle name="20% - 强调文字颜色 3 2 3 4 2 2 2" xfId="3369"/>
    <cellStyle name="20% - 强调文字颜色 3 2 3 4 2 2 3" xfId="3373"/>
    <cellStyle name="20% - 强调文字颜色 3 2 3 4 2 3" xfId="3386"/>
    <cellStyle name="20% - 强调文字颜色 3 2 3 4 3" xfId="3402"/>
    <cellStyle name="20% - 强调文字颜色 3 2 3 4 3 2" xfId="3409"/>
    <cellStyle name="20% - 强调文字颜色 3 2 3 4 3 3" xfId="3424"/>
    <cellStyle name="20% - 强调文字颜色 3 2 3 4 4" xfId="3432"/>
    <cellStyle name="20% - 强调文字颜色 3 2 3 5" xfId="3438"/>
    <cellStyle name="20% - 强调文字颜色 3 2 3 5 2" xfId="3442"/>
    <cellStyle name="20% - 强调文字颜色 3 2 3 5 2 2" xfId="1784"/>
    <cellStyle name="20% - 强调文字颜色 3 2 3 5 2 3" xfId="1832"/>
    <cellStyle name="20% - 强调文字颜色 3 2 3 5 3" xfId="3450"/>
    <cellStyle name="20% - 强调文字颜色 3 2 3 6" xfId="3457"/>
    <cellStyle name="20% - 强调文字颜色 3 2 3 6 2" xfId="3460"/>
    <cellStyle name="20% - 强调文字颜色 3 2 3 6 3" xfId="3468"/>
    <cellStyle name="20% - 强调文字颜色 3 2 3 7" xfId="3473"/>
    <cellStyle name="20% - 强调文字颜色 3 2 4" xfId="3257"/>
    <cellStyle name="20% - 强调文字颜色 3 2 4 2" xfId="3482"/>
    <cellStyle name="20% - 强调文字颜色 3 2 4 2 2" xfId="3493"/>
    <cellStyle name="20% - 强调文字颜色 3 2 4 2 2 2" xfId="1227"/>
    <cellStyle name="20% - 强调文字颜色 3 2 4 2 2 2 2" xfId="2217"/>
    <cellStyle name="20% - 强调文字颜色 3 2 4 2 2 2 2 2" xfId="3291"/>
    <cellStyle name="20% - 强调文字颜色 3 2 4 2 2 2 2 3" xfId="3348"/>
    <cellStyle name="20% - 强调文字颜色 3 2 4 2 2 2 3" xfId="625"/>
    <cellStyle name="20% - 强调文字颜色 3 2 4 2 2 3" xfId="3499"/>
    <cellStyle name="20% - 强调文字颜色 3 2 4 2 2 3 2" xfId="3505"/>
    <cellStyle name="20% - 强调文字颜色 3 2 4 2 2 3 3" xfId="727"/>
    <cellStyle name="20% - 强调文字颜色 3 2 4 2 2 4" xfId="3510"/>
    <cellStyle name="20% - 强调文字颜色 3 2 4 2 3" xfId="3514"/>
    <cellStyle name="20% - 强调文字颜色 3 2 4 2 3 2" xfId="3520"/>
    <cellStyle name="20% - 强调文字颜色 3 2 4 2 3 2 2" xfId="3524"/>
    <cellStyle name="20% - 强调文字颜色 3 2 4 2 3 2 3" xfId="1103"/>
    <cellStyle name="20% - 强调文字颜色 3 2 4 2 3 3" xfId="3528"/>
    <cellStyle name="20% - 强调文字颜色 3 2 4 2 4" xfId="3534"/>
    <cellStyle name="20% - 强调文字颜色 3 2 4 2 4 2" xfId="3539"/>
    <cellStyle name="20% - 强调文字颜色 3 2 4 2 4 3" xfId="3555"/>
    <cellStyle name="20% - 强调文字颜色 3 2 4 2 5" xfId="3564"/>
    <cellStyle name="20% - 强调文字颜色 3 2 4 3" xfId="633"/>
    <cellStyle name="20% - 强调文字颜色 3 2 4 3 2" xfId="644"/>
    <cellStyle name="20% - 强调文字颜色 3 2 4 3 2 2" xfId="3573"/>
    <cellStyle name="20% - 强调文字颜色 3 2 4 3 2 2 2" xfId="1401"/>
    <cellStyle name="20% - 强调文字颜色 3 2 4 3 2 2 3" xfId="1468"/>
    <cellStyle name="20% - 强调文字颜色 3 2 4 3 2 3" xfId="3583"/>
    <cellStyle name="20% - 强调文字颜色 3 2 4 3 3" xfId="648"/>
    <cellStyle name="20% - 强调文字颜色 3 2 4 3 3 2" xfId="3589"/>
    <cellStyle name="20% - 强调文字颜色 3 2 4 3 3 3" xfId="3602"/>
    <cellStyle name="20% - 强调文字颜色 3 2 4 3 4" xfId="3609"/>
    <cellStyle name="20% - 强调文字颜色 3 2 4 4" xfId="655"/>
    <cellStyle name="20% - 强调文字颜色 3 2 4 4 2" xfId="3620"/>
    <cellStyle name="20% - 强调文字颜色 3 2 4 4 2 2" xfId="3632"/>
    <cellStyle name="20% - 强调文字颜色 3 2 4 4 2 2 2" xfId="2669"/>
    <cellStyle name="20% - 强调文字颜色 3 2 4 4 2 2 3" xfId="2735"/>
    <cellStyle name="20% - 强调文字颜色 3 2 4 4 2 3" xfId="3641"/>
    <cellStyle name="20% - 强调文字颜色 3 2 4 4 3" xfId="3648"/>
    <cellStyle name="20% - 强调文字颜色 3 2 4 4 3 2" xfId="3656"/>
    <cellStyle name="20% - 强调文字颜色 3 2 4 4 3 3" xfId="3660"/>
    <cellStyle name="20% - 强调文字颜色 3 2 4 4 4" xfId="341"/>
    <cellStyle name="20% - 强调文字颜色 3 2 4 5" xfId="2475"/>
    <cellStyle name="20% - 强调文字颜色 3 2 4 5 2" xfId="613"/>
    <cellStyle name="20% - 强调文字颜色 3 2 4 5 2 2" xfId="626"/>
    <cellStyle name="20% - 强调文字颜色 3 2 4 5 2 3" xfId="664"/>
    <cellStyle name="20% - 强调文字颜色 3 2 4 5 3" xfId="714"/>
    <cellStyle name="20% - 强调文字颜色 3 2 4 6" xfId="2496"/>
    <cellStyle name="20% - 强调文字颜色 3 2 4 6 2" xfId="1089"/>
    <cellStyle name="20% - 强调文字颜色 3 2 4 6 3" xfId="1165"/>
    <cellStyle name="20% - 强调文字颜色 3 2 4 7" xfId="3580"/>
    <cellStyle name="20% - 强调文字颜色 3 2 5" xfId="3674"/>
    <cellStyle name="20% - 强调文字颜色 3 2 5 2" xfId="3683"/>
    <cellStyle name="20% - 强调文字颜色 3 2 5 2 2" xfId="3691"/>
    <cellStyle name="20% - 强调文字颜色 3 2 5 2 2 2" xfId="1548"/>
    <cellStyle name="20% - 强调文字颜色 3 2 5 2 2 2 2" xfId="2177"/>
    <cellStyle name="20% - 强调文字颜色 3 2 5 2 2 2 3" xfId="2113"/>
    <cellStyle name="20% - 强调文字颜色 3 2 5 2 2 3" xfId="3695"/>
    <cellStyle name="20% - 强调文字颜色 3 2 5 2 3" xfId="3700"/>
    <cellStyle name="20% - 强调文字颜色 3 2 5 2 3 2" xfId="1391"/>
    <cellStyle name="20% - 强调文字颜色 3 2 5 2 3 3" xfId="3705"/>
    <cellStyle name="20% - 强调文字颜色 3 2 5 2 4" xfId="3715"/>
    <cellStyle name="20% - 强调文字颜色 3 2 5 3" xfId="672"/>
    <cellStyle name="20% - 强调文字颜色 3 2 5 3 2" xfId="102"/>
    <cellStyle name="20% - 强调文字颜色 3 2 5 3 2 2" xfId="3723"/>
    <cellStyle name="20% - 强调文字颜色 3 2 5 3 2 3" xfId="3734"/>
    <cellStyle name="20% - 强调文字颜色 3 2 5 3 3" xfId="219"/>
    <cellStyle name="20% - 强调文字颜色 3 2 5 4" xfId="695"/>
    <cellStyle name="20% - 强调文字颜色 3 2 5 4 2" xfId="3745"/>
    <cellStyle name="20% - 强调文字颜色 3 2 5 4 3" xfId="1336"/>
    <cellStyle name="20% - 强调文字颜色 3 2 5 5" xfId="2521"/>
    <cellStyle name="20% - 强调文字颜色 3 2 6" xfId="3764"/>
    <cellStyle name="20% - 强调文字颜色 3 2 6 2" xfId="3773"/>
    <cellStyle name="20% - 强调文字颜色 3 2 6 2 2" xfId="3782"/>
    <cellStyle name="20% - 强调文字颜色 3 2 6 2 2 2" xfId="3787"/>
    <cellStyle name="20% - 强调文字颜色 3 2 6 2 2 3" xfId="3799"/>
    <cellStyle name="20% - 强调文字颜色 3 2 6 2 3" xfId="3812"/>
    <cellStyle name="20% - 强调文字颜色 3 2 6 3" xfId="3817"/>
    <cellStyle name="20% - 强调文字颜色 3 2 6 3 2" xfId="3826"/>
    <cellStyle name="20% - 强调文字颜色 3 2 6 3 3" xfId="3833"/>
    <cellStyle name="20% - 强调文字颜色 3 2 6 4" xfId="3841"/>
    <cellStyle name="20% - 强调文字颜色 3 2 7" xfId="3844"/>
    <cellStyle name="20% - 强调文字颜色 3 2 7 2" xfId="3856"/>
    <cellStyle name="20% - 强调文字颜色 3 2 7 2 2" xfId="1698"/>
    <cellStyle name="20% - 强调文字颜色 3 2 7 2 2 2" xfId="3861"/>
    <cellStyle name="20% - 强调文字颜色 3 2 7 2 2 3" xfId="3872"/>
    <cellStyle name="20% - 强调文字颜色 3 2 7 2 3" xfId="3875"/>
    <cellStyle name="20% - 强调文字颜色 3 2 7 3" xfId="3880"/>
    <cellStyle name="20% - 强调文字颜色 3 2 7 3 2" xfId="3885"/>
    <cellStyle name="20% - 强调文字颜色 3 2 7 3 3" xfId="3896"/>
    <cellStyle name="20% - 强调文字颜色 3 2 7 4" xfId="3906"/>
    <cellStyle name="20% - 强调文字颜色 3 2 8" xfId="3089"/>
    <cellStyle name="20% - 强调文字颜色 3 2 8 2" xfId="994"/>
    <cellStyle name="20% - 强调文字颜色 3 2 8 2 2" xfId="3104"/>
    <cellStyle name="20% - 强调文字颜色 3 2 8 2 3" xfId="3121"/>
    <cellStyle name="20% - 强调文字颜色 3 2 8 3" xfId="3131"/>
    <cellStyle name="20% - 强调文字颜色 3 2 9" xfId="3136"/>
    <cellStyle name="20% - 强调文字颜色 3 2 9 2" xfId="238"/>
    <cellStyle name="20% - 强调文字颜色 4 2" xfId="584"/>
    <cellStyle name="20% - 强调文字颜色 4 2 10" xfId="3911"/>
    <cellStyle name="20% - 强调文字颜色 4 2 2" xfId="3919"/>
    <cellStyle name="20% - 强调文字颜色 4 2 2 2" xfId="3924"/>
    <cellStyle name="20% - 强调文字颜色 4 2 2 2 2" xfId="3928"/>
    <cellStyle name="20% - 强调文字颜色 4 2 2 2 2 2" xfId="3933"/>
    <cellStyle name="20% - 强调文字颜色 4 2 2 2 2 2 2" xfId="1911"/>
    <cellStyle name="20% - 强调文字颜色 4 2 2 2 2 2 2 2" xfId="1826"/>
    <cellStyle name="20% - 强调文字颜色 4 2 2 2 2 2 2 3" xfId="1887"/>
    <cellStyle name="20% - 强调文字颜色 4 2 2 2 2 2 3" xfId="3944"/>
    <cellStyle name="20% - 强调文字颜色 4 2 2 2 2 3" xfId="1014"/>
    <cellStyle name="20% - 强调文字颜色 4 2 2 2 2 3 2" xfId="3950"/>
    <cellStyle name="20% - 强调文字颜色 4 2 2 2 2 3 3" xfId="3953"/>
    <cellStyle name="20% - 强调文字颜色 4 2 2 2 2 4" xfId="235"/>
    <cellStyle name="20% - 强调文字颜色 4 2 2 2 3" xfId="738"/>
    <cellStyle name="20% - 强调文字颜色 4 2 2 2 3 2" xfId="747"/>
    <cellStyle name="20% - 强调文字颜色 4 2 2 2 3 2 2" xfId="3954"/>
    <cellStyle name="20% - 强调文字颜色 4 2 2 2 3 2 3" xfId="3956"/>
    <cellStyle name="20% - 强调文字颜色 4 2 2 2 3 3" xfId="760"/>
    <cellStyle name="20% - 强调文字颜色 4 2 2 2 4" xfId="780"/>
    <cellStyle name="20% - 强调文字颜色 4 2 2 2 4 2" xfId="3959"/>
    <cellStyle name="20% - 强调文字颜色 4 2 2 2 4 3" xfId="2654"/>
    <cellStyle name="20% - 强调文字颜色 4 2 2 2 5" xfId="2571"/>
    <cellStyle name="20% - 强调文字颜色 4 2 2 3" xfId="3965"/>
    <cellStyle name="20% - 强调文字颜色 4 2 2 3 2" xfId="3968"/>
    <cellStyle name="20% - 强调文字颜色 4 2 2 3 2 2" xfId="3973"/>
    <cellStyle name="20% - 强调文字颜色 4 2 2 3 2 2 2" xfId="3150"/>
    <cellStyle name="20% - 强调文字颜色 4 2 2 3 2 2 3" xfId="3974"/>
    <cellStyle name="20% - 强调文字颜色 4 2 2 3 2 3" xfId="3984"/>
    <cellStyle name="20% - 强调文字颜色 4 2 2 3 3" xfId="817"/>
    <cellStyle name="20% - 强调文字颜色 4 2 2 3 3 2" xfId="3986"/>
    <cellStyle name="20% - 强调文字颜色 4 2 2 3 3 3" xfId="2308"/>
    <cellStyle name="20% - 强调文字颜色 4 2 2 3 4" xfId="837"/>
    <cellStyle name="20% - 强调文字颜色 4 2 2 4" xfId="3991"/>
    <cellStyle name="20% - 强调文字颜色 4 2 2 4 2" xfId="3995"/>
    <cellStyle name="20% - 强调文字颜色 4 2 2 4 2 2" xfId="3997"/>
    <cellStyle name="20% - 强调文字颜色 4 2 2 4 2 2 2" xfId="3420"/>
    <cellStyle name="20% - 强调文字颜色 4 2 2 4 2 2 3" xfId="4008"/>
    <cellStyle name="20% - 强调文字颜色 4 2 2 4 2 3" xfId="4017"/>
    <cellStyle name="20% - 强调文字颜色 4 2 2 4 3" xfId="4018"/>
    <cellStyle name="20% - 强调文字颜色 4 2 2 4 3 2" xfId="3945"/>
    <cellStyle name="20% - 强调文字颜色 4 2 2 4 3 3" xfId="4020"/>
    <cellStyle name="20% - 强调文字颜色 4 2 2 4 4" xfId="4023"/>
    <cellStyle name="20% - 强调文字颜色 4 2 2 5" xfId="4029"/>
    <cellStyle name="20% - 强调文字颜色 4 2 2 5 2" xfId="4032"/>
    <cellStyle name="20% - 强调文字颜色 4 2 2 5 2 2" xfId="4039"/>
    <cellStyle name="20% - 强调文字颜色 4 2 2 5 2 3" xfId="4050"/>
    <cellStyle name="20% - 强调文字颜色 4 2 2 5 3" xfId="1866"/>
    <cellStyle name="20% - 强调文字颜色 4 2 2 6" xfId="312"/>
    <cellStyle name="20% - 强调文字颜色 4 2 2 6 2" xfId="507"/>
    <cellStyle name="20% - 强调文字颜色 4 2 2 6 3" xfId="3159"/>
    <cellStyle name="20% - 强调文字颜色 4 2 2 7" xfId="3170"/>
    <cellStyle name="20% - 强调文字颜色 4 2 3" xfId="4054"/>
    <cellStyle name="20% - 强调文字颜色 4 2 3 2" xfId="3195"/>
    <cellStyle name="20% - 强调文字颜色 4 2 3 2 2" xfId="4062"/>
    <cellStyle name="20% - 强调文字颜色 4 2 3 2 2 2" xfId="2230"/>
    <cellStyle name="20% - 强调文字颜色 4 2 3 2 2 2 2" xfId="2931"/>
    <cellStyle name="20% - 强调文字颜色 4 2 3 2 2 2 2 2" xfId="4072"/>
    <cellStyle name="20% - 强调文字颜色 4 2 3 2 2 2 2 3" xfId="4086"/>
    <cellStyle name="20% - 强调文字颜色 4 2 3 2 2 2 3" xfId="4089"/>
    <cellStyle name="20% - 强调文字颜色 4 2 3 2 2 3" xfId="4098"/>
    <cellStyle name="20% - 强调文字颜色 4 2 3 2 2 3 2" xfId="4106"/>
    <cellStyle name="20% - 强调文字颜色 4 2 3 2 2 3 3" xfId="4118"/>
    <cellStyle name="20% - 强调文字颜色 4 2 3 2 2 4" xfId="4126"/>
    <cellStyle name="20% - 强调文字颜色 4 2 3 2 3" xfId="883"/>
    <cellStyle name="20% - 强调文字颜色 4 2 3 2 3 2" xfId="4133"/>
    <cellStyle name="20% - 强调文字颜色 4 2 3 2 3 2 2" xfId="4135"/>
    <cellStyle name="20% - 强调文字颜色 4 2 3 2 3 2 3" xfId="4139"/>
    <cellStyle name="20% - 强调文字颜色 4 2 3 2 3 3" xfId="2704"/>
    <cellStyle name="20% - 强调文字颜色 4 2 3 2 4" xfId="127"/>
    <cellStyle name="20% - 强调文字颜色 4 2 3 2 4 2" xfId="4144"/>
    <cellStyle name="20% - 强调文字颜色 4 2 3 2 4 3" xfId="4163"/>
    <cellStyle name="20% - 强调文字颜色 4 2 3 2 5" xfId="2200"/>
    <cellStyle name="20% - 强调文字颜色 4 2 3 3" xfId="4171"/>
    <cellStyle name="20% - 强调文字颜色 4 2 3 3 2" xfId="4173"/>
    <cellStyle name="20% - 强调文字颜色 4 2 3 3 2 2" xfId="4177"/>
    <cellStyle name="20% - 强调文字颜色 4 2 3 3 2 2 2" xfId="4183"/>
    <cellStyle name="20% - 强调文字颜色 4 2 3 3 2 2 3" xfId="4190"/>
    <cellStyle name="20% - 强调文字颜色 4 2 3 3 2 3" xfId="2796"/>
    <cellStyle name="20% - 强调文字颜色 4 2 3 3 3" xfId="4196"/>
    <cellStyle name="20% - 强调文字颜色 4 2 3 3 3 2" xfId="4202"/>
    <cellStyle name="20% - 强调文字颜色 4 2 3 3 3 3" xfId="4204"/>
    <cellStyle name="20% - 强调文字颜色 4 2 3 3 4" xfId="4206"/>
    <cellStyle name="20% - 强调文字颜色 4 2 3 4" xfId="4213"/>
    <cellStyle name="20% - 强调文字颜色 4 2 3 4 2" xfId="4215"/>
    <cellStyle name="20% - 强调文字颜色 4 2 3 4 2 2" xfId="4219"/>
    <cellStyle name="20% - 强调文字颜色 4 2 3 4 2 2 2" xfId="4224"/>
    <cellStyle name="20% - 强调文字颜色 4 2 3 4 2 2 3" xfId="4241"/>
    <cellStyle name="20% - 强调文字颜色 4 2 3 4 2 3" xfId="4245"/>
    <cellStyle name="20% - 强调文字颜色 4 2 3 4 3" xfId="4255"/>
    <cellStyle name="20% - 强调文字颜色 4 2 3 4 3 2" xfId="3978"/>
    <cellStyle name="20% - 强调文字颜色 4 2 3 4 3 3" xfId="4259"/>
    <cellStyle name="20% - 强调文字颜色 4 2 3 4 4" xfId="4263"/>
    <cellStyle name="20% - 强调文字颜色 4 2 3 5" xfId="4265"/>
    <cellStyle name="20% - 强调文字颜色 4 2 3 5 2" xfId="4274"/>
    <cellStyle name="20% - 强调文字颜色 4 2 3 5 2 2" xfId="4282"/>
    <cellStyle name="20% - 强调文字颜色 4 2 3 5 2 3" xfId="4070"/>
    <cellStyle name="20% - 强调文字颜色 4 2 3 5 3" xfId="4291"/>
    <cellStyle name="20% - 强调文字颜色 4 2 3 6" xfId="586"/>
    <cellStyle name="20% - 强调文字颜色 4 2 3 6 2" xfId="4298"/>
    <cellStyle name="20% - 强调文字颜色 4 2 3 6 3" xfId="2948"/>
    <cellStyle name="20% - 强调文字颜色 4 2 3 7" xfId="1592"/>
    <cellStyle name="20% - 强调文字颜色 4 2 4" xfId="4303"/>
    <cellStyle name="20% - 强调文字颜色 4 2 4 2" xfId="4311"/>
    <cellStyle name="20% - 强调文字颜色 4 2 4 2 2" xfId="4320"/>
    <cellStyle name="20% - 强调文字颜色 4 2 4 2 2 2" xfId="2587"/>
    <cellStyle name="20% - 强调文字颜色 4 2 4 2 2 2 2" xfId="3111"/>
    <cellStyle name="20% - 强调文字颜色 4 2 4 2 2 2 2 2" xfId="4330"/>
    <cellStyle name="20% - 强调文字颜色 4 2 4 2 2 2 2 3" xfId="4335"/>
    <cellStyle name="20% - 强调文字颜色 4 2 4 2 2 2 3" xfId="4349"/>
    <cellStyle name="20% - 强调文字颜色 4 2 4 2 2 3" xfId="4358"/>
    <cellStyle name="20% - 强调文字颜色 4 2 4 2 2 3 2" xfId="4369"/>
    <cellStyle name="20% - 强调文字颜色 4 2 4 2 2 3 3" xfId="4380"/>
    <cellStyle name="20% - 强调文字颜色 4 2 4 2 2 4" xfId="4390"/>
    <cellStyle name="20% - 强调文字颜色 4 2 4 2 3" xfId="4394"/>
    <cellStyle name="20% - 强调文字颜色 4 2 4 2 3 2" xfId="4404"/>
    <cellStyle name="20% - 强调文字颜色 4 2 4 2 3 2 2" xfId="36"/>
    <cellStyle name="20% - 强调文字颜色 4 2 4 2 3 2 3" xfId="393"/>
    <cellStyle name="20% - 强调文字颜色 4 2 4 2 3 3" xfId="2752"/>
    <cellStyle name="20% - 强调文字颜色 4 2 4 2 4" xfId="4409"/>
    <cellStyle name="20% - 强调文字颜色 4 2 4 2 4 2" xfId="3668"/>
    <cellStyle name="20% - 强调文字颜色 4 2 4 2 4 3" xfId="3756"/>
    <cellStyle name="20% - 强调文字颜色 4 2 4 2 5" xfId="4415"/>
    <cellStyle name="20% - 强调文字颜色 4 2 4 3" xfId="67"/>
    <cellStyle name="20% - 强调文字颜色 4 2 4 3 2" xfId="357"/>
    <cellStyle name="20% - 强调文字颜色 4 2 4 3 2 2" xfId="2895"/>
    <cellStyle name="20% - 强调文字颜色 4 2 4 3 2 2 2" xfId="4423"/>
    <cellStyle name="20% - 强调文字颜色 4 2 4 3 2 2 3" xfId="4435"/>
    <cellStyle name="20% - 强调文字颜色 4 2 4 3 2 3" xfId="4439"/>
    <cellStyle name="20% - 强调文字颜色 4 2 4 3 3" xfId="376"/>
    <cellStyle name="20% - 强调文字颜色 4 2 4 3 3 2" xfId="4450"/>
    <cellStyle name="20% - 强调文字颜色 4 2 4 3 3 3" xfId="4455"/>
    <cellStyle name="20% - 强调文字颜色 4 2 4 3 4" xfId="411"/>
    <cellStyle name="20% - 强调文字颜色 4 2 4 4" xfId="1114"/>
    <cellStyle name="20% - 强调文字颜色 4 2 4 4 2" xfId="4093"/>
    <cellStyle name="20% - 强调文字颜色 4 2 4 4 2 2" xfId="4104"/>
    <cellStyle name="20% - 强调文字颜色 4 2 4 4 2 2 2" xfId="4465"/>
    <cellStyle name="20% - 强调文字颜色 4 2 4 4 2 2 3" xfId="4481"/>
    <cellStyle name="20% - 强调文字颜色 4 2 4 4 2 3" xfId="4115"/>
    <cellStyle name="20% - 强调文字颜色 4 2 4 4 3" xfId="4129"/>
    <cellStyle name="20% - 强调文字颜色 4 2 4 4 3 2" xfId="4011"/>
    <cellStyle name="20% - 强调文字颜色 4 2 4 4 3 3" xfId="4489"/>
    <cellStyle name="20% - 强调文字颜色 4 2 4 4 4" xfId="4495"/>
    <cellStyle name="20% - 强调文字颜色 4 2 4 5" xfId="2688"/>
    <cellStyle name="20% - 强调文字颜色 4 2 4 5 2" xfId="2695"/>
    <cellStyle name="20% - 强调文字颜色 4 2 4 5 2 2" xfId="1885"/>
    <cellStyle name="20% - 强调文字颜色 4 2 4 5 2 3" xfId="1928"/>
    <cellStyle name="20% - 强调文字颜色 4 2 4 5 3" xfId="2716"/>
    <cellStyle name="20% - 强调文字颜色 4 2 4 6" xfId="2728"/>
    <cellStyle name="20% - 强调文字颜色 4 2 4 6 2" xfId="4156"/>
    <cellStyle name="20% - 强调文字颜色 4 2 4 6 3" xfId="4504"/>
    <cellStyle name="20% - 强调文字颜色 4 2 4 7" xfId="3727"/>
    <cellStyle name="20% - 强调文字颜色 4 2 5" xfId="4510"/>
    <cellStyle name="20% - 强调文字颜色 4 2 5 2" xfId="2421"/>
    <cellStyle name="20% - 强调文字颜色 4 2 5 2 2" xfId="2430"/>
    <cellStyle name="20% - 强调文字颜色 4 2 5 2 2 2" xfId="3507"/>
    <cellStyle name="20% - 强调文字颜色 4 2 5 2 2 2 2" xfId="3383"/>
    <cellStyle name="20% - 强调文字颜色 4 2 5 2 2 2 3" xfId="866"/>
    <cellStyle name="20% - 强调文字颜色 4 2 5 2 2 3" xfId="4514"/>
    <cellStyle name="20% - 强调文字颜色 4 2 5 2 3" xfId="2439"/>
    <cellStyle name="20% - 强调文字颜色 4 2 5 2 3 2" xfId="4520"/>
    <cellStyle name="20% - 强调文字颜色 4 2 5 2 3 3" xfId="1313"/>
    <cellStyle name="20% - 强调文字颜色 4 2 5 2 4" xfId="3550"/>
    <cellStyle name="20% - 强调文字颜色 4 2 5 3" xfId="1131"/>
    <cellStyle name="20% - 强调文字颜色 4 2 5 3 2" xfId="4523"/>
    <cellStyle name="20% - 强调文字颜色 4 2 5 3 2 2" xfId="4527"/>
    <cellStyle name="20% - 强调文字颜色 4 2 5 3 2 3" xfId="4530"/>
    <cellStyle name="20% - 强调文字颜色 4 2 5 3 3" xfId="4533"/>
    <cellStyle name="20% - 强调文字颜色 4 2 5 4" xfId="1139"/>
    <cellStyle name="20% - 强调文字颜色 4 2 5 4 2" xfId="2789"/>
    <cellStyle name="20% - 强调文字颜色 4 2 5 4 3" xfId="2989"/>
    <cellStyle name="20% - 强调文字颜色 4 2 5 5" xfId="2376"/>
    <cellStyle name="20% - 强调文字颜色 4 2 6" xfId="4539"/>
    <cellStyle name="20% - 强调文字颜色 4 2 6 2" xfId="2536"/>
    <cellStyle name="20% - 强调文字颜色 4 2 6 2 2" xfId="4541"/>
    <cellStyle name="20% - 强调文字颜色 4 2 6 2 2 2" xfId="4542"/>
    <cellStyle name="20% - 强调文字颜色 4 2 6 2 2 3" xfId="4545"/>
    <cellStyle name="20% - 强调文字颜色 4 2 6 2 3" xfId="4549"/>
    <cellStyle name="20% - 强调文字颜色 4 2 6 3" xfId="118"/>
    <cellStyle name="20% - 强调文字颜色 4 2 6 3 2" xfId="4551"/>
    <cellStyle name="20% - 强调文字颜色 4 2 6 3 3" xfId="4556"/>
    <cellStyle name="20% - 强调文字颜色 4 2 6 4" xfId="3008"/>
    <cellStyle name="20% - 强调文字颜色 4 2 7" xfId="4562"/>
    <cellStyle name="20% - 强调文字颜色 4 2 7 2" xfId="2610"/>
    <cellStyle name="20% - 强调文字颜色 4 2 7 2 2" xfId="4565"/>
    <cellStyle name="20% - 强调文字颜色 4 2 7 2 2 2" xfId="4573"/>
    <cellStyle name="20% - 强调文字颜色 4 2 7 2 2 3" xfId="4577"/>
    <cellStyle name="20% - 强调文字颜色 4 2 7 2 3" xfId="4584"/>
    <cellStyle name="20% - 强调文字颜色 4 2 7 3" xfId="2920"/>
    <cellStyle name="20% - 强调文字颜色 4 2 7 3 2" xfId="4587"/>
    <cellStyle name="20% - 强调文字颜色 4 2 7 3 3" xfId="4594"/>
    <cellStyle name="20% - 强调文字颜色 4 2 7 4" xfId="2927"/>
    <cellStyle name="20% - 强调文字颜色 4 2 8" xfId="3361"/>
    <cellStyle name="20% - 强调文字颜色 4 2 8 2" xfId="3367"/>
    <cellStyle name="20% - 强调文字颜色 4 2 8 2 2" xfId="3372"/>
    <cellStyle name="20% - 强调文字颜色 4 2 8 2 3" xfId="3375"/>
    <cellStyle name="20% - 强调文字颜色 4 2 8 3" xfId="3391"/>
    <cellStyle name="20% - 强调文字颜色 4 2 9" xfId="3401"/>
    <cellStyle name="20% - 强调文字颜色 4 2 9 2" xfId="3415"/>
    <cellStyle name="20% - 强调文字颜色 5 2" xfId="4596"/>
    <cellStyle name="20% - 强调文字颜色 5 2 10" xfId="1376"/>
    <cellStyle name="20% - 强调文字颜色 5 2 2" xfId="4601"/>
    <cellStyle name="20% - 强调文字颜色 5 2 2 2" xfId="4620"/>
    <cellStyle name="20% - 强调文字颜色 5 2 2 2 2" xfId="4629"/>
    <cellStyle name="20% - 强调文字颜色 5 2 2 2 2 2" xfId="3532"/>
    <cellStyle name="20% - 强调文字颜色 5 2 2 2 2 2 2" xfId="3547"/>
    <cellStyle name="20% - 强调文字颜色 5 2 2 2 2 2 2 2" xfId="4630"/>
    <cellStyle name="20% - 强调文字颜色 5 2 2 2 2 2 2 3" xfId="1413"/>
    <cellStyle name="20% - 强调文字颜色 5 2 2 2 2 2 3" xfId="3563"/>
    <cellStyle name="20% - 强调文字颜色 5 2 2 2 2 3" xfId="3568"/>
    <cellStyle name="20% - 强调文字颜色 5 2 2 2 2 3 2" xfId="4632"/>
    <cellStyle name="20% - 强调文字颜色 5 2 2 2 2 3 3" xfId="4606"/>
    <cellStyle name="20% - 强调文字颜色 5 2 2 2 2 4" xfId="3225"/>
    <cellStyle name="20% - 强调文字颜色 5 2 2 2 3" xfId="1768"/>
    <cellStyle name="20% - 强调文字颜色 5 2 2 2 3 2" xfId="3608"/>
    <cellStyle name="20% - 强调文字颜色 5 2 2 2 3 2 2" xfId="4647"/>
    <cellStyle name="20% - 强调文字颜色 5 2 2 2 3 2 3" xfId="4660"/>
    <cellStyle name="20% - 强调文字颜色 5 2 2 2 3 3" xfId="4664"/>
    <cellStyle name="20% - 强调文字颜色 5 2 2 2 4" xfId="1776"/>
    <cellStyle name="20% - 强调文字颜色 5 2 2 2 4 2" xfId="338"/>
    <cellStyle name="20% - 强调文字颜色 5 2 2 2 4 3" xfId="347"/>
    <cellStyle name="20% - 强调文字颜色 5 2 2 2 5" xfId="4672"/>
    <cellStyle name="20% - 强调文字颜色 5 2 2 3" xfId="4675"/>
    <cellStyle name="20% - 强调文字颜色 5 2 2 3 2" xfId="4682"/>
    <cellStyle name="20% - 强调文字颜色 5 2 2 3 2 2" xfId="3719"/>
    <cellStyle name="20% - 强调文字颜色 5 2 2 3 2 2 2" xfId="4685"/>
    <cellStyle name="20% - 强调文字颜色 5 2 2 3 2 2 3" xfId="4695"/>
    <cellStyle name="20% - 强调文字颜色 5 2 2 3 2 3" xfId="4702"/>
    <cellStyle name="20% - 强调文字颜色 5 2 2 3 3" xfId="4710"/>
    <cellStyle name="20% - 强调文字颜色 5 2 2 3 3 2" xfId="430"/>
    <cellStyle name="20% - 强调文字颜色 5 2 2 3 3 3" xfId="451"/>
    <cellStyle name="20% - 强调文字颜色 5 2 2 3 4" xfId="4717"/>
    <cellStyle name="20% - 强调文字颜色 5 2 2 4" xfId="1479"/>
    <cellStyle name="20% - 强调文字颜色 5 2 2 4 2" xfId="1494"/>
    <cellStyle name="20% - 强调文字颜色 5 2 2 4 2 2" xfId="1499"/>
    <cellStyle name="20% - 强调文字颜色 5 2 2 4 2 2 2" xfId="4724"/>
    <cellStyle name="20% - 强调文字颜色 5 2 2 4 2 2 3" xfId="4734"/>
    <cellStyle name="20% - 强调文字颜色 5 2 2 4 2 3" xfId="1515"/>
    <cellStyle name="20% - 强调文字颜色 5 2 2 4 3" xfId="1536"/>
    <cellStyle name="20% - 强调文字颜色 5 2 2 4 3 2" xfId="4742"/>
    <cellStyle name="20% - 强调文字颜色 5 2 2 4 3 3" xfId="4748"/>
    <cellStyle name="20% - 强调文字颜色 5 2 2 4 4" xfId="4756"/>
    <cellStyle name="20% - 强调文字颜色 5 2 2 5" xfId="1543"/>
    <cellStyle name="20% - 强调文字颜色 5 2 2 5 2" xfId="1558"/>
    <cellStyle name="20% - 强调文字颜色 5 2 2 5 2 2" xfId="4763"/>
    <cellStyle name="20% - 强调文字颜色 5 2 2 5 2 3" xfId="4771"/>
    <cellStyle name="20% - 强调文字颜色 5 2 2 5 3" xfId="1570"/>
    <cellStyle name="20% - 强调文字颜色 5 2 2 6" xfId="1576"/>
    <cellStyle name="20% - 强调文字颜色 5 2 2 6 2" xfId="4777"/>
    <cellStyle name="20% - 强调文字颜色 5 2 2 6 3" xfId="4782"/>
    <cellStyle name="20% - 强调文字颜色 5 2 2 7" xfId="4787"/>
    <cellStyle name="20% - 强调文字颜色 5 2 3" xfId="4790"/>
    <cellStyle name="20% - 强调文字颜色 5 2 3 2" xfId="4799"/>
    <cellStyle name="20% - 强调文字颜色 5 2 3 2 2" xfId="4802"/>
    <cellStyle name="20% - 强调文字颜色 5 2 3 2 2 2" xfId="232"/>
    <cellStyle name="20% - 强调文字颜色 5 2 3 2 2 2 2" xfId="3806"/>
    <cellStyle name="20% - 强调文字颜色 5 2 3 2 2 2 2 2" xfId="3853"/>
    <cellStyle name="20% - 强调文字颜色 5 2 3 2 2 2 2 3" xfId="3099"/>
    <cellStyle name="20% - 强调文字颜色 5 2 3 2 2 2 3" xfId="4569"/>
    <cellStyle name="20% - 强调文字颜色 5 2 3 2 2 3" xfId="4807"/>
    <cellStyle name="20% - 强调文字颜色 5 2 3 2 2 3 2" xfId="4822"/>
    <cellStyle name="20% - 强调文字颜色 5 2 3 2 2 3 3" xfId="4828"/>
    <cellStyle name="20% - 强调文字颜色 5 2 3 2 2 4" xfId="4835"/>
    <cellStyle name="20% - 强调文字颜色 5 2 3 2 3" xfId="4847"/>
    <cellStyle name="20% - 强调文字颜色 5 2 3 2 3 2" xfId="2647"/>
    <cellStyle name="20% - 强调文字颜色 5 2 3 2 3 2 2" xfId="4851"/>
    <cellStyle name="20% - 强调文字颜色 5 2 3 2 3 2 3" xfId="4852"/>
    <cellStyle name="20% - 强调文字颜色 5 2 3 2 3 3" xfId="4853"/>
    <cellStyle name="20% - 强调文字颜色 5 2 3 2 4" xfId="1686"/>
    <cellStyle name="20% - 强调文字颜色 5 2 3 2 4 2" xfId="1971"/>
    <cellStyle name="20% - 强调文字颜色 5 2 3 2 4 3" xfId="2033"/>
    <cellStyle name="20% - 强调文字颜色 5 2 3 2 5" xfId="2105"/>
    <cellStyle name="20% - 强调文字颜色 5 2 3 3" xfId="4864"/>
    <cellStyle name="20% - 强调文字颜色 5 2 3 3 2" xfId="4869"/>
    <cellStyle name="20% - 强调文字颜色 5 2 3 3 2 2" xfId="4873"/>
    <cellStyle name="20% - 强调文字颜色 5 2 3 3 2 2 2" xfId="3862"/>
    <cellStyle name="20% - 强调文字颜色 5 2 3 3 2 2 3" xfId="4874"/>
    <cellStyle name="20% - 强调文字颜色 5 2 3 3 2 3" xfId="3194"/>
    <cellStyle name="20% - 强调文字颜色 5 2 3 3 3" xfId="4879"/>
    <cellStyle name="20% - 强调文字颜色 5 2 3 3 3 2" xfId="2325"/>
    <cellStyle name="20% - 强调文字颜色 5 2 3 3 3 3" xfId="4881"/>
    <cellStyle name="20% - 强调文字颜色 5 2 3 3 4" xfId="2277"/>
    <cellStyle name="20% - 强调文字颜色 5 2 3 4" xfId="165"/>
    <cellStyle name="20% - 强调文字颜色 5 2 3 4 2" xfId="1596"/>
    <cellStyle name="20% - 强调文字颜色 5 2 3 4 2 2" xfId="187"/>
    <cellStyle name="20% - 强调文字颜色 5 2 3 4 2 2 2" xfId="205"/>
    <cellStyle name="20% - 强调文字颜色 5 2 3 4 2 2 3" xfId="216"/>
    <cellStyle name="20% - 强调文字颜色 5 2 3 4 2 3" xfId="4888"/>
    <cellStyle name="20% - 强调文字颜色 5 2 3 4 3" xfId="154"/>
    <cellStyle name="20% - 强调文字颜色 5 2 3 4 3 2" xfId="4894"/>
    <cellStyle name="20% - 强调文字颜色 5 2 3 4 3 3" xfId="4896"/>
    <cellStyle name="20% - 强调文字颜色 5 2 3 4 4" xfId="2640"/>
    <cellStyle name="20% - 强调文字颜色 5 2 3 5" xfId="110"/>
    <cellStyle name="20% - 强调文字颜色 5 2 3 5 2" xfId="4906"/>
    <cellStyle name="20% - 强调文字颜色 5 2 3 5 2 2" xfId="4909"/>
    <cellStyle name="20% - 强调文字颜色 5 2 3 5 2 3" xfId="4326"/>
    <cellStyle name="20% - 强调文字颜色 5 2 3 5 3" xfId="4918"/>
    <cellStyle name="20% - 强调文字颜色 5 2 3 6" xfId="4920"/>
    <cellStyle name="20% - 强调文字颜色 5 2 3 6 2" xfId="4921"/>
    <cellStyle name="20% - 强调文字颜色 5 2 3 6 3" xfId="4923"/>
    <cellStyle name="20% - 强调文字颜色 5 2 3 7" xfId="4926"/>
    <cellStyle name="20% - 强调文字颜色 5 2 4" xfId="4934"/>
    <cellStyle name="20% - 强调文字颜色 5 2 4 2" xfId="4942"/>
    <cellStyle name="20% - 强调文字颜色 5 2 4 2 2" xfId="4945"/>
    <cellStyle name="20% - 强调文字颜色 5 2 4 2 2 2" xfId="4123"/>
    <cellStyle name="20% - 强调文字颜色 5 2 4 2 2 2 2" xfId="4001"/>
    <cellStyle name="20% - 强调文字颜色 5 2 4 2 2 2 2 2" xfId="4952"/>
    <cellStyle name="20% - 强调文字颜色 5 2 4 2 2 2 2 3" xfId="172"/>
    <cellStyle name="20% - 强调文字颜色 5 2 4 2 2 2 3" xfId="4483"/>
    <cellStyle name="20% - 强调文字颜色 5 2 4 2 2 3" xfId="4491"/>
    <cellStyle name="20% - 强调文字颜色 5 2 4 2 2 3 2" xfId="4957"/>
    <cellStyle name="20% - 强调文字颜色 5 2 4 2 2 3 3" xfId="4961"/>
    <cellStyle name="20% - 强调文字颜色 5 2 4 2 2 4" xfId="8"/>
    <cellStyle name="20% - 强调文字颜色 5 2 4 2 3" xfId="4966"/>
    <cellStyle name="20% - 强调文字颜色 5 2 4 2 3 2" xfId="2711"/>
    <cellStyle name="20% - 强调文字颜色 5 2 4 2 3 2 2" xfId="4973"/>
    <cellStyle name="20% - 强调文字颜色 5 2 4 2 3 2 3" xfId="209"/>
    <cellStyle name="20% - 强调文字颜色 5 2 4 2 3 3" xfId="4977"/>
    <cellStyle name="20% - 强调文字颜色 5 2 4 2 4" xfId="4983"/>
    <cellStyle name="20% - 强调文字颜色 5 2 4 2 4 2" xfId="4497"/>
    <cellStyle name="20% - 强调文字颜色 5 2 4 2 4 3" xfId="4993"/>
    <cellStyle name="20% - 强调文字颜色 5 2 4 2 5" xfId="5000"/>
    <cellStyle name="20% - 强调文字颜色 5 2 4 3" xfId="1418"/>
    <cellStyle name="20% - 强调文字颜色 5 2 4 3 2" xfId="1427"/>
    <cellStyle name="20% - 强调文字颜色 5 2 4 3 2 2" xfId="2985"/>
    <cellStyle name="20% - 强调文字颜色 5 2 4 3 2 2 2" xfId="5012"/>
    <cellStyle name="20% - 强调文字颜色 5 2 4 3 2 2 3" xfId="75"/>
    <cellStyle name="20% - 强调文字颜色 5 2 4 3 2 3" xfId="5019"/>
    <cellStyle name="20% - 强调文字颜色 5 2 4 3 3" xfId="1439"/>
    <cellStyle name="20% - 强调文字颜色 5 2 4 3 3 2" xfId="5021"/>
    <cellStyle name="20% - 强调文字颜色 5 2 4 3 3 3" xfId="5029"/>
    <cellStyle name="20% - 强调文字颜色 5 2 4 3 4" xfId="5038"/>
    <cellStyle name="20% - 强调文字颜色 5 2 4 4" xfId="1442"/>
    <cellStyle name="20% - 强调文字颜色 5 2 4 4 2" xfId="5049"/>
    <cellStyle name="20% - 强调文字颜色 5 2 4 4 2 2" xfId="5062"/>
    <cellStyle name="20% - 强调文字颜色 5 2 4 4 2 2 2" xfId="5076"/>
    <cellStyle name="20% - 强调文字颜色 5 2 4 4 2 2 3" xfId="3021"/>
    <cellStyle name="20% - 强调文字颜色 5 2 4 4 2 3" xfId="5085"/>
    <cellStyle name="20% - 强调文字颜色 5 2 4 4 3" xfId="5094"/>
    <cellStyle name="20% - 强调文字颜色 5 2 4 4 3 2" xfId="5105"/>
    <cellStyle name="20% - 强调文字颜色 5 2 4 4 3 3" xfId="465"/>
    <cellStyle name="20% - 强调文字颜色 5 2 4 4 4" xfId="5120"/>
    <cellStyle name="20% - 强调文字颜色 5 2 4 5" xfId="1613"/>
    <cellStyle name="20% - 强调文字颜色 5 2 4 5 2" xfId="5127"/>
    <cellStyle name="20% - 强调文字颜色 5 2 4 5 2 2" xfId="4080"/>
    <cellStyle name="20% - 强调文字颜色 5 2 4 5 2 3" xfId="2940"/>
    <cellStyle name="20% - 强调文字颜色 5 2 4 5 3" xfId="5132"/>
    <cellStyle name="20% - 强调文字颜色 5 2 4 6" xfId="1326"/>
    <cellStyle name="20% - 强调文字颜色 5 2 4 6 2" xfId="5138"/>
    <cellStyle name="20% - 强调文字颜色 5 2 4 6 3" xfId="5149"/>
    <cellStyle name="20% - 强调文字颜色 5 2 4 7" xfId="5158"/>
    <cellStyle name="20% - 强调文字颜色 5 2 5" xfId="4958"/>
    <cellStyle name="20% - 强调文字颜色 5 2 5 2" xfId="5168"/>
    <cellStyle name="20% - 强调文字颜色 5 2 5 2 2" xfId="2835"/>
    <cellStyle name="20% - 强调文字颜色 5 2 5 2 2 2" xfId="4386"/>
    <cellStyle name="20% - 强调文字颜色 5 2 5 2 2 2 2" xfId="4233"/>
    <cellStyle name="20% - 强调文字颜色 5 2 5 2 2 2 3" xfId="328"/>
    <cellStyle name="20% - 强调文字颜色 5 2 5 2 2 3" xfId="2968"/>
    <cellStyle name="20% - 强调文字颜色 5 2 5 2 3" xfId="3792"/>
    <cellStyle name="20% - 强调文字颜色 5 2 5 2 3 2" xfId="18"/>
    <cellStyle name="20% - 强调文字颜色 5 2 5 2 3 3" xfId="3048"/>
    <cellStyle name="20% - 强调文字颜色 5 2 5 2 4" xfId="3802"/>
    <cellStyle name="20% - 强调文字颜色 5 2 5 3" xfId="1450"/>
    <cellStyle name="20% - 强调文字颜色 5 2 5 3 2" xfId="706"/>
    <cellStyle name="20% - 强调文字颜色 5 2 5 3 2 2" xfId="5177"/>
    <cellStyle name="20% - 强调文字颜色 5 2 5 3 2 3" xfId="794"/>
    <cellStyle name="20% - 强调文字颜色 5 2 5 3 3" xfId="5180"/>
    <cellStyle name="20% - 强调文字颜色 5 2 5 4" xfId="1456"/>
    <cellStyle name="20% - 强调文字颜色 5 2 5 4 2" xfId="5188"/>
    <cellStyle name="20% - 强调文字颜色 5 2 5 4 3" xfId="4722"/>
    <cellStyle name="20% - 强调文字颜色 5 2 5 5" xfId="3053"/>
    <cellStyle name="20% - 强调文字颜色 5 2 6" xfId="4963"/>
    <cellStyle name="20% - 强调文字颜色 5 2 6 2" xfId="5193"/>
    <cellStyle name="20% - 强调文字颜色 5 2 6 2 2" xfId="1331"/>
    <cellStyle name="20% - 强调文字颜色 5 2 6 2 2 2" xfId="5145"/>
    <cellStyle name="20% - 强调文字颜色 5 2 6 2 2 3" xfId="5155"/>
    <cellStyle name="20% - 强调文字颜色 5 2 6 2 3" xfId="5165"/>
    <cellStyle name="20% - 强调文字颜色 5 2 6 3" xfId="5198"/>
    <cellStyle name="20% - 强调文字颜色 5 2 6 3 2" xfId="5202"/>
    <cellStyle name="20% - 强调文字颜色 5 2 6 3 3" xfId="5206"/>
    <cellStyle name="20% - 强调文字颜色 5 2 6 4" xfId="5209"/>
    <cellStyle name="20% - 强调文字颜色 5 2 7" xfId="5219"/>
    <cellStyle name="20% - 强调文字颜色 5 2 7 2" xfId="5223"/>
    <cellStyle name="20% - 强调文字颜色 5 2 7 2 2" xfId="5228"/>
    <cellStyle name="20% - 强调文字颜色 5 2 7 2 2 2" xfId="5235"/>
    <cellStyle name="20% - 强调文字颜色 5 2 7 2 2 3" xfId="5237"/>
    <cellStyle name="20% - 强调文字颜色 5 2 7 2 3" xfId="5239"/>
    <cellStyle name="20% - 强调文字颜色 5 2 7 3" xfId="5242"/>
    <cellStyle name="20% - 强调文字颜色 5 2 7 3 2" xfId="5247"/>
    <cellStyle name="20% - 强调文字颜色 5 2 7 3 3" xfId="5259"/>
    <cellStyle name="20% - 强调文字颜色 5 2 7 4" xfId="5260"/>
    <cellStyle name="20% - 强调文字颜色 5 2 8" xfId="3617"/>
    <cellStyle name="20% - 强调文字颜色 5 2 8 2" xfId="3626"/>
    <cellStyle name="20% - 强调文字颜色 5 2 8 2 2" xfId="2667"/>
    <cellStyle name="20% - 强调文字颜色 5 2 8 2 3" xfId="2732"/>
    <cellStyle name="20% - 强调文字颜色 5 2 8 3" xfId="3636"/>
    <cellStyle name="20% - 强调文字颜色 5 2 9" xfId="3646"/>
    <cellStyle name="20% - 强调文字颜色 5 2 9 2" xfId="3652"/>
    <cellStyle name="20% - 强调文字颜色 6 2" xfId="2389"/>
    <cellStyle name="20% - 强调文字颜色 6 2 10" xfId="5265"/>
    <cellStyle name="20% - 强调文字颜色 6 2 2" xfId="3314"/>
    <cellStyle name="20% - 强调文字颜色 6 2 2 2" xfId="5268"/>
    <cellStyle name="20% - 强调文字颜色 6 2 2 2 2" xfId="5271"/>
    <cellStyle name="20% - 强调文字颜色 6 2 2 2 2 2" xfId="5274"/>
    <cellStyle name="20% - 强调文字颜色 6 2 2 2 2 2 2" xfId="200"/>
    <cellStyle name="20% - 强调文字颜色 6 2 2 2 2 2 2 2" xfId="5276"/>
    <cellStyle name="20% - 强调文字颜色 6 2 2 2 2 2 2 3" xfId="5277"/>
    <cellStyle name="20% - 强调文字颜色 6 2 2 2 2 2 3" xfId="5282"/>
    <cellStyle name="20% - 强调文字颜色 6 2 2 2 2 3" xfId="5285"/>
    <cellStyle name="20% - 强调文字颜色 6 2 2 2 2 3 2" xfId="5288"/>
    <cellStyle name="20% - 强调文字颜色 6 2 2 2 2 3 3" xfId="5289"/>
    <cellStyle name="20% - 强调文字颜色 6 2 2 2 2 4" xfId="5292"/>
    <cellStyle name="20% - 强调文字颜色 6 2 2 2 3" xfId="2846"/>
    <cellStyle name="20% - 强调文字颜色 6 2 2 2 3 2" xfId="5295"/>
    <cellStyle name="20% - 强调文字颜色 6 2 2 2 3 2 2" xfId="5299"/>
    <cellStyle name="20% - 强调文字颜色 6 2 2 2 3 2 3" xfId="5301"/>
    <cellStyle name="20% - 强调文字颜色 6 2 2 2 3 3" xfId="5229"/>
    <cellStyle name="20% - 强调文字颜色 6 2 2 2 4" xfId="2850"/>
    <cellStyle name="20% - 强调文字颜色 6 2 2 2 4 2" xfId="5302"/>
    <cellStyle name="20% - 强调文字颜色 6 2 2 2 4 3" xfId="5249"/>
    <cellStyle name="20% - 强调文字颜色 6 2 2 2 5" xfId="5305"/>
    <cellStyle name="20% - 强调文字颜色 6 2 2 3" xfId="5310"/>
    <cellStyle name="20% - 强调文字颜色 6 2 2 3 2" xfId="5321"/>
    <cellStyle name="20% - 强调文字颜色 6 2 2 3 2 2" xfId="5332"/>
    <cellStyle name="20% - 强调文字颜色 6 2 2 3 2 2 2" xfId="5333"/>
    <cellStyle name="20% - 强调文字颜色 6 2 2 3 2 2 3" xfId="5335"/>
    <cellStyle name="20% - 强调文字颜色 6 2 2 3 2 3" xfId="5343"/>
    <cellStyle name="20% - 强调文字颜色 6 2 2 3 3" xfId="5357"/>
    <cellStyle name="20% - 强调文字颜色 6 2 2 3 3 2" xfId="5359"/>
    <cellStyle name="20% - 强调文字颜色 6 2 2 3 3 3" xfId="2666"/>
    <cellStyle name="20% - 强调文字颜色 6 2 2 3 4" xfId="5372"/>
    <cellStyle name="20% - 强调文字颜色 6 2 2 4" xfId="5376"/>
    <cellStyle name="20% - 强调文字颜色 6 2 2 4 2" xfId="5384"/>
    <cellStyle name="20% - 强调文字颜色 6 2 2 4 2 2" xfId="5386"/>
    <cellStyle name="20% - 强调文字颜色 6 2 2 4 2 2 2" xfId="5388"/>
    <cellStyle name="20% - 强调文字颜色 6 2 2 4 2 2 3" xfId="5393"/>
    <cellStyle name="20% - 强调文字颜色 6 2 2 4 2 3" xfId="5398"/>
    <cellStyle name="20% - 强调文字颜色 6 2 2 4 3" xfId="5406"/>
    <cellStyle name="20% - 强调文字颜色 6 2 2 4 3 2" xfId="5409"/>
    <cellStyle name="20% - 强调文字颜色 6 2 2 4 3 3" xfId="5410"/>
    <cellStyle name="20% - 强调文字颜色 6 2 2 4 4" xfId="5416"/>
    <cellStyle name="20% - 强调文字颜色 6 2 2 5" xfId="2011"/>
    <cellStyle name="20% - 强调文字颜色 6 2 2 5 2" xfId="4814"/>
    <cellStyle name="20% - 强调文字颜色 6 2 2 5 2 2" xfId="4826"/>
    <cellStyle name="20% - 强调文字颜色 6 2 2 5 2 3" xfId="4832"/>
    <cellStyle name="20% - 强调文字颜色 6 2 2 5 3" xfId="4841"/>
    <cellStyle name="20% - 强调文字颜色 6 2 2 6" xfId="2016"/>
    <cellStyle name="20% - 强调文字颜色 6 2 2 6 2" xfId="4857"/>
    <cellStyle name="20% - 强调文字颜色 6 2 2 6 3" xfId="5419"/>
    <cellStyle name="20% - 强调文字颜色 6 2 2 7" xfId="5427"/>
    <cellStyle name="20% - 强调文字颜色 6 2 3" xfId="5429"/>
    <cellStyle name="20% - 强调文字颜色 6 2 3 2" xfId="845"/>
    <cellStyle name="20% - 强调文字颜色 6 2 3 2 2" xfId="3217"/>
    <cellStyle name="20% - 强调文字颜色 6 2 3 2 2 2" xfId="3224"/>
    <cellStyle name="20% - 强调文字颜色 6 2 3 2 2 2 2" xfId="5016"/>
    <cellStyle name="20% - 强调文字颜色 6 2 3 2 2 2 2 2" xfId="5430"/>
    <cellStyle name="20% - 强调文字颜色 6 2 3 2 2 2 2 3" xfId="5435"/>
    <cellStyle name="20% - 强调文字颜色 6 2 3 2 2 2 3" xfId="5440"/>
    <cellStyle name="20% - 强调文字颜色 6 2 3 2 2 3" xfId="3230"/>
    <cellStyle name="20% - 强调文字颜色 6 2 3 2 2 3 2" xfId="5025"/>
    <cellStyle name="20% - 强调文字颜色 6 2 3 2 2 3 3" xfId="5441"/>
    <cellStyle name="20% - 强调文字颜色 6 2 3 2 2 4" xfId="5442"/>
    <cellStyle name="20% - 强调文字颜色 6 2 3 2 3" xfId="3237"/>
    <cellStyle name="20% - 强调文字颜色 6 2 3 2 3 2" xfId="5444"/>
    <cellStyle name="20% - 强调文字颜色 6 2 3 2 3 2 2" xfId="5077"/>
    <cellStyle name="20% - 强调文字颜色 6 2 3 2 3 2 3" xfId="5451"/>
    <cellStyle name="20% - 强调文字颜色 6 2 3 2 3 3" xfId="5452"/>
    <cellStyle name="20% - 强调文字颜色 6 2 3 2 4" xfId="4396"/>
    <cellStyle name="20% - 强调文字颜色 6 2 3 2 4 2" xfId="37"/>
    <cellStyle name="20% - 强调文字颜色 6 2 3 2 4 3" xfId="394"/>
    <cellStyle name="20% - 强调文字颜色 6 2 3 2 5" xfId="2750"/>
    <cellStyle name="20% - 强调文字颜色 6 2 3 3" xfId="3255"/>
    <cellStyle name="20% - 强调文字颜色 6 2 3 3 2" xfId="1846"/>
    <cellStyle name="20% - 强调文字颜色 6 2 3 3 2 2" xfId="5456"/>
    <cellStyle name="20% - 强调文字颜色 6 2 3 3 2 2 2" xfId="791"/>
    <cellStyle name="20% - 强调文字颜色 6 2 3 3 2 2 3" xfId="5460"/>
    <cellStyle name="20% - 强调文字颜色 6 2 3 3 2 3" xfId="3294"/>
    <cellStyle name="20% - 强调文字颜色 6 2 3 3 3" xfId="3280"/>
    <cellStyle name="20% - 强调文字颜色 6 2 3 3 3 2" xfId="5465"/>
    <cellStyle name="20% - 强调文字颜色 6 2 3 3 3 3" xfId="5469"/>
    <cellStyle name="20% - 强调文字颜色 6 2 3 3 4" xfId="3663"/>
    <cellStyle name="20% - 强调文字颜色 6 2 3 4" xfId="3288"/>
    <cellStyle name="20% - 强调文字颜色 6 2 3 4 2" xfId="5471"/>
    <cellStyle name="20% - 强调文字颜色 6 2 3 4 2 2" xfId="5475"/>
    <cellStyle name="20% - 强调文字颜色 6 2 3 4 2 2 2" xfId="5477"/>
    <cellStyle name="20% - 强调文字颜色 6 2 3 4 2 2 3" xfId="5483"/>
    <cellStyle name="20% - 强调文字颜色 6 2 3 4 2 3" xfId="5491"/>
    <cellStyle name="20% - 强调文字颜色 6 2 3 4 3" xfId="5492"/>
    <cellStyle name="20% - 强调文字颜色 6 2 3 4 3 2" xfId="5497"/>
    <cellStyle name="20% - 强调文字颜色 6 2 3 4 3 3" xfId="5498"/>
    <cellStyle name="20% - 强调文字颜色 6 2 3 4 4" xfId="5499"/>
    <cellStyle name="20% - 强调文字颜色 6 2 3 5" xfId="3186"/>
    <cellStyle name="20% - 强调文字颜色 6 2 3 5 2" xfId="3189"/>
    <cellStyle name="20% - 强调文字颜色 6 2 3 5 2 2" xfId="5506"/>
    <cellStyle name="20% - 强调文字颜色 6 2 3 5 2 3" xfId="5512"/>
    <cellStyle name="20% - 强调文字颜色 6 2 3 5 3" xfId="3202"/>
    <cellStyle name="20% - 强调文字颜色 6 2 3 6" xfId="2300"/>
    <cellStyle name="20% - 强调文字颜色 6 2 3 6 2" xfId="4887"/>
    <cellStyle name="20% - 强调文字颜色 6 2 3 6 3" xfId="5517"/>
    <cellStyle name="20% - 强调文字颜色 6 2 3 7" xfId="2330"/>
    <cellStyle name="20% - 强调文字颜色 6 2 4" xfId="5531"/>
    <cellStyle name="20% - 强调文字颜色 6 2 4 2" xfId="3317"/>
    <cellStyle name="20% - 强调文字颜色 6 2 4 2 2" xfId="3322"/>
    <cellStyle name="20% - 强调文字颜色 6 2 4 2 2 2" xfId="4836"/>
    <cellStyle name="20% - 强调文字颜色 6 2 4 2 2 2 2" xfId="5535"/>
    <cellStyle name="20% - 强调文字颜色 6 2 4 2 2 2 2 2" xfId="5215"/>
    <cellStyle name="20% - 强调文字颜色 6 2 4 2 2 2 2 3" xfId="3613"/>
    <cellStyle name="20% - 强调文字颜色 6 2 4 2 2 2 3" xfId="5536"/>
    <cellStyle name="20% - 强调文字颜色 6 2 4 2 2 3" xfId="5537"/>
    <cellStyle name="20% - 强调文字颜色 6 2 4 2 2 3 2" xfId="5539"/>
    <cellStyle name="20% - 强调文字颜色 6 2 4 2 2 3 3" xfId="5541"/>
    <cellStyle name="20% - 强调文字颜色 6 2 4 2 2 4" xfId="5542"/>
    <cellStyle name="20% - 强调文字颜色 6 2 4 2 3" xfId="3333"/>
    <cellStyle name="20% - 强调文字颜色 6 2 4 2 3 2" xfId="5423"/>
    <cellStyle name="20% - 强调文字颜色 6 2 4 2 3 2 2" xfId="5544"/>
    <cellStyle name="20% - 强调文字颜色 6 2 4 2 3 2 3" xfId="5546"/>
    <cellStyle name="20% - 强调文字颜色 6 2 4 2 3 3" xfId="5547"/>
    <cellStyle name="20% - 强调文字颜色 6 2 4 2 4" xfId="4441"/>
    <cellStyle name="20% - 强调文字颜色 6 2 4 2 4 2" xfId="2072"/>
    <cellStyle name="20% - 强调文字颜色 6 2 4 2 4 3" xfId="1042"/>
    <cellStyle name="20% - 强调文字颜色 6 2 4 2 5" xfId="4451"/>
    <cellStyle name="20% - 强调文字颜色 6 2 4 3" xfId="1728"/>
    <cellStyle name="20% - 强调文字颜色 6 2 4 3 2" xfId="5553"/>
    <cellStyle name="20% - 强调文字颜色 6 2 4 3 2 2" xfId="3201"/>
    <cellStyle name="20% - 强调文字颜色 6 2 4 3 2 2 2" xfId="5555"/>
    <cellStyle name="20% - 强调文字颜色 6 2 4 3 2 2 3" xfId="5558"/>
    <cellStyle name="20% - 强调文字颜色 6 2 4 3 2 3" xfId="5559"/>
    <cellStyle name="20% - 强调文字颜色 6 2 4 3 3" xfId="5563"/>
    <cellStyle name="20% - 强调文字颜色 6 2 4 3 3 2" xfId="5519"/>
    <cellStyle name="20% - 强调文字颜色 6 2 4 3 3 3" xfId="5564"/>
    <cellStyle name="20% - 强调文字颜色 6 2 4 3 4" xfId="5567"/>
    <cellStyle name="20% - 强调文字颜色 6 2 4 4" xfId="972"/>
    <cellStyle name="20% - 强调文字颜色 6 2 4 4 2" xfId="5575"/>
    <cellStyle name="20% - 强调文字颜色 6 2 4 4 2 2" xfId="5576"/>
    <cellStyle name="20% - 强调文字颜色 6 2 4 4 2 2 2" xfId="5583"/>
    <cellStyle name="20% - 强调文字颜色 6 2 4 4 2 2 3" xfId="5584"/>
    <cellStyle name="20% - 强调文字颜色 6 2 4 4 2 3" xfId="5585"/>
    <cellStyle name="20% - 强调文字颜色 6 2 4 4 3" xfId="5596"/>
    <cellStyle name="20% - 强调文字颜色 6 2 4 4 3 2" xfId="5597"/>
    <cellStyle name="20% - 强调文字颜色 6 2 4 4 3 3" xfId="5600"/>
    <cellStyle name="20% - 强调文字颜色 6 2 4 4 4" xfId="5603"/>
    <cellStyle name="20% - 强调文字颜色 6 2 4 5" xfId="976"/>
    <cellStyle name="20% - 强调文字颜色 6 2 4 5 2" xfId="4892"/>
    <cellStyle name="20% - 强调文字颜色 6 2 4 5 2 2" xfId="4341"/>
    <cellStyle name="20% - 强调文字颜色 6 2 4 5 2 3" xfId="5609"/>
    <cellStyle name="20% - 强调文字颜色 6 2 4 5 3" xfId="5578"/>
    <cellStyle name="20% - 强调文字颜色 6 2 4 6" xfId="3211"/>
    <cellStyle name="20% - 强调文字颜色 6 2 4 6 2" xfId="4900"/>
    <cellStyle name="20% - 强调文字颜色 6 2 4 6 3" xfId="5598"/>
    <cellStyle name="20% - 强调文字颜色 6 2 4 7" xfId="5611"/>
    <cellStyle name="20% - 强调文字颜色 6 2 5" xfId="5621"/>
    <cellStyle name="20% - 强调文字颜色 6 2 5 2" xfId="3395"/>
    <cellStyle name="20% - 强调文字颜色 6 2 5 2 2" xfId="3408"/>
    <cellStyle name="20% - 强调文字颜色 6 2 5 2 2 2" xfId="7"/>
    <cellStyle name="20% - 强调文字颜色 6 2 5 2 2 2 2" xfId="5626"/>
    <cellStyle name="20% - 强调文字颜色 6 2 5 2 2 2 3" xfId="5636"/>
    <cellStyle name="20% - 强调文字颜色 6 2 5 2 2 3" xfId="5639"/>
    <cellStyle name="20% - 强调文字颜色 6 2 5 2 3" xfId="3422"/>
    <cellStyle name="20% - 强调文字颜色 6 2 5 2 3 2" xfId="5644"/>
    <cellStyle name="20% - 强调文字颜色 6 2 5 2 3 3" xfId="5645"/>
    <cellStyle name="20% - 强调文字颜色 6 2 5 2 4" xfId="4010"/>
    <cellStyle name="20% - 强调文字颜色 6 2 5 3" xfId="3431"/>
    <cellStyle name="20% - 强调文字颜色 6 2 5 3 2" xfId="5647"/>
    <cellStyle name="20% - 强调文字颜色 6 2 5 3 2 2" xfId="5439"/>
    <cellStyle name="20% - 强调文字颜色 6 2 5 3 2 3" xfId="5651"/>
    <cellStyle name="20% - 强调文字颜色 6 2 5 3 3" xfId="5652"/>
    <cellStyle name="20% - 强调文字颜色 6 2 5 4" xfId="5661"/>
    <cellStyle name="20% - 强调文字颜色 6 2 5 4 2" xfId="202"/>
    <cellStyle name="20% - 强调文字颜色 6 2 5 4 3" xfId="206"/>
    <cellStyle name="20% - 强调文字颜色 6 2 5 5" xfId="3113"/>
    <cellStyle name="20% - 强调文字颜色 6 2 6" xfId="5665"/>
    <cellStyle name="20% - 强调文字颜色 6 2 6 2" xfId="3448"/>
    <cellStyle name="20% - 强调文字颜色 6 2 6 2 2" xfId="5666"/>
    <cellStyle name="20% - 强调文字颜色 6 2 6 2 2 2" xfId="5670"/>
    <cellStyle name="20% - 强调文字颜色 6 2 6 2 2 3" xfId="82"/>
    <cellStyle name="20% - 强调文字颜色 6 2 6 2 3" xfId="5671"/>
    <cellStyle name="20% - 强调文字颜色 6 2 6 3" xfId="5672"/>
    <cellStyle name="20% - 强调文字颜色 6 2 6 3 2" xfId="5673"/>
    <cellStyle name="20% - 强调文字颜色 6 2 6 3 3" xfId="5675"/>
    <cellStyle name="20% - 强调文字颜色 6 2 6 4" xfId="5682"/>
    <cellStyle name="20% - 强调文字颜色 6 2 7" xfId="5685"/>
    <cellStyle name="20% - 强调文字颜色 6 2 7 2" xfId="3465"/>
    <cellStyle name="20% - 强调文字颜色 6 2 7 2 2" xfId="47"/>
    <cellStyle name="20% - 强调文字颜色 6 2 7 2 2 2" xfId="5691"/>
    <cellStyle name="20% - 强调文字颜色 6 2 7 2 2 3" xfId="5697"/>
    <cellStyle name="20% - 强调文字颜色 6 2 7 2 3" xfId="5705"/>
    <cellStyle name="20% - 强调文字颜色 6 2 7 3" xfId="5711"/>
    <cellStyle name="20% - 强调文字颜色 6 2 7 3 2" xfId="5718"/>
    <cellStyle name="20% - 强调文字颜色 6 2 7 3 3" xfId="5728"/>
    <cellStyle name="20% - 强调文字颜色 6 2 7 4" xfId="5740"/>
    <cellStyle name="20% - 强调文字颜色 6 2 8" xfId="3740"/>
    <cellStyle name="20% - 强调文字颜色 6 2 8 2" xfId="5743"/>
    <cellStyle name="20% - 强调文字颜色 6 2 8 2 2" xfId="3990"/>
    <cellStyle name="20% - 强调文字颜色 6 2 8 2 3" xfId="4025"/>
    <cellStyle name="20% - 强调文字颜色 6 2 8 3" xfId="5749"/>
    <cellStyle name="20% - 强调文字颜色 6 2 9" xfId="1341"/>
    <cellStyle name="20% - 强调文字颜色 6 2 9 2" xfId="5754"/>
    <cellStyle name="40% - 强调文字颜色 1 2" xfId="5758"/>
    <cellStyle name="40% - 强调文字颜色 1 2 10" xfId="4381"/>
    <cellStyle name="40% - 强调文字颜色 1 2 2" xfId="5765"/>
    <cellStyle name="40% - 强调文字颜色 1 2 2 2" xfId="5769"/>
    <cellStyle name="40% - 强调文字颜色 1 2 2 2 2" xfId="5780"/>
    <cellStyle name="40% - 强调文字颜色 1 2 2 2 2 2" xfId="5789"/>
    <cellStyle name="40% - 强调文字颜色 1 2 2 2 2 2 2" xfId="5792"/>
    <cellStyle name="40% - 强调文字颜色 1 2 2 2 2 2 2 2" xfId="5796"/>
    <cellStyle name="40% - 强调文字颜色 1 2 2 2 2 2 2 3" xfId="5800"/>
    <cellStyle name="40% - 强调文字颜色 1 2 2 2 2 2 3" xfId="2360"/>
    <cellStyle name="40% - 强调文字颜色 1 2 2 2 2 3" xfId="300"/>
    <cellStyle name="40% - 强调文字颜色 1 2 2 2 2 3 2" xfId="2199"/>
    <cellStyle name="40% - 强调文字颜色 1 2 2 2 2 3 3" xfId="2213"/>
    <cellStyle name="40% - 强调文字颜色 1 2 2 2 2 4" xfId="370"/>
    <cellStyle name="40% - 强调文字颜色 1 2 2 2 3" xfId="5805"/>
    <cellStyle name="40% - 强调文字颜色 1 2 2 2 3 2" xfId="5815"/>
    <cellStyle name="40% - 强调文字颜色 1 2 2 2 3 2 2" xfId="5819"/>
    <cellStyle name="40% - 强调文字颜色 1 2 2 2 3 2 3" xfId="5821"/>
    <cellStyle name="40% - 强调文字颜色 1 2 2 2 3 3" xfId="2241"/>
    <cellStyle name="40% - 强调文字颜色 1 2 2 2 4" xfId="5830"/>
    <cellStyle name="40% - 强调文字颜色 1 2 2 2 4 2" xfId="5834"/>
    <cellStyle name="40% - 强调文字颜色 1 2 2 2 4 3" xfId="5838"/>
    <cellStyle name="40% - 强调文字颜色 1 2 2 2 5" xfId="5839"/>
    <cellStyle name="40% - 强调文字颜色 1 2 2 3" xfId="4640"/>
    <cellStyle name="40% - 强调文字颜色 1 2 2 3 2" xfId="5845"/>
    <cellStyle name="40% - 强调文字颜色 1 2 2 3 2 2" xfId="5847"/>
    <cellStyle name="40% - 强调文字颜色 1 2 2 3 2 2 2" xfId="5853"/>
    <cellStyle name="40% - 强调文字颜色 1 2 2 3 2 2 3" xfId="1094"/>
    <cellStyle name="40% - 强调文字颜色 1 2 2 3 2 3" xfId="1297"/>
    <cellStyle name="40% - 强调文字颜色 1 2 2 3 3" xfId="5861"/>
    <cellStyle name="40% - 强调文字颜色 1 2 2 3 3 2" xfId="5862"/>
    <cellStyle name="40% - 强调文字颜色 1 2 2 3 3 3" xfId="2785"/>
    <cellStyle name="40% - 强调文字颜色 1 2 2 3 4" xfId="407"/>
    <cellStyle name="40% - 强调文字颜色 1 2 2 4" xfId="4653"/>
    <cellStyle name="40% - 强调文字颜色 1 2 2 4 2" xfId="5309"/>
    <cellStyle name="40% - 强调文字颜色 1 2 2 4 2 2" xfId="5314"/>
    <cellStyle name="40% - 强调文字颜色 1 2 2 4 2 2 2" xfId="5331"/>
    <cellStyle name="40% - 强调文字颜色 1 2 2 4 2 2 3" xfId="5342"/>
    <cellStyle name="40% - 强调文字颜色 1 2 2 4 2 3" xfId="5350"/>
    <cellStyle name="40% - 强调文字颜色 1 2 2 4 3" xfId="5375"/>
    <cellStyle name="40% - 强调文字颜色 1 2 2 4 3 2" xfId="5383"/>
    <cellStyle name="40% - 强调文字颜色 1 2 2 4 3 3" xfId="5405"/>
    <cellStyle name="40% - 强调文字颜色 1 2 2 4 4" xfId="2007"/>
    <cellStyle name="40% - 强调文字颜色 1 2 2 5" xfId="5865"/>
    <cellStyle name="40% - 强调文字颜色 1 2 2 5 2" xfId="3248"/>
    <cellStyle name="40% - 强调文字颜色 1 2 2 5 2 2" xfId="1854"/>
    <cellStyle name="40% - 强调文字颜色 1 2 2 5 2 3" xfId="3272"/>
    <cellStyle name="40% - 强调文字颜色 1 2 2 5 3" xfId="3283"/>
    <cellStyle name="40% - 强调文字颜色 1 2 2 6" xfId="1719"/>
    <cellStyle name="40% - 强调文字颜色 1 2 2 6 2" xfId="1738"/>
    <cellStyle name="40% - 强调文字颜色 1 2 2 6 3" xfId="962"/>
    <cellStyle name="40% - 强调文字颜色 1 2 2 7" xfId="1748"/>
    <cellStyle name="40% - 强调文字颜色 1 2 3" xfId="5875"/>
    <cellStyle name="40% - 强调文字颜色 1 2 3 2" xfId="5880"/>
    <cellStyle name="40% - 强调文字颜色 1 2 3 2 2" xfId="5884"/>
    <cellStyle name="40% - 强调文字颜色 1 2 3 2 2 2" xfId="5885"/>
    <cellStyle name="40% - 强调文字颜色 1 2 3 2 2 2 2" xfId="5895"/>
    <cellStyle name="40% - 强调文字颜色 1 2 3 2 2 2 2 2" xfId="5901"/>
    <cellStyle name="40% - 强调文字颜色 1 2 3 2 2 2 2 3" xfId="5907"/>
    <cellStyle name="40% - 强调文字颜色 1 2 3 2 2 2 3" xfId="2664"/>
    <cellStyle name="40% - 强调文字颜色 1 2 3 2 2 3" xfId="5917"/>
    <cellStyle name="40% - 强调文字颜色 1 2 3 2 2 3 2" xfId="2104"/>
    <cellStyle name="40% - 强调文字颜色 1 2 3 2 2 3 3" xfId="2181"/>
    <cellStyle name="40% - 强调文字颜色 1 2 3 2 2 4" xfId="5918"/>
    <cellStyle name="40% - 强调文字颜色 1 2 3 2 3" xfId="5923"/>
    <cellStyle name="40% - 强调文字颜色 1 2 3 2 3 2" xfId="5924"/>
    <cellStyle name="40% - 强调文字颜色 1 2 3 2 3 2 2" xfId="989"/>
    <cellStyle name="40% - 强调文字颜色 1 2 3 2 3 2 3" xfId="5926"/>
    <cellStyle name="40% - 强调文字颜色 1 2 3 2 3 3" xfId="5932"/>
    <cellStyle name="40% - 强调文字颜色 1 2 3 2 4" xfId="5933"/>
    <cellStyle name="40% - 强调文字颜色 1 2 3 2 4 2" xfId="5935"/>
    <cellStyle name="40% - 强调文字颜色 1 2 3 2 4 3" xfId="4568"/>
    <cellStyle name="40% - 强调文字颜色 1 2 3 2 5" xfId="5937"/>
    <cellStyle name="40% - 强调文字颜色 1 2 3 3" xfId="5942"/>
    <cellStyle name="40% - 强调文字颜色 1 2 3 3 2" xfId="5944"/>
    <cellStyle name="40% - 强调文字颜色 1 2 3 3 2 2" xfId="5945"/>
    <cellStyle name="40% - 强调文字颜色 1 2 3 3 2 2 2" xfId="5954"/>
    <cellStyle name="40% - 强调文字颜色 1 2 3 3 2 2 3" xfId="4160"/>
    <cellStyle name="40% - 强调文字颜色 1 2 3 3 2 3" xfId="2208"/>
    <cellStyle name="40% - 强调文字颜色 1 2 3 3 3" xfId="5955"/>
    <cellStyle name="40% - 强调文字颜色 1 2 3 3 3 2" xfId="5958"/>
    <cellStyle name="40% - 强调文字颜色 1 2 3 3 3 3" xfId="5961"/>
    <cellStyle name="40% - 强调文字颜色 1 2 3 3 4" xfId="2044"/>
    <cellStyle name="40% - 强调文字颜色 1 2 3 4" xfId="5963"/>
    <cellStyle name="40% - 强调文字颜色 1 2 3 4 2" xfId="5966"/>
    <cellStyle name="40% - 强调文字颜色 1 2 3 4 2 2" xfId="5969"/>
    <cellStyle name="40% - 强调文字颜色 1 2 3 4 2 2 2" xfId="3672"/>
    <cellStyle name="40% - 强调文字颜色 1 2 3 4 2 2 3" xfId="3760"/>
    <cellStyle name="40% - 强调文字颜色 1 2 3 4 2 3" xfId="5981"/>
    <cellStyle name="40% - 强调文字颜色 1 2 3 4 3" xfId="5990"/>
    <cellStyle name="40% - 强调文字颜色 1 2 3 4 3 2" xfId="5991"/>
    <cellStyle name="40% - 强调文字颜色 1 2 3 4 3 3" xfId="5998"/>
    <cellStyle name="40% - 强调文字颜色 1 2 3 4 4" xfId="6005"/>
    <cellStyle name="40% - 强调文字颜色 1 2 3 5" xfId="4627"/>
    <cellStyle name="40% - 强调文字颜色 1 2 3 5 2" xfId="3531"/>
    <cellStyle name="40% - 强调文字颜色 1 2 3 5 2 2" xfId="3546"/>
    <cellStyle name="40% - 强调文字颜色 1 2 3 5 2 3" xfId="3562"/>
    <cellStyle name="40% - 强调文字颜色 1 2 3 5 3" xfId="3567"/>
    <cellStyle name="40% - 强调文字颜色 1 2 3 6" xfId="1766"/>
    <cellStyle name="40% - 强调文字颜色 1 2 3 6 2" xfId="3607"/>
    <cellStyle name="40% - 强调文字颜色 1 2 3 6 3" xfId="4666"/>
    <cellStyle name="40% - 强调文字颜色 1 2 3 7" xfId="1774"/>
    <cellStyle name="40% - 强调文字颜色 1 2 4" xfId="5045"/>
    <cellStyle name="40% - 强调文字颜色 1 2 4 2" xfId="5056"/>
    <cellStyle name="40% - 强调文字颜色 1 2 4 2 2" xfId="5065"/>
    <cellStyle name="40% - 强调文字颜色 1 2 4 2 2 2" xfId="6006"/>
    <cellStyle name="40% - 强调文字颜色 1 2 4 2 2 2 2" xfId="4351"/>
    <cellStyle name="40% - 强调文字颜色 1 2 4 2 2 2 2 2" xfId="4361"/>
    <cellStyle name="40% - 强调文字颜色 1 2 4 2 2 2 2 3" xfId="4377"/>
    <cellStyle name="40% - 强调文字颜色 1 2 4 2 2 2 3" xfId="4383"/>
    <cellStyle name="40% - 强调文字颜色 1 2 4 2 2 3" xfId="6008"/>
    <cellStyle name="40% - 强调文字颜色 1 2 4 2 2 3 2" xfId="2749"/>
    <cellStyle name="40% - 强调文字颜色 1 2 4 2 2 3 3" xfId="24"/>
    <cellStyle name="40% - 强调文字颜色 1 2 4 2 2 4" xfId="6012"/>
    <cellStyle name="40% - 强调文字颜色 1 2 4 2 3" xfId="3020"/>
    <cellStyle name="40% - 强调文字颜色 1 2 4 2 3 2" xfId="1245"/>
    <cellStyle name="40% - 强调文字颜色 1 2 4 2 3 2 2" xfId="4436"/>
    <cellStyle name="40% - 强调文字颜色 1 2 4 2 3 2 3" xfId="5172"/>
    <cellStyle name="40% - 强调文字颜色 1 2 4 2 3 3" xfId="2769"/>
    <cellStyle name="40% - 强调文字颜色 1 2 4 2 4" xfId="3033"/>
    <cellStyle name="40% - 强调文字颜色 1 2 4 2 4 2" xfId="6017"/>
    <cellStyle name="40% - 强调文字颜色 1 2 4 2 4 3" xfId="6023"/>
    <cellStyle name="40% - 强调文字颜色 1 2 4 2 5" xfId="4130"/>
    <cellStyle name="40% - 强调文字颜色 1 2 4 3" xfId="5079"/>
    <cellStyle name="40% - 强调文字颜色 1 2 4 3 2" xfId="6030"/>
    <cellStyle name="40% - 强调文字颜色 1 2 4 3 2 2" xfId="6035"/>
    <cellStyle name="40% - 强调文字颜色 1 2 4 3 2 2 2" xfId="4511"/>
    <cellStyle name="40% - 强调文字颜色 1 2 4 3 2 2 3" xfId="5141"/>
    <cellStyle name="40% - 强调文字颜色 1 2 4 3 2 3" xfId="1300"/>
    <cellStyle name="40% - 强调文字颜色 1 2 4 3 3" xfId="1801"/>
    <cellStyle name="40% - 强调文字颜色 1 2 4 3 3 2" xfId="6036"/>
    <cellStyle name="40% - 强调文字颜色 1 2 4 3 3 3" xfId="1642"/>
    <cellStyle name="40% - 强调文字颜色 1 2 4 3 4" xfId="1809"/>
    <cellStyle name="40% - 强调文字颜色 1 2 4 4" xfId="5447"/>
    <cellStyle name="40% - 强调文字颜色 1 2 4 4 2" xfId="6039"/>
    <cellStyle name="40% - 强调文字颜色 1 2 4 4 2 2" xfId="1368"/>
    <cellStyle name="40% - 强调文字颜色 1 2 4 4 2 2 2" xfId="4544"/>
    <cellStyle name="40% - 强调文字颜色 1 2 4 4 2 2 3" xfId="5233"/>
    <cellStyle name="40% - 强调文字颜色 1 2 4 4 2 3" xfId="6043"/>
    <cellStyle name="40% - 强调文字颜色 1 2 4 4 3" xfId="6053"/>
    <cellStyle name="40% - 强调文字颜色 1 2 4 4 3 2" xfId="2825"/>
    <cellStyle name="40% - 强调文字颜色 1 2 4 4 3 3" xfId="6055"/>
    <cellStyle name="40% - 强调文字颜色 1 2 4 4 4" xfId="6064"/>
    <cellStyle name="40% - 强调文字颜色 1 2 4 5" xfId="4679"/>
    <cellStyle name="40% - 强调文字颜色 1 2 4 5 2" xfId="3718"/>
    <cellStyle name="40% - 强调文字颜色 1 2 4 5 2 2" xfId="4686"/>
    <cellStyle name="40% - 强调文字颜色 1 2 4 5 2 3" xfId="4696"/>
    <cellStyle name="40% - 强调文字颜色 1 2 4 5 3" xfId="4703"/>
    <cellStyle name="40% - 强调文字颜色 1 2 4 6" xfId="4707"/>
    <cellStyle name="40% - 强调文字颜色 1 2 4 6 2" xfId="429"/>
    <cellStyle name="40% - 强调文字颜色 1 2 4 6 3" xfId="448"/>
    <cellStyle name="40% - 强调文字颜色 1 2 4 7" xfId="4713"/>
    <cellStyle name="40% - 强调文字颜色 1 2 5" xfId="5088"/>
    <cellStyle name="40% - 强调文字颜色 1 2 5 2" xfId="5100"/>
    <cellStyle name="40% - 强调文字颜色 1 2 5 2 2" xfId="6065"/>
    <cellStyle name="40% - 强调文字颜色 1 2 5 2 2 2" xfId="1537"/>
    <cellStyle name="40% - 强调文字颜色 1 2 5 2 2 2 2" xfId="4740"/>
    <cellStyle name="40% - 强调文字颜色 1 2 5 2 2 2 3" xfId="4751"/>
    <cellStyle name="40% - 强调文字颜色 1 2 5 2 2 3" xfId="4758"/>
    <cellStyle name="40% - 强调文字颜色 1 2 5 2 3" xfId="3070"/>
    <cellStyle name="40% - 强调文字颜色 1 2 5 2 3 2" xfId="1563"/>
    <cellStyle name="40% - 强调文字颜色 1 2 5 2 3 3" xfId="6067"/>
    <cellStyle name="40% - 强调文字颜色 1 2 5 2 4" xfId="273"/>
    <cellStyle name="40% - 强调文字颜色 1 2 5 3" xfId="472"/>
    <cellStyle name="40% - 强调文字颜色 1 2 5 3 2" xfId="6075"/>
    <cellStyle name="40% - 强调文字颜色 1 2 5 3 2 2" xfId="156"/>
    <cellStyle name="40% - 强调文字颜色 1 2 5 3 2 3" xfId="2639"/>
    <cellStyle name="40% - 强调文字颜色 1 2 5 3 3" xfId="541"/>
    <cellStyle name="40% - 强调文字颜色 1 2 5 4" xfId="6077"/>
    <cellStyle name="40% - 强调文字颜色 1 2 5 4 2" xfId="6083"/>
    <cellStyle name="40% - 强调文字颜色 1 2 5 4 3" xfId="6094"/>
    <cellStyle name="40% - 强调文字颜色 1 2 5 5" xfId="1491"/>
    <cellStyle name="40% - 强调文字颜色 1 2 6" xfId="5113"/>
    <cellStyle name="40% - 强调文字颜色 1 2 6 2" xfId="6103"/>
    <cellStyle name="40% - 强调文字颜色 1 2 6 2 2" xfId="6105"/>
    <cellStyle name="40% - 强调文字颜色 1 2 6 2 2 2" xfId="6109"/>
    <cellStyle name="40% - 强调文字颜色 1 2 6 2 2 3" xfId="6110"/>
    <cellStyle name="40% - 强调文字颜色 1 2 6 2 3" xfId="247"/>
    <cellStyle name="40% - 强调文字颜色 1 2 6 3" xfId="6113"/>
    <cellStyle name="40% - 强调文字颜色 1 2 6 3 2" xfId="6118"/>
    <cellStyle name="40% - 强调文字颜色 1 2 6 3 3" xfId="6122"/>
    <cellStyle name="40% - 强调文字颜色 1 2 6 4" xfId="6126"/>
    <cellStyle name="40% - 强调文字颜色 1 2 7" xfId="6132"/>
    <cellStyle name="40% - 强调文字颜色 1 2 7 2" xfId="6133"/>
    <cellStyle name="40% - 强调文字颜色 1 2 7 2 2" xfId="6135"/>
    <cellStyle name="40% - 强调文字颜色 1 2 7 2 2 2" xfId="6136"/>
    <cellStyle name="40% - 强调文字颜色 1 2 7 2 2 3" xfId="6137"/>
    <cellStyle name="40% - 强调文字颜色 1 2 7 2 3" xfId="6140"/>
    <cellStyle name="40% - 强调文字颜色 1 2 7 3" xfId="6141"/>
    <cellStyle name="40% - 强调文字颜色 1 2 7 3 2" xfId="6146"/>
    <cellStyle name="40% - 强调文字颜色 1 2 7 3 3" xfId="6148"/>
    <cellStyle name="40% - 强调文字颜色 1 2 7 4" xfId="6149"/>
    <cellStyle name="40% - 强调文字颜色 1 2 8" xfId="6155"/>
    <cellStyle name="40% - 强调文字颜色 1 2 8 2" xfId="6158"/>
    <cellStyle name="40% - 强调文字颜色 1 2 8 2 2" xfId="6163"/>
    <cellStyle name="40% - 强调文字颜色 1 2 8 2 3" xfId="6166"/>
    <cellStyle name="40% - 强调文字颜色 1 2 8 3" xfId="6170"/>
    <cellStyle name="40% - 强调文字颜色 1 2 9" xfId="295"/>
    <cellStyle name="40% - 强调文字颜色 1 2 9 2" xfId="2206"/>
    <cellStyle name="40% - 强调文字颜色 2 2" xfId="6175"/>
    <cellStyle name="40% - 强调文字颜色 2 2 10" xfId="1683"/>
    <cellStyle name="40% - 强调文字颜色 2 2 2" xfId="921"/>
    <cellStyle name="40% - 强调文字颜色 2 2 2 2" xfId="6180"/>
    <cellStyle name="40% - 强调文字颜色 2 2 2 2 2" xfId="6186"/>
    <cellStyle name="40% - 强调文字颜色 2 2 2 2 2 2" xfId="6196"/>
    <cellStyle name="40% - 强调文字颜色 2 2 2 2 2 2 2" xfId="964"/>
    <cellStyle name="40% - 强调文字颜色 2 2 2 2 2 2 2 2" xfId="5571"/>
    <cellStyle name="40% - 强调文字颜色 2 2 2 2 2 2 2 3" xfId="5592"/>
    <cellStyle name="40% - 强调文字颜色 2 2 2 2 2 2 3" xfId="982"/>
    <cellStyle name="40% - 强调文字颜色 2 2 2 2 2 3" xfId="6201"/>
    <cellStyle name="40% - 强调文字颜色 2 2 2 2 2 3 2" xfId="5658"/>
    <cellStyle name="40% - 强调文字颜色 2 2 2 2 2 3 3" xfId="3108"/>
    <cellStyle name="40% - 强调文字颜色 2 2 2 2 2 4" xfId="6205"/>
    <cellStyle name="40% - 强调文字颜色 2 2 2 2 3" xfId="6210"/>
    <cellStyle name="40% - 强调文字颜色 2 2 2 2 3 2" xfId="6219"/>
    <cellStyle name="40% - 强调文字颜色 2 2 2 2 3 2 2" xfId="4668"/>
    <cellStyle name="40% - 强调文字颜色 2 2 2 2 3 2 3" xfId="5445"/>
    <cellStyle name="40% - 强调文字颜色 2 2 2 2 3 3" xfId="6220"/>
    <cellStyle name="40% - 强调文字颜色 2 2 2 2 4" xfId="486"/>
    <cellStyle name="40% - 强调文字颜色 2 2 2 2 4 2" xfId="6223"/>
    <cellStyle name="40% - 强调文字颜色 2 2 2 2 4 3" xfId="6228"/>
    <cellStyle name="40% - 强调文字颜色 2 2 2 2 5" xfId="569"/>
    <cellStyle name="40% - 强调文字颜色 2 2 2 3" xfId="6241"/>
    <cellStyle name="40% - 强调文字颜色 2 2 2 3 2" xfId="6246"/>
    <cellStyle name="40% - 强调文字颜色 2 2 2 3 2 2" xfId="505"/>
    <cellStyle name="40% - 强调文字颜色 2 2 2 3 2 2 2" xfId="6254"/>
    <cellStyle name="40% - 强调文字颜色 2 2 2 3 2 2 3" xfId="6256"/>
    <cellStyle name="40% - 强调文字颜色 2 2 2 3 2 3" xfId="6257"/>
    <cellStyle name="40% - 强调文字颜色 2 2 2 3 3" xfId="6262"/>
    <cellStyle name="40% - 强调文字颜色 2 2 2 3 3 2" xfId="2013"/>
    <cellStyle name="40% - 强调文字颜色 2 2 2 3 3 3" xfId="5428"/>
    <cellStyle name="40% - 强调文字颜色 2 2 2 3 4" xfId="2295"/>
    <cellStyle name="40% - 强调文字颜色 2 2 2 4" xfId="6274"/>
    <cellStyle name="40% - 强调文字颜色 2 2 2 4 2" xfId="6276"/>
    <cellStyle name="40% - 强调文字颜色 2 2 2 4 2 2" xfId="2057"/>
    <cellStyle name="40% - 强调文字颜色 2 2 2 4 2 2 2" xfId="6283"/>
    <cellStyle name="40% - 强调文字颜色 2 2 2 4 2 2 3" xfId="6289"/>
    <cellStyle name="40% - 强调文字颜色 2 2 2 4 2 3" xfId="6290"/>
    <cellStyle name="40% - 强调文字颜色 2 2 2 4 3" xfId="5793"/>
    <cellStyle name="40% - 强调文字颜色 2 2 2 4 3 2" xfId="5797"/>
    <cellStyle name="40% - 强调文字颜色 2 2 2 4 3 3" xfId="5802"/>
    <cellStyle name="40% - 强调文字颜色 2 2 2 4 4" xfId="2359"/>
    <cellStyle name="40% - 强调文字颜色 2 2 2 5" xfId="6298"/>
    <cellStyle name="40% - 强调文字颜色 2 2 2 5 2" xfId="129"/>
    <cellStyle name="40% - 强调文字颜色 2 2 2 5 2 2" xfId="4145"/>
    <cellStyle name="40% - 强调文字颜色 2 2 2 5 2 3" xfId="4165"/>
    <cellStyle name="40% - 强调文字颜色 2 2 2 5 3" xfId="2198"/>
    <cellStyle name="40% - 强调文字颜色 2 2 2 6" xfId="6302"/>
    <cellStyle name="40% - 强调文字颜色 2 2 2 6 2" xfId="4207"/>
    <cellStyle name="40% - 强调文字颜色 2 2 2 6 3" xfId="6307"/>
    <cellStyle name="40% - 强调文字颜色 2 2 2 7" xfId="6311"/>
    <cellStyle name="40% - 强调文字颜色 2 2 3" xfId="6319"/>
    <cellStyle name="40% - 强调文字颜色 2 2 3 2" xfId="6324"/>
    <cellStyle name="40% - 强调文字颜色 2 2 3 2 2" xfId="64"/>
    <cellStyle name="40% - 强调文字颜色 2 2 3 2 2 2" xfId="371"/>
    <cellStyle name="40% - 强调文字颜色 2 2 3 2 2 2 2" xfId="6309"/>
    <cellStyle name="40% - 强调文字颜色 2 2 3 2 2 2 2 2" xfId="6328"/>
    <cellStyle name="40% - 强调文字颜色 2 2 3 2 2 2 2 3" xfId="6330"/>
    <cellStyle name="40% - 强调文字颜色 2 2 3 2 2 2 3" xfId="3502"/>
    <cellStyle name="40% - 强调文字颜色 2 2 3 2 2 3" xfId="6332"/>
    <cellStyle name="40% - 强调文字颜色 2 2 3 2 2 3 2" xfId="6335"/>
    <cellStyle name="40% - 强调文字颜色 2 2 3 2 2 3 3" xfId="3379"/>
    <cellStyle name="40% - 强调文字颜色 2 2 3 2 2 4" xfId="6336"/>
    <cellStyle name="40% - 强调文字颜色 2 2 3 2 3" xfId="6345"/>
    <cellStyle name="40% - 强调文字颜色 2 2 3 2 3 2" xfId="2253"/>
    <cellStyle name="40% - 强调文字颜色 2 2 3 2 3 2 2" xfId="437"/>
    <cellStyle name="40% - 强调文字颜色 2 2 3 2 3 2 3" xfId="6347"/>
    <cellStyle name="40% - 强调文字颜色 2 2 3 2 3 3" xfId="6349"/>
    <cellStyle name="40% - 强调文字颜色 2 2 3 2 4" xfId="4597"/>
    <cellStyle name="40% - 强调文字颜色 2 2 3 2 4 2" xfId="4602"/>
    <cellStyle name="40% - 强调文字颜色 2 2 3 2 4 3" xfId="4791"/>
    <cellStyle name="40% - 强调文字颜色 2 2 3 2 5" xfId="6353"/>
    <cellStyle name="40% - 强调文字颜色 2 2 3 3" xfId="6362"/>
    <cellStyle name="40% - 强调文字颜色 2 2 3 3 2" xfId="6364"/>
    <cellStyle name="40% - 强调文字颜色 2 2 3 3 2 2" xfId="1635"/>
    <cellStyle name="40% - 强调文字颜色 2 2 3 3 2 2 2" xfId="6367"/>
    <cellStyle name="40% - 强调文字颜色 2 2 3 3 2 2 3" xfId="6370"/>
    <cellStyle name="40% - 强调文字颜色 2 2 3 3 2 3" xfId="6373"/>
    <cellStyle name="40% - 强调文字颜色 2 2 3 3 3" xfId="6374"/>
    <cellStyle name="40% - 强调文字颜色 2 2 3 3 3 2" xfId="2802"/>
    <cellStyle name="40% - 强调文字颜色 2 2 3 3 3 3" xfId="6378"/>
    <cellStyle name="40% - 强调文字颜色 2 2 3 3 4" xfId="2387"/>
    <cellStyle name="40% - 强调文字颜色 2 2 3 4" xfId="6380"/>
    <cellStyle name="40% - 强调文字颜色 2 2 3 4 2" xfId="6382"/>
    <cellStyle name="40% - 强调文字颜色 2 2 3 4 2 2" xfId="5364"/>
    <cellStyle name="40% - 强调文字颜色 2 2 3 4 2 2 2" xfId="6385"/>
    <cellStyle name="40% - 强调文字颜色 2 2 3 4 2 2 3" xfId="6392"/>
    <cellStyle name="40% - 强调文字颜色 2 2 3 4 2 3" xfId="6394"/>
    <cellStyle name="40% - 强调文字颜色 2 2 3 4 3" xfId="5820"/>
    <cellStyle name="40% - 强调文字颜色 2 2 3 4 3 2" xfId="5415"/>
    <cellStyle name="40% - 强调文字颜色 2 2 3 4 3 3" xfId="6401"/>
    <cellStyle name="40% - 强调文字颜色 2 2 3 4 4" xfId="5823"/>
    <cellStyle name="40% - 强调文字颜色 2 2 3 5" xfId="6403"/>
    <cellStyle name="40% - 强调文字颜色 2 2 3 5 2" xfId="4410"/>
    <cellStyle name="40% - 强调文字颜色 2 2 3 5 2 2" xfId="3667"/>
    <cellStyle name="40% - 强调文字颜色 2 2 3 5 2 3" xfId="3754"/>
    <cellStyle name="40% - 强调文字颜色 2 2 3 5 3" xfId="4416"/>
    <cellStyle name="40% - 强调文字颜色 2 2 3 6" xfId="6405"/>
    <cellStyle name="40% - 强调文字颜色 2 2 3 6 2" xfId="410"/>
    <cellStyle name="40% - 强调文字颜色 2 2 3 6 3" xfId="435"/>
    <cellStyle name="40% - 强调文字颜色 2 2 3 7" xfId="6409"/>
    <cellStyle name="40% - 强调文字颜色 2 2 4" xfId="5184"/>
    <cellStyle name="40% - 强调文字颜色 2 2 4 2" xfId="6413"/>
    <cellStyle name="40% - 强调文字颜色 2 2 4 2 2" xfId="177"/>
    <cellStyle name="40% - 强调文字颜色 2 2 4 2 2 2" xfId="5919"/>
    <cellStyle name="40% - 强调文字颜色 2 2 4 2 2 2 2" xfId="2459"/>
    <cellStyle name="40% - 强调文字颜色 2 2 4 2 2 2 2 2" xfId="2461"/>
    <cellStyle name="40% - 强调文字颜色 2 2 4 2 2 2 2 3" xfId="2498"/>
    <cellStyle name="40% - 强调文字颜色 2 2 4 2 2 2 3" xfId="2544"/>
    <cellStyle name="40% - 强调文字颜色 2 2 4 2 2 3" xfId="6419"/>
    <cellStyle name="40% - 强调文字颜色 2 2 4 2 2 3 2" xfId="2672"/>
    <cellStyle name="40% - 强调文字颜色 2 2 4 2 2 3 3" xfId="2737"/>
    <cellStyle name="40% - 强调文字颜色 2 2 4 2 2 4" xfId="6424"/>
    <cellStyle name="40% - 强调文字颜色 2 2 4 2 3" xfId="3907"/>
    <cellStyle name="40% - 强调文字颜色 2 2 4 2 3 2" xfId="6432"/>
    <cellStyle name="40% - 强调文字颜色 2 2 4 2 3 2 2" xfId="6440"/>
    <cellStyle name="40% - 强调文字颜色 2 2 4 2 3 2 3" xfId="6446"/>
    <cellStyle name="40% - 强调文字颜色 2 2 4 2 3 3" xfId="6450"/>
    <cellStyle name="40% - 强调文字颜色 2 2 4 2 4" xfId="6455"/>
    <cellStyle name="40% - 强调文字颜色 2 2 4 2 4 2" xfId="4585"/>
    <cellStyle name="40% - 强调文字颜色 2 2 4 2 4 3" xfId="15"/>
    <cellStyle name="40% - 强调文字颜色 2 2 4 2 5" xfId="6464"/>
    <cellStyle name="40% - 强调文字颜色 2 2 4 3" xfId="6467"/>
    <cellStyle name="40% - 强调文字颜色 2 2 4 3 2" xfId="6472"/>
    <cellStyle name="40% - 强调文字颜色 2 2 4 3 2 2" xfId="2219"/>
    <cellStyle name="40% - 强调文字颜色 2 2 4 3 2 2 2" xfId="3301"/>
    <cellStyle name="40% - 强调文字颜色 2 2 4 3 2 2 3" xfId="3353"/>
    <cellStyle name="40% - 强调文字颜色 2 2 4 3 2 3" xfId="619"/>
    <cellStyle name="40% - 强调文字颜色 2 2 4 3 3" xfId="6483"/>
    <cellStyle name="40% - 强调文字颜色 2 2 4 3 3 2" xfId="6489"/>
    <cellStyle name="40% - 强调文字颜色 2 2 4 3 3 3" xfId="718"/>
    <cellStyle name="40% - 强调文字颜色 2 2 4 3 4" xfId="6493"/>
    <cellStyle name="40% - 强调文字颜色 2 2 4 4" xfId="6494"/>
    <cellStyle name="40% - 强调文字颜色 2 2 4 4 2" xfId="6499"/>
    <cellStyle name="40% - 强调文字颜色 2 2 4 4 2 2" xfId="6500"/>
    <cellStyle name="40% - 强调文字颜色 2 2 4 4 2 2 2" xfId="4166"/>
    <cellStyle name="40% - 强调文字颜色 2 2 4 4 2 2 3" xfId="4210"/>
    <cellStyle name="40% - 强调文字颜色 2 2 4 4 2 3" xfId="1106"/>
    <cellStyle name="40% - 强调文字颜色 2 2 4 4 3" xfId="6511"/>
    <cellStyle name="40% - 强调文字颜色 2 2 4 4 3 2" xfId="6517"/>
    <cellStyle name="40% - 强调文字颜色 2 2 4 4 3 3" xfId="1176"/>
    <cellStyle name="40% - 强调文字颜色 2 2 4 4 4" xfId="6521"/>
    <cellStyle name="40% - 强调文字颜色 2 2 4 5" xfId="6522"/>
    <cellStyle name="40% - 强调文字颜色 2 2 4 5 2" xfId="3548"/>
    <cellStyle name="40% - 强调文字颜色 2 2 4 5 2 2" xfId="6524"/>
    <cellStyle name="40% - 强调文字颜色 2 2 4 5 2 3" xfId="1416"/>
    <cellStyle name="40% - 强调文字颜色 2 2 4 5 3" xfId="6532"/>
    <cellStyle name="40% - 强调文字颜色 2 2 4 6" xfId="6535"/>
    <cellStyle name="40% - 强调文字颜色 2 2 4 6 2" xfId="6537"/>
    <cellStyle name="40% - 强调文字颜色 2 2 4 6 3" xfId="4622"/>
    <cellStyle name="40% - 强调文字颜色 2 2 4 7" xfId="6538"/>
    <cellStyle name="40% - 强调文字颜色 2 2 5" xfId="4718"/>
    <cellStyle name="40% - 强调文字颜色 2 2 5 2" xfId="6540"/>
    <cellStyle name="40% - 强调文字颜色 2 2 5 2 2" xfId="6545"/>
    <cellStyle name="40% - 强调文字颜色 2 2 5 2 2 2" xfId="6014"/>
    <cellStyle name="40% - 强调文字颜色 2 2 5 2 2 2 2" xfId="3750"/>
    <cellStyle name="40% - 强调文字颜色 2 2 5 2 2 2 3" xfId="6550"/>
    <cellStyle name="40% - 强调文字颜色 2 2 5 2 2 3" xfId="6552"/>
    <cellStyle name="40% - 强调文字颜色 2 2 5 2 3" xfId="6555"/>
    <cellStyle name="40% - 强调文字颜色 2 2 5 2 3 2" xfId="6556"/>
    <cellStyle name="40% - 强调文字颜色 2 2 5 2 3 3" xfId="6562"/>
    <cellStyle name="40% - 强调文字颜色 2 2 5 2 4" xfId="6567"/>
    <cellStyle name="40% - 强调文字颜色 2 2 5 3" xfId="6569"/>
    <cellStyle name="40% - 强调文字颜色 2 2 5 3 2" xfId="6575"/>
    <cellStyle name="40% - 强调文字颜色 2 2 5 3 2 2" xfId="1412"/>
    <cellStyle name="40% - 强调文字颜色 2 2 5 3 2 3" xfId="1477"/>
    <cellStyle name="40% - 强调文字颜色 2 2 5 3 3" xfId="6577"/>
    <cellStyle name="40% - 强调文字颜色 2 2 5 4" xfId="6578"/>
    <cellStyle name="40% - 强调文字颜色 2 2 5 4 2" xfId="6586"/>
    <cellStyle name="40% - 强调文字颜色 2 2 5 4 3" xfId="6590"/>
    <cellStyle name="40% - 强调文字颜色 2 2 5 5" xfId="6591"/>
    <cellStyle name="40% - 强调文字颜色 2 2 6" xfId="4730"/>
    <cellStyle name="40% - 强调文字颜色 2 2 6 2" xfId="6594"/>
    <cellStyle name="40% - 强调文字颜色 2 2 6 2 2" xfId="6598"/>
    <cellStyle name="40% - 强调文字颜色 2 2 6 2 2 2" xfId="6601"/>
    <cellStyle name="40% - 强调文字颜色 2 2 6 2 2 3" xfId="6603"/>
    <cellStyle name="40% - 强调文字颜色 2 2 6 2 3" xfId="6605"/>
    <cellStyle name="40% - 强调文字颜色 2 2 6 3" xfId="6609"/>
    <cellStyle name="40% - 强调文字颜色 2 2 6 3 2" xfId="6421"/>
    <cellStyle name="40% - 强调文字颜色 2 2 6 3 3" xfId="6423"/>
    <cellStyle name="40% - 强调文字颜色 2 2 6 4" xfId="6612"/>
    <cellStyle name="40% - 强调文字颜色 2 2 7" xfId="525"/>
    <cellStyle name="40% - 强调文字颜色 2 2 7 2" xfId="456"/>
    <cellStyle name="40% - 强调文字颜色 2 2 7 2 2" xfId="539"/>
    <cellStyle name="40% - 强调文字颜色 2 2 7 2 2 2" xfId="498"/>
    <cellStyle name="40% - 强调文字颜色 2 2 7 2 2 3" xfId="501"/>
    <cellStyle name="40% - 强调文字颜色 2 2 7 2 3" xfId="573"/>
    <cellStyle name="40% - 强调文字颜色 2 2 7 3" xfId="608"/>
    <cellStyle name="40% - 强调文字颜色 2 2 7 3 2" xfId="621"/>
    <cellStyle name="40% - 强调文字颜色 2 2 7 3 3" xfId="659"/>
    <cellStyle name="40% - 强调文字颜色 2 2 7 4" xfId="709"/>
    <cellStyle name="40% - 强调文字颜色 2 2 8" xfId="915"/>
    <cellStyle name="40% - 强调文字颜色 2 2 8 2" xfId="931"/>
    <cellStyle name="40% - 强调文字颜色 2 2 8 2 2" xfId="934"/>
    <cellStyle name="40% - 强调文字颜色 2 2 8 2 3" xfId="1029"/>
    <cellStyle name="40% - 强调文字颜色 2 2 8 3" xfId="1101"/>
    <cellStyle name="40% - 强调文字颜色 2 2 9" xfId="1293"/>
    <cellStyle name="40% - 强调文字颜色 2 2 9 2" xfId="1305"/>
    <cellStyle name="40% - 强调文字颜色 3 2" xfId="6616"/>
    <cellStyle name="40% - 强调文字颜色 3 2 10" xfId="6620"/>
    <cellStyle name="40% - 强调文字颜色 3 2 2" xfId="5212"/>
    <cellStyle name="40% - 强调文字颜色 3 2 2 2" xfId="6629"/>
    <cellStyle name="40% - 强调文字颜色 3 2 2 2 2" xfId="6639"/>
    <cellStyle name="40% - 强调文字颜色 3 2 2 2 2 2" xfId="6646"/>
    <cellStyle name="40% - 强调文字颜色 3 2 2 2 2 2 2" xfId="6340"/>
    <cellStyle name="40% - 强调文字颜色 3 2 2 2 2 2 2 2" xfId="6660"/>
    <cellStyle name="40% - 强调文字颜色 3 2 2 2 2 2 2 3" xfId="6668"/>
    <cellStyle name="40% - 强调文字颜色 3 2 2 2 2 2 3" xfId="4110"/>
    <cellStyle name="40% - 强调文字颜色 3 2 2 2 2 3" xfId="6674"/>
    <cellStyle name="40% - 强调文字颜色 3 2 2 2 2 3 2" xfId="6680"/>
    <cellStyle name="40% - 强调文字颜色 3 2 2 2 2 3 3" xfId="4004"/>
    <cellStyle name="40% - 强调文字颜色 3 2 2 2 2 4" xfId="6682"/>
    <cellStyle name="40% - 强调文字颜色 3 2 2 2 3" xfId="6696"/>
    <cellStyle name="40% - 强调文字颜色 3 2 2 2 3 2" xfId="1915"/>
    <cellStyle name="40% - 强调文字颜色 3 2 2 2 3 2 2" xfId="6702"/>
    <cellStyle name="40% - 强调文字颜色 3 2 2 2 3 2 3" xfId="6708"/>
    <cellStyle name="40% - 强调文字颜色 3 2 2 2 3 3" xfId="6713"/>
    <cellStyle name="40% - 强调文字颜色 3 2 2 2 4" xfId="1016"/>
    <cellStyle name="40% - 强调文字颜色 3 2 2 2 4 2" xfId="6720"/>
    <cellStyle name="40% - 强调文字颜色 3 2 2 2 4 3" xfId="6723"/>
    <cellStyle name="40% - 强调文字颜色 3 2 2 2 5" xfId="227"/>
    <cellStyle name="40% - 强调文字颜色 3 2 2 3" xfId="6734"/>
    <cellStyle name="40% - 强调文字颜色 3 2 2 3 2" xfId="1819"/>
    <cellStyle name="40% - 强调文字颜色 3 2 2 3 2 2" xfId="6740"/>
    <cellStyle name="40% - 强调文字颜色 3 2 2 3 2 2 2" xfId="6428"/>
    <cellStyle name="40% - 强调文字颜色 3 2 2 3 2 2 3" xfId="6746"/>
    <cellStyle name="40% - 强调文字颜色 3 2 2 3 2 3" xfId="6751"/>
    <cellStyle name="40% - 强调文字颜色 3 2 2 3 3" xfId="6758"/>
    <cellStyle name="40% - 强调文字颜色 3 2 2 3 3 2" xfId="5266"/>
    <cellStyle name="40% - 强调文字颜色 3 2 2 3 3 3" xfId="6763"/>
    <cellStyle name="40% - 强调文字颜色 3 2 2 3 4" xfId="753"/>
    <cellStyle name="40% - 强调文字颜色 3 2 2 4" xfId="6772"/>
    <cellStyle name="40% - 强调文字颜色 3 2 2 4 2" xfId="1659"/>
    <cellStyle name="40% - 强调文字颜色 3 2 2 4 2 2" xfId="6780"/>
    <cellStyle name="40% - 强调文字颜色 3 2 2 4 2 2 2" xfId="56"/>
    <cellStyle name="40% - 强调文字颜色 3 2 2 4 2 2 3" xfId="6791"/>
    <cellStyle name="40% - 强调文字颜色 3 2 2 4 2 3" xfId="6798"/>
    <cellStyle name="40% - 强调文字颜色 3 2 2 4 3" xfId="5896"/>
    <cellStyle name="40% - 强调文字颜色 3 2 2 4 3 2" xfId="5902"/>
    <cellStyle name="40% - 强调文字颜色 3 2 2 4 3 3" xfId="5911"/>
    <cellStyle name="40% - 强调文字颜色 3 2 2 4 4" xfId="2663"/>
    <cellStyle name="40% - 强调文字颜色 3 2 2 5" xfId="1965"/>
    <cellStyle name="40% - 强调文字颜色 3 2 2 5 2" xfId="1689"/>
    <cellStyle name="40% - 强调文字颜色 3 2 2 5 2 2" xfId="1975"/>
    <cellStyle name="40% - 强调文字颜色 3 2 2 5 2 3" xfId="2028"/>
    <cellStyle name="40% - 强调文字颜色 3 2 2 5 3" xfId="2101"/>
    <cellStyle name="40% - 强调文字颜色 3 2 2 6" xfId="2263"/>
    <cellStyle name="40% - 强调文字颜色 3 2 2 6 2" xfId="2275"/>
    <cellStyle name="40% - 强调文字颜色 3 2 2 6 3" xfId="2457"/>
    <cellStyle name="40% - 强调文字颜色 3 2 2 7" xfId="2627"/>
    <cellStyle name="40% - 强调文字颜色 3 2 3" xfId="6802"/>
    <cellStyle name="40% - 强调文字颜色 3 2 3 2" xfId="6807"/>
    <cellStyle name="40% - 强调文字颜色 3 2 3 2 2" xfId="6813"/>
    <cellStyle name="40% - 强调文字颜色 3 2 3 2 2 2" xfId="6207"/>
    <cellStyle name="40% - 强调文字颜色 3 2 3 2 2 2 2" xfId="5681"/>
    <cellStyle name="40% - 强调文字颜色 3 2 3 2 2 2 2 2" xfId="6817"/>
    <cellStyle name="40% - 强调文字颜色 3 2 3 2 2 2 2 3" xfId="6824"/>
    <cellStyle name="40% - 强调文字颜色 3 2 3 2 2 2 3" xfId="4366"/>
    <cellStyle name="40% - 强调文字颜色 3 2 3 2 2 3" xfId="6829"/>
    <cellStyle name="40% - 强调文字颜色 3 2 3 2 2 3 2" xfId="5735"/>
    <cellStyle name="40% - 强调文字颜色 3 2 3 2 2 3 3" xfId="4231"/>
    <cellStyle name="40% - 强调文字颜色 3 2 3 2 2 4" xfId="6831"/>
    <cellStyle name="40% - 强调文字颜色 3 2 3 2 3" xfId="6837"/>
    <cellStyle name="40% - 强调文字颜色 3 2 3 2 3 2" xfId="6839"/>
    <cellStyle name="40% - 强调文字颜色 3 2 3 2 3 2 2" xfId="6844"/>
    <cellStyle name="40% - 强调文字颜色 3 2 3 2 3 2 3" xfId="6847"/>
    <cellStyle name="40% - 强调文字颜色 3 2 3 2 3 3" xfId="6848"/>
    <cellStyle name="40% - 强调文字颜色 3 2 3 2 4" xfId="6853"/>
    <cellStyle name="40% - 强调文字颜色 3 2 3 2 4 2" xfId="6861"/>
    <cellStyle name="40% - 强调文字颜色 3 2 3 2 4 3" xfId="6867"/>
    <cellStyle name="40% - 强调文字颜色 3 2 3 2 5" xfId="6872"/>
    <cellStyle name="40% - 强调文字颜色 3 2 3 3" xfId="6877"/>
    <cellStyle name="40% - 强调文字颜色 3 2 3 3 2" xfId="1875"/>
    <cellStyle name="40% - 强调文字颜色 3 2 3 3 2 2" xfId="6880"/>
    <cellStyle name="40% - 强调文字颜色 3 2 3 3 2 2 2" xfId="5915"/>
    <cellStyle name="40% - 强调文字颜色 3 2 3 3 2 2 3" xfId="6883"/>
    <cellStyle name="40% - 强调文字颜色 3 2 3 3 2 3" xfId="6888"/>
    <cellStyle name="40% - 强调文字颜色 3 2 3 3 3" xfId="6890"/>
    <cellStyle name="40% - 强调文字颜色 3 2 3 3 3 2" xfId="6892"/>
    <cellStyle name="40% - 强调文字颜色 3 2 3 3 3 3" xfId="6894"/>
    <cellStyle name="40% - 强调文字颜色 3 2 3 3 4" xfId="2315"/>
    <cellStyle name="40% - 强调文字颜色 3 2 3 4" xfId="949"/>
    <cellStyle name="40% - 强调文字颜色 3 2 3 4 2" xfId="956"/>
    <cellStyle name="40% - 强调文字颜色 3 2 3 4 2 2" xfId="6897"/>
    <cellStyle name="40% - 强调文字颜色 3 2 3 4 2 2 2" xfId="6909"/>
    <cellStyle name="40% - 强调文字颜色 3 2 3 4 2 2 3" xfId="6914"/>
    <cellStyle name="40% - 强调文字颜色 3 2 3 4 2 3" xfId="6919"/>
    <cellStyle name="40% - 强调文字颜色 3 2 3 4 3" xfId="985"/>
    <cellStyle name="40% - 强调文字颜色 3 2 3 4 3 2" xfId="6927"/>
    <cellStyle name="40% - 强调文字颜色 3 2 3 4 3 3" xfId="6911"/>
    <cellStyle name="40% - 强调文字颜色 3 2 3 4 4" xfId="5930"/>
    <cellStyle name="40% - 强调文字颜色 3 2 3 5" xfId="1005"/>
    <cellStyle name="40% - 强调文字颜色 3 2 3 5 2" xfId="4989"/>
    <cellStyle name="40% - 强调文字颜色 3 2 3 5 2 2" xfId="4500"/>
    <cellStyle name="40% - 强调文字颜色 3 2 3 5 2 3" xfId="4996"/>
    <cellStyle name="40% - 强调文字颜色 3 2 3 5 3" xfId="5005"/>
    <cellStyle name="40% - 强调文字颜色 3 2 3 6" xfId="6930"/>
    <cellStyle name="40% - 强调文字颜色 3 2 3 6 2" xfId="5031"/>
    <cellStyle name="40% - 强调文字颜色 3 2 3 6 3" xfId="6438"/>
    <cellStyle name="40% - 强调文字颜色 3 2 3 7" xfId="6934"/>
    <cellStyle name="40% - 强调文字颜色 3 2 4" xfId="6623"/>
    <cellStyle name="40% - 强调文字颜色 3 2 4 2" xfId="6633"/>
    <cellStyle name="40% - 强调文字颜色 3 2 4 2 2" xfId="6642"/>
    <cellStyle name="40% - 强调文字颜色 3 2 4 2 2 2" xfId="6338"/>
    <cellStyle name="40% - 强调文字颜色 3 2 4 2 2 2 2" xfId="6656"/>
    <cellStyle name="40% - 强调文字颜色 3 2 4 2 2 2 2 2" xfId="6945"/>
    <cellStyle name="40% - 强调文字颜色 3 2 4 2 2 2 2 3" xfId="6954"/>
    <cellStyle name="40% - 强调文字颜色 3 2 4 2 2 2 3" xfId="6667"/>
    <cellStyle name="40% - 强调文字颜色 3 2 4 2 2 3" xfId="4108"/>
    <cellStyle name="40% - 强调文字颜色 3 2 4 2 2 3 2" xfId="6961"/>
    <cellStyle name="40% - 强调文字颜色 3 2 4 2 2 3 3" xfId="6967"/>
    <cellStyle name="40% - 强调文字颜色 3 2 4 2 2 4" xfId="4120"/>
    <cellStyle name="40% - 强调文字颜色 3 2 4 2 3" xfId="6671"/>
    <cellStyle name="40% - 强调文字颜色 3 2 4 2 3 2" xfId="6678"/>
    <cellStyle name="40% - 强调文字颜色 3 2 4 2 3 2 2" xfId="6973"/>
    <cellStyle name="40% - 强调文字颜色 3 2 4 2 3 2 3" xfId="1321"/>
    <cellStyle name="40% - 强调文字颜色 3 2 4 2 3 3" xfId="3999"/>
    <cellStyle name="40% - 强调文字颜色 3 2 4 2 4" xfId="6688"/>
    <cellStyle name="40% - 强调文字颜色 3 2 4 2 4 2" xfId="4935"/>
    <cellStyle name="40% - 强调文字颜色 3 2 4 2 4 3" xfId="4959"/>
    <cellStyle name="40% - 强调文字颜色 3 2 4 2 5" xfId="6983"/>
    <cellStyle name="40% - 强调文字颜色 3 2 4 3" xfId="6690"/>
    <cellStyle name="40% - 强调文字颜色 3 2 4 3 2" xfId="1918"/>
    <cellStyle name="40% - 强调文字颜色 3 2 4 3 2 2" xfId="6698"/>
    <cellStyle name="40% - 强调文字颜色 3 2 4 3 2 2 2" xfId="6994"/>
    <cellStyle name="40% - 强调文字颜色 3 2 4 3 2 2 3" xfId="6997"/>
    <cellStyle name="40% - 强调文字颜色 3 2 4 3 2 3" xfId="6704"/>
    <cellStyle name="40% - 强调文字颜色 3 2 4 3 3" xfId="6710"/>
    <cellStyle name="40% - 强调文字颜色 3 2 4 3 3 2" xfId="6998"/>
    <cellStyle name="40% - 强调文字颜色 3 2 4 3 3 3" xfId="4974"/>
    <cellStyle name="40% - 强调文字颜色 3 2 4 3 4" xfId="7009"/>
    <cellStyle name="40% - 强调文字颜色 3 2 4 4" xfId="1019"/>
    <cellStyle name="40% - 强调文字颜色 3 2 4 4 2" xfId="6716"/>
    <cellStyle name="40% - 强调文字颜色 3 2 4 4 2 2" xfId="7012"/>
    <cellStyle name="40% - 强调文字颜色 3 2 4 4 2 2 2" xfId="7022"/>
    <cellStyle name="40% - 强调文字颜色 3 2 4 4 2 2 3" xfId="7025"/>
    <cellStyle name="40% - 强调文字颜色 3 2 4 4 2 3" xfId="7027"/>
    <cellStyle name="40% - 强调文字颜色 3 2 4 4 3" xfId="6721"/>
    <cellStyle name="40% - 强调文字颜色 3 2 4 4 3 2" xfId="7033"/>
    <cellStyle name="40% - 强调文字颜色 3 2 4 4 3 3" xfId="7034"/>
    <cellStyle name="40% - 强调文字颜色 3 2 4 4 4" xfId="7041"/>
    <cellStyle name="40% - 强调文字颜色 3 2 4 5" xfId="230"/>
    <cellStyle name="40% - 强调文字颜色 3 2 4 5 2" xfId="3797"/>
    <cellStyle name="40% - 强调文字颜色 3 2 4 5 2 2" xfId="6548"/>
    <cellStyle name="40% - 强调文字颜色 3 2 4 5 2 3" xfId="7044"/>
    <cellStyle name="40% - 强调文字颜色 3 2 4 5 3" xfId="4574"/>
    <cellStyle name="40% - 强调文字颜色 3 2 4 6" xfId="7046"/>
    <cellStyle name="40% - 强调文字颜色 3 2 4 6 2" xfId="7049"/>
    <cellStyle name="40% - 强调文字颜色 3 2 4 6 3" xfId="7055"/>
    <cellStyle name="40% - 强调文字颜色 3 2 4 7" xfId="7056"/>
    <cellStyle name="40% - 强调文字颜色 3 2 5" xfId="6725"/>
    <cellStyle name="40% - 强调文字颜色 3 2 5 2" xfId="1822"/>
    <cellStyle name="40% - 强调文字颜色 3 2 5 2 2" xfId="6738"/>
    <cellStyle name="40% - 强调文字颜色 3 2 5 2 2 2" xfId="6426"/>
    <cellStyle name="40% - 强调文字颜色 3 2 5 2 2 2 2" xfId="2837"/>
    <cellStyle name="40% - 强调文字颜色 3 2 5 2 2 2 3" xfId="1945"/>
    <cellStyle name="40% - 强调文字颜色 3 2 5 2 2 3" xfId="6744"/>
    <cellStyle name="40% - 强调文字颜色 3 2 5 2 3" xfId="6750"/>
    <cellStyle name="40% - 强调文字颜色 3 2 5 2 3 2" xfId="7061"/>
    <cellStyle name="40% - 强调文字颜色 3 2 5 2 3 3" xfId="5010"/>
    <cellStyle name="40% - 强调文字颜色 3 2 5 2 4" xfId="7065"/>
    <cellStyle name="40% - 强调文字颜色 3 2 5 3" xfId="6753"/>
    <cellStyle name="40% - 强调文字颜色 3 2 5 3 2" xfId="5262"/>
    <cellStyle name="40% - 强调文字颜色 3 2 5 3 2 2" xfId="657"/>
    <cellStyle name="40% - 强调文字颜色 3 2 5 3 2 3" xfId="698"/>
    <cellStyle name="40% - 强调文字颜色 3 2 5 3 3" xfId="6761"/>
    <cellStyle name="40% - 强调文字颜色 3 2 5 4" xfId="750"/>
    <cellStyle name="40% - 强调文字颜色 3 2 5 4 2" xfId="515"/>
    <cellStyle name="40% - 强调文字颜色 3 2 5 4 3" xfId="2643"/>
    <cellStyle name="40% - 强调文字颜色 3 2 5 5" xfId="2649"/>
    <cellStyle name="40% - 强调文字颜色 3 2 6" xfId="6765"/>
    <cellStyle name="40% - 强调文字颜色 3 2 6 2" xfId="1662"/>
    <cellStyle name="40% - 强调文字颜色 3 2 6 2 2" xfId="6775"/>
    <cellStyle name="40% - 强调文字颜色 3 2 6 2 2 2" xfId="57"/>
    <cellStyle name="40% - 强调文字颜色 3 2 6 2 2 3" xfId="6782"/>
    <cellStyle name="40% - 强调文字颜色 3 2 6 2 3" xfId="6793"/>
    <cellStyle name="40% - 强调文字颜色 3 2 6 3" xfId="5886"/>
    <cellStyle name="40% - 强调文字颜色 3 2 6 3 2" xfId="5898"/>
    <cellStyle name="40% - 强调文字颜色 3 2 6 3 3" xfId="5905"/>
    <cellStyle name="40% - 强调文字颜色 3 2 6 4" xfId="2658"/>
    <cellStyle name="40% - 强调文字颜色 3 2 7" xfId="1969"/>
    <cellStyle name="40% - 强调文字颜色 3 2 7 2" xfId="1696"/>
    <cellStyle name="40% - 强调文字颜色 3 2 7 2 2" xfId="1982"/>
    <cellStyle name="40% - 强调文字颜色 3 2 7 2 2 2" xfId="1993"/>
    <cellStyle name="40% - 强调文字颜色 3 2 7 2 2 3" xfId="2005"/>
    <cellStyle name="40% - 强调文字颜色 3 2 7 2 3" xfId="2019"/>
    <cellStyle name="40% - 强调文字颜色 3 2 7 3" xfId="2096"/>
    <cellStyle name="40% - 强调文字颜色 3 2 7 3 2" xfId="2120"/>
    <cellStyle name="40% - 强调文字颜色 3 2 7 3 3" xfId="2136"/>
    <cellStyle name="40% - 强调文字颜色 3 2 7 4" xfId="2176"/>
    <cellStyle name="40% - 强调文字颜色 3 2 8" xfId="2258"/>
    <cellStyle name="40% - 强调文字颜色 3 2 8 2" xfId="2270"/>
    <cellStyle name="40% - 强调文字颜色 3 2 8 2 2" xfId="2282"/>
    <cellStyle name="40% - 强调文字颜色 3 2 8 2 3" xfId="2365"/>
    <cellStyle name="40% - 强调文字颜色 3 2 8 3" xfId="2451"/>
    <cellStyle name="40% - 强调文字颜色 3 2 9" xfId="2618"/>
    <cellStyle name="40% - 强调文字颜色 3 2 9 2" xfId="2632"/>
    <cellStyle name="40% - 强调文字颜色 4 2" xfId="7074"/>
    <cellStyle name="40% - 强调文字颜色 4 2 10" xfId="4287"/>
    <cellStyle name="40% - 强调文字颜色 4 2 2" xfId="7078"/>
    <cellStyle name="40% - 强调文字颜色 4 2 2 2" xfId="4375"/>
    <cellStyle name="40% - 强调文字颜色 4 2 2 2 2" xfId="7081"/>
    <cellStyle name="40% - 强调文字颜色 4 2 2 2 2 2" xfId="7091"/>
    <cellStyle name="40% - 强调文字颜色 4 2 2 2 2 2 2" xfId="7097"/>
    <cellStyle name="40% - 强调文字颜色 4 2 2 2 2 2 2 2" xfId="7099"/>
    <cellStyle name="40% - 强调文字颜色 4 2 2 2 2 2 2 3" xfId="3308"/>
    <cellStyle name="40% - 强调文字颜色 4 2 2 2 2 2 3" xfId="4820"/>
    <cellStyle name="40% - 强调文字颜色 4 2 2 2 2 3" xfId="1510"/>
    <cellStyle name="40% - 强调文字颜色 4 2 2 2 2 3 2" xfId="7102"/>
    <cellStyle name="40% - 强调文字颜色 4 2 2 2 2 3 3" xfId="5532"/>
    <cellStyle name="40% - 强调文字颜色 4 2 2 2 2 4" xfId="1528"/>
    <cellStyle name="40% - 强调文字颜色 4 2 2 2 3" xfId="7105"/>
    <cellStyle name="40% - 强调文字颜色 4 2 2 2 3 2" xfId="7118"/>
    <cellStyle name="40% - 强调文字颜色 4 2 2 2 3 2 2" xfId="7122"/>
    <cellStyle name="40% - 强调文字颜色 4 2 2 2 3 2 3" xfId="7127"/>
    <cellStyle name="40% - 强调文字颜色 4 2 2 2 3 3" xfId="7128"/>
    <cellStyle name="40% - 强调文字颜色 4 2 2 2 4" xfId="1358"/>
    <cellStyle name="40% - 强调文字颜色 4 2 2 2 4 2" xfId="7130"/>
    <cellStyle name="40% - 强调文字颜色 4 2 2 2 4 3" xfId="5297"/>
    <cellStyle name="40% - 强调文字颜色 4 2 2 2 5" xfId="1369"/>
    <cellStyle name="40% - 强调文字颜色 4 2 2 3" xfId="7141"/>
    <cellStyle name="40% - 强调文字颜色 4 2 2 3 2" xfId="2562"/>
    <cellStyle name="40% - 强调文字颜色 4 2 2 3 2 2" xfId="7144"/>
    <cellStyle name="40% - 强调文字颜色 4 2 2 3 2 2 2" xfId="4767"/>
    <cellStyle name="40% - 强调文字颜色 4 2 2 3 2 2 3" xfId="5500"/>
    <cellStyle name="40% - 强调文字颜色 4 2 2 3 2 3" xfId="7147"/>
    <cellStyle name="40% - 强调文字颜色 4 2 2 3 3" xfId="7148"/>
    <cellStyle name="40% - 强调文字颜色 4 2 2 3 3 2" xfId="7156"/>
    <cellStyle name="40% - 强调文字颜色 4 2 2 3 3 3" xfId="7158"/>
    <cellStyle name="40% - 强调文字颜色 4 2 2 3 4" xfId="1199"/>
    <cellStyle name="40% - 强调文字颜色 4 2 2 4" xfId="4318"/>
    <cellStyle name="40% - 强调文字颜色 4 2 2 4 2" xfId="2581"/>
    <cellStyle name="40% - 强调文字颜色 4 2 2 4 2 2" xfId="3105"/>
    <cellStyle name="40% - 强调文字颜色 4 2 2 4 2 2 2" xfId="4323"/>
    <cellStyle name="40% - 强调文字颜色 4 2 2 4 2 2 3" xfId="4334"/>
    <cellStyle name="40% - 强调文字颜色 4 2 2 4 2 3" xfId="4346"/>
    <cellStyle name="40% - 强调文字颜色 4 2 2 4 3" xfId="4352"/>
    <cellStyle name="40% - 强调文字颜色 4 2 2 4 3 2" xfId="4367"/>
    <cellStyle name="40% - 强调文字颜色 4 2 2 4 3 3" xfId="4376"/>
    <cellStyle name="40% - 强调文字颜色 4 2 2 4 4" xfId="4382"/>
    <cellStyle name="40% - 强调文字颜色 4 2 2 5" xfId="4392"/>
    <cellStyle name="40% - 强调文字颜色 4 2 2 5 2" xfId="4400"/>
    <cellStyle name="40% - 强调文字颜色 4 2 2 5 2 2" xfId="43"/>
    <cellStyle name="40% - 强调文字颜色 4 2 2 5 2 3" xfId="397"/>
    <cellStyle name="40% - 强调文字颜色 4 2 2 5 3" xfId="2744"/>
    <cellStyle name="40% - 强调文字颜色 4 2 2 6" xfId="4407"/>
    <cellStyle name="40% - 强调文字颜色 4 2 2 6 2" xfId="3662"/>
    <cellStyle name="40% - 强调文字颜色 4 2 2 6 3" xfId="3747"/>
    <cellStyle name="40% - 强调文字颜色 4 2 2 7" xfId="4412"/>
    <cellStyle name="40% - 强调文字颜色 4 2 3" xfId="7161"/>
    <cellStyle name="40% - 强调文字颜色 4 2 3 2" xfId="335"/>
    <cellStyle name="40% - 强调文字颜色 4 2 3 2 2" xfId="1066"/>
    <cellStyle name="40% - 强调文字颜色 4 2 3 2 2 2" xfId="6683"/>
    <cellStyle name="40% - 强调文字颜色 4 2 3 2 2 2 2" xfId="4927"/>
    <cellStyle name="40% - 强调文字颜色 4 2 3 2 2 2 2 2" xfId="4936"/>
    <cellStyle name="40% - 强调文字颜色 4 2 3 2 2 2 2 3" xfId="1423"/>
    <cellStyle name="40% - 强调文字颜色 4 2 3 2 2 2 3" xfId="4953"/>
    <cellStyle name="40% - 强调文字颜色 4 2 3 2 2 3" xfId="6976"/>
    <cellStyle name="40% - 强调文字颜色 4 2 3 2 2 3 2" xfId="7164"/>
    <cellStyle name="40% - 强调文字颜色 4 2 3 2 2 3 3" xfId="5622"/>
    <cellStyle name="40% - 强调文字颜色 4 2 3 2 2 4" xfId="7170"/>
    <cellStyle name="40% - 强调文字颜色 4 2 3 2 3" xfId="2354"/>
    <cellStyle name="40% - 强调文字颜色 4 2 3 2 3 2" xfId="7000"/>
    <cellStyle name="40% - 强调文字颜色 4 2 3 2 3 2 2" xfId="5527"/>
    <cellStyle name="40% - 强调文字颜色 4 2 3 2 3 2 3" xfId="5616"/>
    <cellStyle name="40% - 强调文字颜色 4 2 3 2 3 3" xfId="7177"/>
    <cellStyle name="40% - 强调文字颜色 4 2 3 2 4" xfId="531"/>
    <cellStyle name="40% - 强调文字颜色 4 2 3 2 4 2" xfId="7039"/>
    <cellStyle name="40% - 强调文字颜色 4 2 3 2 4 3" xfId="7187"/>
    <cellStyle name="40% - 强调文字颜色 4 2 3 2 5" xfId="4687"/>
    <cellStyle name="40% - 强调文字颜色 4 2 3 3" xfId="288"/>
    <cellStyle name="40% - 强调文字颜色 4 2 3 3 2" xfId="2195"/>
    <cellStyle name="40% - 强调文字颜色 4 2 3 3 2 2" xfId="7064"/>
    <cellStyle name="40% - 强调文字颜色 4 2 3 3 2 2 2" xfId="7191"/>
    <cellStyle name="40% - 强调文字颜色 4 2 3 3 2 2 3" xfId="5434"/>
    <cellStyle name="40% - 强调文字颜色 4 2 3 3 2 3" xfId="7192"/>
    <cellStyle name="40% - 强调文字颜色 4 2 3 3 3" xfId="7193"/>
    <cellStyle name="40% - 强调文字颜色 4 2 3 3 3 2" xfId="46"/>
    <cellStyle name="40% - 强调文字颜色 4 2 3 3 3 3" xfId="7197"/>
    <cellStyle name="40% - 强调文字颜色 4 2 3 3 4" xfId="7201"/>
    <cellStyle name="40% - 强调文字颜色 4 2 3 4" xfId="360"/>
    <cellStyle name="40% - 强调文字颜色 4 2 3 4 2" xfId="2891"/>
    <cellStyle name="40% - 强调文字颜色 4 2 3 4 2 2" xfId="4417"/>
    <cellStyle name="40% - 强调文字颜色 4 2 3 4 2 2 2" xfId="5280"/>
    <cellStyle name="40% - 强调文字颜色 4 2 3 4 2 2 3" xfId="6034"/>
    <cellStyle name="40% - 强调文字颜色 4 2 3 4 2 3" xfId="4427"/>
    <cellStyle name="40% - 强调文字颜色 4 2 3 4 3" xfId="4437"/>
    <cellStyle name="40% - 强调文字颜色 4 2 3 4 3 2" xfId="6886"/>
    <cellStyle name="40% - 强调文字颜色 4 2 3 4 3 3" xfId="7207"/>
    <cellStyle name="40% - 强调文字颜色 4 2 3 4 4" xfId="5175"/>
    <cellStyle name="40% - 强调文字颜色 4 2 3 5" xfId="378"/>
    <cellStyle name="40% - 强调文字颜色 4 2 3 5 2" xfId="4443"/>
    <cellStyle name="40% - 强调文字颜色 4 2 3 5 2 2" xfId="2068"/>
    <cellStyle name="40% - 强调文字颜色 4 2 3 5 2 3" xfId="1046"/>
    <cellStyle name="40% - 强调文字颜色 4 2 3 5 3" xfId="4453"/>
    <cellStyle name="40% - 强调文字颜色 4 2 3 6" xfId="416"/>
    <cellStyle name="40% - 强调文字颜色 4 2 3 6 2" xfId="5568"/>
    <cellStyle name="40% - 强调文字颜色 4 2 3 6 3" xfId="7210"/>
    <cellStyle name="40% - 强调文字颜色 4 2 3 7" xfId="434"/>
    <cellStyle name="40% - 强调文字颜色 4 2 4" xfId="7212"/>
    <cellStyle name="40% - 强调文字颜色 4 2 4 2" xfId="7221"/>
    <cellStyle name="40% - 强调文字颜色 4 2 4 2 2" xfId="3000"/>
    <cellStyle name="40% - 强调文字颜色 4 2 4 2 2 2" xfId="6832"/>
    <cellStyle name="40% - 强调文字颜色 4 2 4 2 2 2 2" xfId="7223"/>
    <cellStyle name="40% - 强调文字颜色 4 2 4 2 2 2 2 2" xfId="1120"/>
    <cellStyle name="40% - 强调文字颜色 4 2 4 2 2 2 2 3" xfId="2682"/>
    <cellStyle name="40% - 强调文字颜色 4 2 4 2 2 2 3" xfId="7230"/>
    <cellStyle name="40% - 强调文字颜色 4 2 4 2 2 3" xfId="7233"/>
    <cellStyle name="40% - 强调文字颜色 4 2 4 2 2 3 2" xfId="7238"/>
    <cellStyle name="40% - 强调文字颜色 4 2 4 2 2 3 3" xfId="7246"/>
    <cellStyle name="40% - 强调文字颜色 4 2 4 2 2 4" xfId="7251"/>
    <cellStyle name="40% - 强调文字颜色 4 2 4 2 3" xfId="7256"/>
    <cellStyle name="40% - 强调文字颜色 4 2 4 2 3 2" xfId="7257"/>
    <cellStyle name="40% - 强调文字颜色 4 2 4 2 3 2 2" xfId="7261"/>
    <cellStyle name="40% - 强调文字颜色 4 2 4 2 3 2 3" xfId="7268"/>
    <cellStyle name="40% - 强调文字颜色 4 2 4 2 3 3" xfId="7271"/>
    <cellStyle name="40% - 强调文字颜色 4 2 4 2 4" xfId="6184"/>
    <cellStyle name="40% - 强调文字颜色 4 2 4 2 4 2" xfId="6191"/>
    <cellStyle name="40% - 强调文字颜色 4 2 4 2 4 3" xfId="6215"/>
    <cellStyle name="40% - 强调文字颜色 4 2 4 2 5" xfId="6234"/>
    <cellStyle name="40% - 强调文字颜色 4 2 4 3" xfId="7274"/>
    <cellStyle name="40% - 强调文字颜色 4 2 4 3 2" xfId="2923"/>
    <cellStyle name="40% - 强调文字颜色 4 2 4 3 2 2" xfId="7275"/>
    <cellStyle name="40% - 强调文字颜色 4 2 4 3 2 2 2" xfId="7279"/>
    <cellStyle name="40% - 强调文字颜色 4 2 4 3 2 2 3" xfId="7284"/>
    <cellStyle name="40% - 强调文字颜色 4 2 4 3 2 3" xfId="7286"/>
    <cellStyle name="40% - 强调文字颜色 4 2 4 3 3" xfId="7288"/>
    <cellStyle name="40% - 强调文字颜色 4 2 4 3 3 2" xfId="7289"/>
    <cellStyle name="40% - 强调文字颜色 4 2 4 3 3 3" xfId="7292"/>
    <cellStyle name="40% - 强调文字颜色 4 2 4 3 4" xfId="6326"/>
    <cellStyle name="40% - 强调文字颜色 4 2 4 4" xfId="4091"/>
    <cellStyle name="40% - 强调文字颜色 4 2 4 4 2" xfId="4099"/>
    <cellStyle name="40% - 强调文字颜色 4 2 4 4 2 2" xfId="4456"/>
    <cellStyle name="40% - 强调文字颜色 4 2 4 4 2 2 2" xfId="7298"/>
    <cellStyle name="40% - 强调文字颜色 4 2 4 4 2 2 3" xfId="6478"/>
    <cellStyle name="40% - 强调文字颜色 4 2 4 4 2 3" xfId="4467"/>
    <cellStyle name="40% - 强调文字颜色 4 2 4 4 3" xfId="4112"/>
    <cellStyle name="40% - 强调文字颜色 4 2 4 4 3 2" xfId="6916"/>
    <cellStyle name="40% - 强调文字颜色 4 2 4 4 3 3" xfId="7306"/>
    <cellStyle name="40% - 强调文字颜色 4 2 4 4 4" xfId="6418"/>
    <cellStyle name="40% - 强调文字颜色 4 2 4 5" xfId="4127"/>
    <cellStyle name="40% - 强调文字颜色 4 2 4 5 2" xfId="4005"/>
    <cellStyle name="40% - 强调文字颜色 4 2 4 5 2 2" xfId="7311"/>
    <cellStyle name="40% - 强调文字颜色 4 2 4 5 2 3" xfId="7316"/>
    <cellStyle name="40% - 强调文字颜色 4 2 4 5 3" xfId="4485"/>
    <cellStyle name="40% - 强调文字颜色 4 2 4 6" xfId="4493"/>
    <cellStyle name="40% - 强调文字颜色 4 2 4 6 2" xfId="7318"/>
    <cellStyle name="40% - 强调文字颜色 4 2 4 6 3" xfId="7321"/>
    <cellStyle name="40% - 强调文字颜色 4 2 4 7" xfId="3"/>
    <cellStyle name="40% - 强调文字颜色 4 2 5" xfId="7325"/>
    <cellStyle name="40% - 强调文字颜色 4 2 5 2" xfId="7330"/>
    <cellStyle name="40% - 强调文字颜色 4 2 5 2 2" xfId="7331"/>
    <cellStyle name="40% - 强调文字颜色 4 2 5 2 2 2" xfId="4121"/>
    <cellStyle name="40% - 强调文字颜色 4 2 5 2 2 2 2" xfId="7338"/>
    <cellStyle name="40% - 强调文字颜色 4 2 5 2 2 2 3" xfId="7347"/>
    <cellStyle name="40% - 强调文字颜色 4 2 5 2 2 3" xfId="7353"/>
    <cellStyle name="40% - 强调文字颜色 4 2 5 2 3" xfId="7355"/>
    <cellStyle name="40% - 强调文字颜色 4 2 5 2 3 2" xfId="4484"/>
    <cellStyle name="40% - 强调文字颜色 4 2 5 2 3 3" xfId="7358"/>
    <cellStyle name="40% - 强调文字颜色 4 2 5 2 4" xfId="7365"/>
    <cellStyle name="40% - 强调文字颜色 4 2 5 3" xfId="7368"/>
    <cellStyle name="40% - 强调文字颜色 4 2 5 3 2" xfId="7369"/>
    <cellStyle name="40% - 强调文字颜色 4 2 5 3 2 2" xfId="7373"/>
    <cellStyle name="40% - 强调文字颜色 4 2 5 3 2 3" xfId="7374"/>
    <cellStyle name="40% - 强调文字颜色 4 2 5 3 3" xfId="7376"/>
    <cellStyle name="40% - 强调文字颜色 4 2 5 4" xfId="2691"/>
    <cellStyle name="40% - 强调文字颜色 4 2 5 4 2" xfId="1889"/>
    <cellStyle name="40% - 强调文字颜色 4 2 5 4 3" xfId="1931"/>
    <cellStyle name="40% - 强调文字颜色 4 2 5 5" xfId="2713"/>
    <cellStyle name="40% - 强调文字颜色 4 2 6" xfId="7380"/>
    <cellStyle name="40% - 强调文字颜色 4 2 6 2" xfId="7386"/>
    <cellStyle name="40% - 强调文字颜色 4 2 6 2 2" xfId="7390"/>
    <cellStyle name="40% - 强调文字颜色 4 2 6 2 2 2" xfId="7394"/>
    <cellStyle name="40% - 强调文字颜色 4 2 6 2 2 3" xfId="7400"/>
    <cellStyle name="40% - 强调文字颜色 4 2 6 2 3" xfId="7404"/>
    <cellStyle name="40% - 强调文字颜色 4 2 6 3" xfId="5951"/>
    <cellStyle name="40% - 强调文字颜色 4 2 6 3 2" xfId="7408"/>
    <cellStyle name="40% - 强调文字颜色 4 2 6 3 3" xfId="6990"/>
    <cellStyle name="40% - 强调文字颜色 4 2 6 4" xfId="4152"/>
    <cellStyle name="40% - 强调文字颜色 4 2 7" xfId="2092"/>
    <cellStyle name="40% - 强调文字颜色 4 2 7 2" xfId="2957"/>
    <cellStyle name="40% - 强调文字颜色 4 2 7 2 2" xfId="2970"/>
    <cellStyle name="40% - 强调文字颜色 4 2 7 2 2 2" xfId="2976"/>
    <cellStyle name="40% - 强调文字颜色 4 2 7 2 2 3" xfId="2997"/>
    <cellStyle name="40% - 强调文字颜色 4 2 7 2 3" xfId="3016"/>
    <cellStyle name="40% - 强调文字颜色 4 2 7 3" xfId="3040"/>
    <cellStyle name="40% - 强调文字颜色 4 2 7 3 2" xfId="3050"/>
    <cellStyle name="40% - 强调文字颜色 4 2 7 3 3" xfId="3066"/>
    <cellStyle name="40% - 强调文字颜色 4 2 7 4" xfId="3079"/>
    <cellStyle name="40% - 强调文字颜色 4 2 8" xfId="1860"/>
    <cellStyle name="40% - 强调文字颜色 4 2 8 2" xfId="3180"/>
    <cellStyle name="40% - 强调文字颜色 4 2 8 2 2" xfId="787"/>
    <cellStyle name="40% - 强调文字颜色 4 2 8 2 3" xfId="838"/>
    <cellStyle name="40% - 强调文字颜色 4 2 8 3" xfId="3297"/>
    <cellStyle name="40% - 强调文字颜色 4 2 9" xfId="3256"/>
    <cellStyle name="40% - 强调文字颜色 4 2 9 2" xfId="3479"/>
    <cellStyle name="40% - 强调文字颜色 5 2" xfId="7411"/>
    <cellStyle name="40% - 强调文字颜色 5 2 10" xfId="7302"/>
    <cellStyle name="40% - 强调文字颜色 5 2 2" xfId="7419"/>
    <cellStyle name="40% - 强调文字颜色 5 2 2 2" xfId="7208"/>
    <cellStyle name="40% - 强调文字颜色 5 2 2 2 2" xfId="7426"/>
    <cellStyle name="40% - 强调文字颜色 5 2 2 2 2 2" xfId="1433"/>
    <cellStyle name="40% - 强调文字颜色 5 2 2 2 2 2 2" xfId="5023"/>
    <cellStyle name="40% - 强调文字颜色 5 2 2 2 2 2 2 2" xfId="847"/>
    <cellStyle name="40% - 强调文字颜色 5 2 2 2 2 2 2 3" xfId="7438"/>
    <cellStyle name="40% - 强调文字颜色 5 2 2 2 2 2 3" xfId="5027"/>
    <cellStyle name="40% - 强调文字颜色 5 2 2 2 2 3" xfId="5030"/>
    <cellStyle name="40% - 强调文字颜色 5 2 2 2 2 3 2" xfId="7441"/>
    <cellStyle name="40% - 强调文字颜色 5 2 2 2 2 3 3" xfId="7442"/>
    <cellStyle name="40% - 强调文字颜色 5 2 2 2 2 4" xfId="6437"/>
    <cellStyle name="40% - 强调文字颜色 5 2 2 2 3" xfId="6087"/>
    <cellStyle name="40% - 强调文字颜色 5 2 2 2 3 2" xfId="5097"/>
    <cellStyle name="40% - 强调文字颜色 5 2 2 2 3 2 2" xfId="5110"/>
    <cellStyle name="40% - 强调文字颜色 5 2 2 2 3 2 3" xfId="470"/>
    <cellStyle name="40% - 强调文字颜色 5 2 2 2 3 3" xfId="5124"/>
    <cellStyle name="40% - 强调文字颜色 5 2 2 2 4" xfId="6098"/>
    <cellStyle name="40% - 强调文字颜色 5 2 2 2 4 2" xfId="5136"/>
    <cellStyle name="40% - 强调文字颜色 5 2 2 2 4 3" xfId="7447"/>
    <cellStyle name="40% - 强调文字颜色 5 2 2 2 5" xfId="7455"/>
    <cellStyle name="40% - 强调文字颜色 5 2 2 3" xfId="7462"/>
    <cellStyle name="40% - 强调文字颜色 5 2 2 3 2" xfId="3814"/>
    <cellStyle name="40% - 强调文字颜色 5 2 2 3 2 2" xfId="5178"/>
    <cellStyle name="40% - 强调文字颜色 5 2 2 3 2 2 2" xfId="7464"/>
    <cellStyle name="40% - 强调文字颜色 5 2 2 3 2 2 3" xfId="7465"/>
    <cellStyle name="40% - 强调文字颜色 5 2 2 3 2 3" xfId="7048"/>
    <cellStyle name="40% - 强调文字颜色 5 2 2 3 3" xfId="1502"/>
    <cellStyle name="40% - 强调文字颜色 5 2 2 3 3 2" xfId="4728"/>
    <cellStyle name="40% - 强调文字颜色 5 2 2 3 3 3" xfId="4738"/>
    <cellStyle name="40% - 强调文字颜色 5 2 2 3 4" xfId="1519"/>
    <cellStyle name="40% - 强调文字颜色 5 2 2 4" xfId="7469"/>
    <cellStyle name="40% - 强调文字颜色 5 2 2 4 2" xfId="3836"/>
    <cellStyle name="40% - 强调文字颜色 5 2 2 4 2 2" xfId="5205"/>
    <cellStyle name="40% - 强调文字颜色 5 2 2 4 2 2 2" xfId="1675"/>
    <cellStyle name="40% - 强调文字颜色 5 2 2 4 2 2 3" xfId="1706"/>
    <cellStyle name="40% - 强调文字颜色 5 2 2 4 2 3" xfId="7476"/>
    <cellStyle name="40% - 强调文字颜色 5 2 2 4 3" xfId="4745"/>
    <cellStyle name="40% - 强调文字颜色 5 2 2 4 3 2" xfId="6733"/>
    <cellStyle name="40% - 强调文字颜色 5 2 2 4 3 3" xfId="6771"/>
    <cellStyle name="40% - 强调文字颜色 5 2 2 4 4" xfId="4753"/>
    <cellStyle name="40% - 强调文字颜色 5 2 2 5" xfId="7477"/>
    <cellStyle name="40% - 强调文字颜色 5 2 2 5 2" xfId="7481"/>
    <cellStyle name="40% - 强调文字颜色 5 2 2 5 2 2" xfId="5253"/>
    <cellStyle name="40% - 强调文字颜色 5 2 2 5 2 3" xfId="7485"/>
    <cellStyle name="40% - 强调文字颜色 5 2 2 5 3" xfId="7494"/>
    <cellStyle name="40% - 强调文字颜色 5 2 2 6" xfId="7496"/>
    <cellStyle name="40% - 强调文字颜色 5 2 2 6 2" xfId="7499"/>
    <cellStyle name="40% - 强调文字颜色 5 2 2 6 3" xfId="7507"/>
    <cellStyle name="40% - 强调文字颜色 5 2 2 7" xfId="7511"/>
    <cellStyle name="40% - 强调文字颜色 5 2 3" xfId="7517"/>
    <cellStyle name="40% - 强调文字颜色 5 2 3 2" xfId="7525"/>
    <cellStyle name="40% - 强调文字颜色 5 2 3 2 2" xfId="7527"/>
    <cellStyle name="40% - 强调文字颜色 5 2 3 2 2 2" xfId="1526"/>
    <cellStyle name="40% - 强调文字颜色 5 2 3 2 2 2 2" xfId="7533"/>
    <cellStyle name="40% - 强调文字颜色 5 2 3 2 2 2 2 2" xfId="7538"/>
    <cellStyle name="40% - 强调文字颜色 5 2 3 2 2 2 2 3" xfId="97"/>
    <cellStyle name="40% - 强调文字颜色 5 2 3 2 2 2 3" xfId="7541"/>
    <cellStyle name="40% - 强调文字颜色 5 2 3 2 2 3" xfId="7544"/>
    <cellStyle name="40% - 强调文字颜色 5 2 3 2 2 3 2" xfId="7550"/>
    <cellStyle name="40% - 强调文字颜色 5 2 3 2 2 3 3" xfId="7554"/>
    <cellStyle name="40% - 强调文字颜色 5 2 3 2 2 4" xfId="7560"/>
    <cellStyle name="40% - 强调文字颜色 5 2 3 2 3" xfId="7568"/>
    <cellStyle name="40% - 强调文字颜色 5 2 3 2 3 2" xfId="7579"/>
    <cellStyle name="40% - 强调文字颜色 5 2 3 2 3 2 2" xfId="7585"/>
    <cellStyle name="40% - 强调文字颜色 5 2 3 2 3 2 3" xfId="7591"/>
    <cellStyle name="40% - 强调文字颜色 5 2 3 2 3 3" xfId="7597"/>
    <cellStyle name="40% - 强调文字颜色 5 2 3 2 4" xfId="7605"/>
    <cellStyle name="40% - 强调文字颜色 5 2 3 2 4 2" xfId="7613"/>
    <cellStyle name="40% - 强调文字颜色 5 2 3 2 4 3" xfId="7619"/>
    <cellStyle name="40% - 强调文字颜色 5 2 3 2 5" xfId="3863"/>
    <cellStyle name="40% - 强调文字颜色 5 2 3 3" xfId="7625"/>
    <cellStyle name="40% - 强调文字颜色 5 2 3 3 2" xfId="3877"/>
    <cellStyle name="40% - 强调文字颜色 5 2 3 3 2 2" xfId="7629"/>
    <cellStyle name="40% - 强调文字颜色 5 2 3 3 2 2 2" xfId="7631"/>
    <cellStyle name="40% - 强调文字颜色 5 2 3 3 2 2 3" xfId="7632"/>
    <cellStyle name="40% - 强调文字颜色 5 2 3 3 2 3" xfId="7633"/>
    <cellStyle name="40% - 强调文字颜色 5 2 3 3 3" xfId="4759"/>
    <cellStyle name="40% - 强调文字颜色 5 2 3 3 3 2" xfId="7636"/>
    <cellStyle name="40% - 强调文字颜色 5 2 3 3 3 3" xfId="7638"/>
    <cellStyle name="40% - 强调文字颜色 5 2 3 3 4" xfId="4774"/>
    <cellStyle name="40% - 强调文字颜色 5 2 3 4" xfId="1186"/>
    <cellStyle name="40% - 强调文字颜色 5 2 3 4 2" xfId="3899"/>
    <cellStyle name="40% - 强调文字颜色 5 2 3 4 2 2" xfId="7646"/>
    <cellStyle name="40% - 强调文字颜色 5 2 3 4 2 2 2" xfId="2464"/>
    <cellStyle name="40% - 强调文字颜色 5 2 3 4 2 2 3" xfId="2478"/>
    <cellStyle name="40% - 强调文字颜色 5 2 3 4 2 3" xfId="7653"/>
    <cellStyle name="40% - 强调文字颜色 5 2 3 4 3" xfId="7655"/>
    <cellStyle name="40% - 强调文字颜色 5 2 3 4 3 2" xfId="7140"/>
    <cellStyle name="40% - 强调文字颜色 5 2 3 4 3 3" xfId="4317"/>
    <cellStyle name="40% - 强调文字颜色 5 2 3 4 4" xfId="7658"/>
    <cellStyle name="40% - 强调文字颜色 5 2 3 5" xfId="1192"/>
    <cellStyle name="40% - 强调文字颜色 5 2 3 5 2" xfId="7659"/>
    <cellStyle name="40% - 强调文字颜色 5 2 3 5 2 2" xfId="7665"/>
    <cellStyle name="40% - 强调文字颜色 5 2 3 5 2 3" xfId="7670"/>
    <cellStyle name="40% - 强调文字颜色 5 2 3 5 3" xfId="6617"/>
    <cellStyle name="40% - 强调文字颜色 5 2 3 6" xfId="7675"/>
    <cellStyle name="40% - 强调文字颜色 5 2 3 6 2" xfId="7676"/>
    <cellStyle name="40% - 强调文字颜色 5 2 3 6 3" xfId="1954"/>
    <cellStyle name="40% - 强调文字颜色 5 2 3 7" xfId="7684"/>
    <cellStyle name="40% - 强调文字颜色 5 2 4" xfId="7688"/>
    <cellStyle name="40% - 强调文字颜色 5 2 4 2" xfId="7696"/>
    <cellStyle name="40% - 强调文字颜色 5 2 4 2 2" xfId="7698"/>
    <cellStyle name="40% - 强调文字颜色 5 2 4 2 2 2" xfId="7168"/>
    <cellStyle name="40% - 强调文字颜色 5 2 4 2 2 2 2" xfId="7703"/>
    <cellStyle name="40% - 强调文字颜色 5 2 4 2 2 2 2 2" xfId="7706"/>
    <cellStyle name="40% - 强调文字颜色 5 2 4 2 2 2 2 3" xfId="1599"/>
    <cellStyle name="40% - 强调文字颜色 5 2 4 2 2 2 3" xfId="7708"/>
    <cellStyle name="40% - 强调文字颜色 5 2 4 2 2 3" xfId="7712"/>
    <cellStyle name="40% - 强调文字颜色 5 2 4 2 2 3 2" xfId="7720"/>
    <cellStyle name="40% - 强调文字颜色 5 2 4 2 2 3 3" xfId="1261"/>
    <cellStyle name="40% - 强调文字颜色 5 2 4 2 2 4" xfId="7729"/>
    <cellStyle name="40% - 强调文字颜色 5 2 4 2 3" xfId="7730"/>
    <cellStyle name="40% - 强调文字颜色 5 2 4 2 3 2" xfId="7736"/>
    <cellStyle name="40% - 强调文字颜色 5 2 4 2 3 2 2" xfId="7746"/>
    <cellStyle name="40% - 强调文字颜色 5 2 4 2 3 2 3" xfId="7750"/>
    <cellStyle name="40% - 强调文字颜色 5 2 4 2 3 3" xfId="7753"/>
    <cellStyle name="40% - 强调文字颜色 5 2 4 2 4" xfId="7762"/>
    <cellStyle name="40% - 强调文字颜色 5 2 4 2 4 2" xfId="7769"/>
    <cellStyle name="40% - 强调文字颜色 5 2 4 2 4 3" xfId="7776"/>
    <cellStyle name="40% - 强调文字颜色 5 2 4 2 5" xfId="7785"/>
    <cellStyle name="40% - 强调文字颜色 5 2 4 3" xfId="7786"/>
    <cellStyle name="40% - 强调文字颜色 5 2 4 3 2" xfId="3123"/>
    <cellStyle name="40% - 强调文字颜色 5 2 4 3 2 2" xfId="7788"/>
    <cellStyle name="40% - 强调文字颜色 5 2 4 3 2 2 2" xfId="7792"/>
    <cellStyle name="40% - 强调文字颜色 5 2 4 3 2 2 3" xfId="7794"/>
    <cellStyle name="40% - 强调文字颜色 5 2 4 3 2 3" xfId="7701"/>
    <cellStyle name="40% - 强调文字颜色 5 2 4 3 3" xfId="7795"/>
    <cellStyle name="40% - 强调文字颜色 5 2 4 3 3 2" xfId="7797"/>
    <cellStyle name="40% - 强调文字颜色 5 2 4 3 3 3" xfId="7717"/>
    <cellStyle name="40% - 强调文字颜色 5 2 4 3 4" xfId="7805"/>
    <cellStyle name="40% - 强调文字颜色 5 2 4 4" xfId="7807"/>
    <cellStyle name="40% - 强调文字颜色 5 2 4 4 2" xfId="7809"/>
    <cellStyle name="40% - 强调文字颜色 5 2 4 4 2 2" xfId="7814"/>
    <cellStyle name="40% - 强调文字颜色 5 2 4 4 2 2 2" xfId="3701"/>
    <cellStyle name="40% - 强调文字颜色 5 2 4 4 2 2 3" xfId="3716"/>
    <cellStyle name="40% - 强调文字颜色 5 2 4 4 2 3" xfId="7740"/>
    <cellStyle name="40% - 强调文字颜色 5 2 4 4 3" xfId="7816"/>
    <cellStyle name="40% - 强调文字颜色 5 2 4 4 3 2" xfId="7460"/>
    <cellStyle name="40% - 强调文字颜色 5 2 4 4 3 3" xfId="7466"/>
    <cellStyle name="40% - 强调文字颜色 5 2 4 4 4" xfId="7818"/>
    <cellStyle name="40% - 强调文字颜色 5 2 4 5" xfId="7819"/>
    <cellStyle name="40% - 强调文字颜色 5 2 4 5 2" xfId="4236"/>
    <cellStyle name="40% - 强调文字颜色 5 2 4 5 2 2" xfId="7822"/>
    <cellStyle name="40% - 强调文字颜色 5 2 4 5 2 3" xfId="7826"/>
    <cellStyle name="40% - 强调文字颜色 5 2 4 5 3" xfId="7832"/>
    <cellStyle name="40% - 强调文字颜色 5 2 4 6" xfId="2971"/>
    <cellStyle name="40% - 强调文字颜色 5 2 4 6 2" xfId="2979"/>
    <cellStyle name="40% - 强调文字颜色 5 2 4 6 3" xfId="2999"/>
    <cellStyle name="40% - 强调文字颜色 5 2 4 7" xfId="3017"/>
    <cellStyle name="40% - 强调文字颜色 5 2 5" xfId="7836"/>
    <cellStyle name="40% - 强调文字颜色 5 2 5 2" xfId="7841"/>
    <cellStyle name="40% - 强调文字颜色 5 2 5 2 2" xfId="7844"/>
    <cellStyle name="40% - 强调文字颜色 5 2 5 2 2 2" xfId="7250"/>
    <cellStyle name="40% - 强调文字颜色 5 2 5 2 2 2 2" xfId="7853"/>
    <cellStyle name="40% - 强调文字颜色 5 2 5 2 2 2 3" xfId="7859"/>
    <cellStyle name="40% - 强调文字颜色 5 2 5 2 2 3" xfId="7860"/>
    <cellStyle name="40% - 强调文字颜色 5 2 5 2 3" xfId="7861"/>
    <cellStyle name="40% - 强调文字颜色 5 2 5 2 3 2" xfId="7862"/>
    <cellStyle name="40% - 强调文字颜色 5 2 5 2 3 3" xfId="7863"/>
    <cellStyle name="40% - 强调文字颜色 5 2 5 2 4" xfId="7867"/>
    <cellStyle name="40% - 强调文字颜色 5 2 5 3" xfId="7868"/>
    <cellStyle name="40% - 强调文字颜色 5 2 5 3 2" xfId="32"/>
    <cellStyle name="40% - 强调文字颜色 5 2 5 3 2 2" xfId="2947"/>
    <cellStyle name="40% - 强调文字颜色 5 2 5 3 2 3" xfId="7790"/>
    <cellStyle name="40% - 强调文字颜色 5 2 5 3 3" xfId="383"/>
    <cellStyle name="40% - 强调文字颜色 5 2 5 4" xfId="2756"/>
    <cellStyle name="40% - 强调文字颜色 5 2 5 4 2" xfId="7870"/>
    <cellStyle name="40% - 强调文字颜色 5 2 5 4 3" xfId="7874"/>
    <cellStyle name="40% - 强调文字颜色 5 2 5 5" xfId="25"/>
    <cellStyle name="40% - 强调文字颜色 5 2 6" xfId="7879"/>
    <cellStyle name="40% - 强调文字颜色 5 2 6 2" xfId="3263"/>
    <cellStyle name="40% - 强调文字颜色 5 2 6 2 2" xfId="3488"/>
    <cellStyle name="40% - 强调文字颜色 5 2 6 2 2 2" xfId="3496"/>
    <cellStyle name="40% - 强调文字颜色 5 2 6 2 2 3" xfId="3512"/>
    <cellStyle name="40% - 强调文字颜色 5 2 6 2 3" xfId="636"/>
    <cellStyle name="40% - 强调文字颜色 5 2 6 3" xfId="3679"/>
    <cellStyle name="40% - 强调文字颜色 5 2 6 3 2" xfId="3687"/>
    <cellStyle name="40% - 强调文字颜色 5 2 6 3 3" xfId="676"/>
    <cellStyle name="40% - 强调文字颜色 5 2 6 4" xfId="3767"/>
    <cellStyle name="40% - 强调文字颜色 5 2 7" xfId="3916"/>
    <cellStyle name="40% - 强调文字颜色 5 2 7 2" xfId="3923"/>
    <cellStyle name="40% - 强调文字颜色 5 2 7 2 2" xfId="3931"/>
    <cellStyle name="40% - 强调文字颜色 5 2 7 2 2 2" xfId="3934"/>
    <cellStyle name="40% - 强调文字颜色 5 2 7 2 2 3" xfId="1013"/>
    <cellStyle name="40% - 强调文字颜色 5 2 7 2 3" xfId="739"/>
    <cellStyle name="40% - 强调文字颜色 5 2 7 3" xfId="3964"/>
    <cellStyle name="40% - 强调文字颜色 5 2 7 3 2" xfId="3971"/>
    <cellStyle name="40% - 强调文字颜色 5 2 7 3 3" xfId="819"/>
    <cellStyle name="40% - 强调文字颜色 5 2 7 4" xfId="3994"/>
    <cellStyle name="40% - 强调文字颜色 5 2 8" xfId="4056"/>
    <cellStyle name="40% - 强调文字颜色 5 2 8 2" xfId="3199"/>
    <cellStyle name="40% - 强调文字颜色 5 2 8 2 2" xfId="4058"/>
    <cellStyle name="40% - 强调文字颜色 5 2 8 2 3" xfId="887"/>
    <cellStyle name="40% - 强调文字颜色 5 2 8 3" xfId="4170"/>
    <cellStyle name="40% - 强调文字颜色 5 2 9" xfId="4302"/>
    <cellStyle name="40% - 强调文字颜色 5 2 9 2" xfId="4307"/>
    <cellStyle name="40% - 强调文字颜色 6 2" xfId="7880"/>
    <cellStyle name="40% - 强调文字颜色 6 2 10" xfId="5137"/>
    <cellStyle name="40% - 强调文字颜色 6 2 2" xfId="7884"/>
    <cellStyle name="40% - 强调文字颜色 6 2 2 2" xfId="7305"/>
    <cellStyle name="40% - 强调文字颜色 6 2 2 2 2" xfId="7887"/>
    <cellStyle name="40% - 强调文字颜色 6 2 2 2 2 2" xfId="7890"/>
    <cellStyle name="40% - 强调文字颜色 6 2 2 2 2 2 2" xfId="7893"/>
    <cellStyle name="40% - 强调文字颜色 6 2 2 2 2 2 2 2" xfId="7897"/>
    <cellStyle name="40% - 强调文字颜色 6 2 2 2 2 2 2 3" xfId="7903"/>
    <cellStyle name="40% - 强调文字颜色 6 2 2 2 2 2 3" xfId="7906"/>
    <cellStyle name="40% - 强调文字颜色 6 2 2 2 2 3" xfId="7908"/>
    <cellStyle name="40% - 强调文字颜色 6 2 2 2 2 3 2" xfId="7911"/>
    <cellStyle name="40% - 强调文字颜色 6 2 2 2 2 3 3" xfId="7912"/>
    <cellStyle name="40% - 强调文字颜色 6 2 2 2 2 4" xfId="7913"/>
    <cellStyle name="40% - 强调文字颜色 6 2 2 2 3" xfId="6584"/>
    <cellStyle name="40% - 强调文字颜色 6 2 2 2 3 2" xfId="248"/>
    <cellStyle name="40% - 强调文字颜色 6 2 2 2 3 2 2" xfId="7920"/>
    <cellStyle name="40% - 强调文字颜色 6 2 2 2 3 2 3" xfId="7927"/>
    <cellStyle name="40% - 强调文字颜色 6 2 2 2 3 3" xfId="7938"/>
    <cellStyle name="40% - 强调文字颜色 6 2 2 2 4" xfId="6588"/>
    <cellStyle name="40% - 强调文字颜色 6 2 2 2 4 2" xfId="7942"/>
    <cellStyle name="40% - 强调文字颜色 6 2 2 2 4 3" xfId="7948"/>
    <cellStyle name="40% - 强调文字颜色 6 2 2 2 5" xfId="7953"/>
    <cellStyle name="40% - 强调文字颜色 6 2 2 3" xfId="7955"/>
    <cellStyle name="40% - 强调文字颜色 6 2 2 3 2" xfId="4547"/>
    <cellStyle name="40% - 强调文字颜色 6 2 2 3 2 2" xfId="7958"/>
    <cellStyle name="40% - 强调文字颜色 6 2 2 3 2 2 2" xfId="6154"/>
    <cellStyle name="40% - 强调文字颜色 6 2 2 3 2 2 3" xfId="294"/>
    <cellStyle name="40% - 强调文字颜色 6 2 2 3 2 3" xfId="7961"/>
    <cellStyle name="40% - 强调文字颜色 6 2 2 3 3" xfId="7965"/>
    <cellStyle name="40% - 强调文字颜色 6 2 2 3 3 2" xfId="7968"/>
    <cellStyle name="40% - 强调文字颜色 6 2 2 3 3 3" xfId="7974"/>
    <cellStyle name="40% - 强调文字颜色 6 2 2 3 4" xfId="7978"/>
    <cellStyle name="40% - 强调文字颜色 6 2 2 4" xfId="7981"/>
    <cellStyle name="40% - 强调文字颜色 6 2 2 4 2" xfId="4553"/>
    <cellStyle name="40% - 强调文字颜色 6 2 2 4 2 2" xfId="7986"/>
    <cellStyle name="40% - 强调文字颜色 6 2 2 4 2 2 2" xfId="784"/>
    <cellStyle name="40% - 强调文字颜色 6 2 2 4 2 2 3" xfId="2575"/>
    <cellStyle name="40% - 强调文字颜色 6 2 2 4 2 3" xfId="7990"/>
    <cellStyle name="40% - 强调文字颜色 6 2 2 4 3" xfId="7998"/>
    <cellStyle name="40% - 强调文字颜色 6 2 2 4 3 2" xfId="6297"/>
    <cellStyle name="40% - 强调文字颜色 6 2 2 4 3 3" xfId="6301"/>
    <cellStyle name="40% - 强调文字颜色 6 2 2 4 4" xfId="8004"/>
    <cellStyle name="40% - 强调文字颜色 6 2 2 5" xfId="8009"/>
    <cellStyle name="40% - 强调文字颜色 6 2 2 5 2" xfId="8015"/>
    <cellStyle name="40% - 强调文字颜色 6 2 2 5 2 2" xfId="8022"/>
    <cellStyle name="40% - 强调文字颜色 6 2 2 5 2 3" xfId="8025"/>
    <cellStyle name="40% - 强调文字颜色 6 2 2 5 3" xfId="8029"/>
    <cellStyle name="40% - 强调文字颜色 6 2 2 6" xfId="8032"/>
    <cellStyle name="40% - 强调文字颜色 6 2 2 6 2" xfId="8036"/>
    <cellStyle name="40% - 强调文字颜色 6 2 2 6 3" xfId="477"/>
    <cellStyle name="40% - 强调文字颜色 6 2 2 7" xfId="5408"/>
    <cellStyle name="40% - 强调文字颜色 6 2 3" xfId="8038"/>
    <cellStyle name="40% - 强调文字颜色 6 2 3 2" xfId="3910"/>
    <cellStyle name="40% - 强调文字颜色 6 2 3 2 2" xfId="6430"/>
    <cellStyle name="40% - 强调文字颜色 6 2 3 2 2 2" xfId="6434"/>
    <cellStyle name="40% - 强调文字颜色 6 2 3 2 2 2 2" xfId="8040"/>
    <cellStyle name="40% - 强调文字颜色 6 2 3 2 2 2 2 2" xfId="1578"/>
    <cellStyle name="40% - 强调文字颜色 6 2 3 2 2 2 2 3" xfId="8044"/>
    <cellStyle name="40% - 强调文字颜色 6 2 3 2 2 2 3" xfId="8047"/>
    <cellStyle name="40% - 强调文字颜色 6 2 3 2 2 3" xfId="6442"/>
    <cellStyle name="40% - 强调文字颜色 6 2 3 2 2 3 2" xfId="8051"/>
    <cellStyle name="40% - 强调文字颜色 6 2 3 2 2 3 3" xfId="8053"/>
    <cellStyle name="40% - 强调文字颜色 6 2 3 2 2 4" xfId="8056"/>
    <cellStyle name="40% - 强调文字颜色 6 2 3 2 3" xfId="6448"/>
    <cellStyle name="40% - 强调文字颜色 6 2 3 2 3 2" xfId="8064"/>
    <cellStyle name="40% - 强调文字颜色 6 2 3 2 3 2 2" xfId="8070"/>
    <cellStyle name="40% - 强调文字颜色 6 2 3 2 3 2 3" xfId="8075"/>
    <cellStyle name="40% - 强调文字颜色 6 2 3 2 3 3" xfId="8084"/>
    <cellStyle name="40% - 强调文字颜色 6 2 3 2 4" xfId="7062"/>
    <cellStyle name="40% - 强调文字颜色 6 2 3 2 4 2" xfId="8092"/>
    <cellStyle name="40% - 强调文字颜色 6 2 3 2 4 3" xfId="8101"/>
    <cellStyle name="40% - 强调文字颜色 6 2 3 2 5" xfId="5014"/>
    <cellStyle name="40% - 强调文字颜色 6 2 3 3" xfId="6452"/>
    <cellStyle name="40% - 强调文字颜色 6 2 3 3 2" xfId="4581"/>
    <cellStyle name="40% - 强调文字颜色 6 2 3 3 2 2" xfId="7051"/>
    <cellStyle name="40% - 强调文字颜色 6 2 3 3 2 2 2" xfId="8104"/>
    <cellStyle name="40% - 强调文字颜色 6 2 3 3 2 2 3" xfId="8106"/>
    <cellStyle name="40% - 强调文字颜色 6 2 3 3 2 3" xfId="8108"/>
    <cellStyle name="40% - 强调文字颜色 6 2 3 3 3" xfId="12"/>
    <cellStyle name="40% - 强调文字颜色 6 2 3 3 3 2" xfId="8115"/>
    <cellStyle name="40% - 强调文字颜色 6 2 3 3 3 3" xfId="8120"/>
    <cellStyle name="40% - 强调文字颜色 6 2 3 3 4" xfId="8131"/>
    <cellStyle name="40% - 强调文字颜色 6 2 3 4" xfId="6458"/>
    <cellStyle name="40% - 强调文字颜色 6 2 3 4 2" xfId="4590"/>
    <cellStyle name="40% - 强调文字颜色 6 2 3 4 2 2" xfId="8134"/>
    <cellStyle name="40% - 强调文字颜色 6 2 3 4 2 2 2" xfId="1771"/>
    <cellStyle name="40% - 强调文字颜色 6 2 3 4 2 2 3" xfId="4669"/>
    <cellStyle name="40% - 强调文字颜色 6 2 3 4 2 3" xfId="8138"/>
    <cellStyle name="40% - 强调文字颜色 6 2 3 4 3" xfId="8145"/>
    <cellStyle name="40% - 强调文字颜色 6 2 3 4 3 2" xfId="1964"/>
    <cellStyle name="40% - 强调文字颜色 6 2 3 4 3 3" xfId="2264"/>
    <cellStyle name="40% - 强调文字颜色 6 2 3 4 4" xfId="8151"/>
    <cellStyle name="40% - 强调文字颜色 6 2 3 5" xfId="8156"/>
    <cellStyle name="40% - 强调文字颜色 6 2 3 5 2" xfId="8158"/>
    <cellStyle name="40% - 强调文字颜色 6 2 3 5 2 2" xfId="8164"/>
    <cellStyle name="40% - 强调文字颜色 6 2 3 5 2 3" xfId="8170"/>
    <cellStyle name="40% - 强调文字颜色 6 2 3 5 3" xfId="8171"/>
    <cellStyle name="40% - 强调文字颜色 6 2 3 6" xfId="8172"/>
    <cellStyle name="40% - 强调文字颜色 6 2 3 6 2" xfId="8173"/>
    <cellStyle name="40% - 强调文字颜色 6 2 3 6 3" xfId="576"/>
    <cellStyle name="40% - 强调文字颜色 6 2 3 7" xfId="8175"/>
    <cellStyle name="40% - 强调文字颜色 6 2 4" xfId="8177"/>
    <cellStyle name="40% - 强调文字颜色 6 2 4 2" xfId="6480"/>
    <cellStyle name="40% - 强调文字颜色 6 2 4 2 2" xfId="6484"/>
    <cellStyle name="40% - 强调文字颜色 6 2 4 2 2 2" xfId="7557"/>
    <cellStyle name="40% - 强调文字颜色 6 2 4 2 2 2 2" xfId="8180"/>
    <cellStyle name="40% - 强调文字颜色 6 2 4 2 2 2 2 2" xfId="8185"/>
    <cellStyle name="40% - 强调文字颜色 6 2 4 2 2 2 2 3" xfId="3892"/>
    <cellStyle name="40% - 强调文字颜色 6 2 4 2 2 2 3" xfId="8189"/>
    <cellStyle name="40% - 强调文字颜色 6 2 4 2 2 3" xfId="8196"/>
    <cellStyle name="40% - 强调文字颜色 6 2 4 2 2 3 2" xfId="8200"/>
    <cellStyle name="40% - 强调文字颜色 6 2 4 2 2 3 3" xfId="8205"/>
    <cellStyle name="40% - 强调文字颜色 6 2 4 2 2 4" xfId="8212"/>
    <cellStyle name="40% - 强调文字颜色 6 2 4 2 3" xfId="724"/>
    <cellStyle name="40% - 强调文字颜色 6 2 4 2 3 2" xfId="733"/>
    <cellStyle name="40% - 强调文字颜色 6 2 4 2 3 2 2" xfId="741"/>
    <cellStyle name="40% - 强调文字颜色 6 2 4 2 3 2 3" xfId="755"/>
    <cellStyle name="40% - 强调文字颜色 6 2 4 2 3 3" xfId="775"/>
    <cellStyle name="40% - 强调文字颜色 6 2 4 2 4" xfId="797"/>
    <cellStyle name="40% - 强调文字颜色 6 2 4 2 4 2" xfId="810"/>
    <cellStyle name="40% - 强调文字颜色 6 2 4 2 4 3" xfId="829"/>
    <cellStyle name="40% - 强调文字颜色 6 2 4 2 5" xfId="846"/>
    <cellStyle name="40% - 强调文字颜色 6 2 4 3" xfId="6490"/>
    <cellStyle name="40% - 强调文字颜色 6 2 4 3 2" xfId="3378"/>
    <cellStyle name="40% - 强调文字颜色 6 2 4 3 2 2" xfId="8214"/>
    <cellStyle name="40% - 强调文字颜色 6 2 4 3 2 2 2" xfId="5936"/>
    <cellStyle name="40% - 强调文字颜色 6 2 4 3 2 2 3" xfId="8215"/>
    <cellStyle name="40% - 强调文字颜色 6 2 4 3 2 3" xfId="8217"/>
    <cellStyle name="40% - 强调文字颜色 6 2 4 3 3" xfId="862"/>
    <cellStyle name="40% - 强调文字颜色 6 2 4 3 3 2" xfId="881"/>
    <cellStyle name="40% - 强调文字颜色 6 2 4 3 3 3" xfId="119"/>
    <cellStyle name="40% - 强调文字颜色 6 2 4 3 4" xfId="889"/>
    <cellStyle name="40% - 强调文字颜色 6 2 4 4" xfId="8221"/>
    <cellStyle name="40% - 强调文字颜色 6 2 4 4 2" xfId="8224"/>
    <cellStyle name="40% - 强调文字颜色 6 2 4 4 2 2" xfId="8226"/>
    <cellStyle name="40% - 强调文字颜色 6 2 4 4 2 2 2" xfId="2852"/>
    <cellStyle name="40% - 强调文字颜色 6 2 4 4 2 2 3" xfId="5304"/>
    <cellStyle name="40% - 强调文字颜色 6 2 4 4 2 3" xfId="8229"/>
    <cellStyle name="40% - 强调文字颜色 6 2 4 4 3" xfId="904"/>
    <cellStyle name="40% - 强调文字颜色 6 2 4 4 3 2" xfId="4391"/>
    <cellStyle name="40% - 强调文字颜色 6 2 4 4 3 3" xfId="4406"/>
    <cellStyle name="40% - 强调文字颜色 6 2 4 4 4" xfId="908"/>
    <cellStyle name="40% - 强调文字颜色 6 2 4 5" xfId="8234"/>
    <cellStyle name="40% - 强调文字颜色 6 2 4 5 2" xfId="4478"/>
    <cellStyle name="40% - 强调文字颜色 6 2 4 5 2 2" xfId="8238"/>
    <cellStyle name="40% - 强调文字颜色 6 2 4 5 2 3" xfId="8242"/>
    <cellStyle name="40% - 强调文字颜色 6 2 4 5 3" xfId="8245"/>
    <cellStyle name="40% - 强调文字颜色 6 2 4 6" xfId="8246"/>
    <cellStyle name="40% - 强调文字颜色 6 2 4 6 2" xfId="7301"/>
    <cellStyle name="40% - 强调文字颜色 6 2 4 6 3" xfId="8250"/>
    <cellStyle name="40% - 强调文字颜色 6 2 4 7" xfId="8253"/>
    <cellStyle name="40% - 强调文字颜色 6 2 5" xfId="5832"/>
    <cellStyle name="40% - 强调文字颜色 6 2 5 2" xfId="6508"/>
    <cellStyle name="40% - 强调文字颜色 6 2 5 2 2" xfId="6512"/>
    <cellStyle name="40% - 强调文字颜色 6 2 5 2 2 2" xfId="7725"/>
    <cellStyle name="40% - 强调文字颜色 6 2 5 2 2 2 2" xfId="8256"/>
    <cellStyle name="40% - 强调文字颜色 6 2 5 2 2 2 3" xfId="8259"/>
    <cellStyle name="40% - 强调文字颜色 6 2 5 2 2 3" xfId="8263"/>
    <cellStyle name="40% - 强调文字颜色 6 2 5 2 3" xfId="1170"/>
    <cellStyle name="40% - 强调文字颜色 6 2 5 2 3 2" xfId="179"/>
    <cellStyle name="40% - 强调文字颜色 6 2 5 2 3 3" xfId="1207"/>
    <cellStyle name="40% - 强调文字颜色 6 2 5 2 4" xfId="1219"/>
    <cellStyle name="40% - 强调文字颜色 6 2 5 3" xfId="6518"/>
    <cellStyle name="40% - 强调文字颜色 6 2 5 3 2" xfId="8267"/>
    <cellStyle name="40% - 强调文字颜色 6 2 5 3 2 2" xfId="7707"/>
    <cellStyle name="40% - 强调文字颜色 6 2 5 3 2 3" xfId="8268"/>
    <cellStyle name="40% - 强调文字颜色 6 2 5 3 3" xfId="1255"/>
    <cellStyle name="40% - 强调文字颜色 6 2 5 4" xfId="8270"/>
    <cellStyle name="40% - 强调文字颜色 6 2 5 4 2" xfId="8271"/>
    <cellStyle name="40% - 强调文字颜色 6 2 5 4 3" xfId="1272"/>
    <cellStyle name="40% - 强调文字颜色 6 2 5 5" xfId="8273"/>
    <cellStyle name="40% - 强调文字颜色 6 2 6" xfId="5836"/>
    <cellStyle name="40% - 强调文字颜色 6 2 6 2" xfId="6529"/>
    <cellStyle name="40% - 强调文字颜色 6 2 6 2 2" xfId="8276"/>
    <cellStyle name="40% - 强调文字颜色 6 2 6 2 2 2" xfId="8285"/>
    <cellStyle name="40% - 强调文字颜色 6 2 6 2 2 3" xfId="8288"/>
    <cellStyle name="40% - 强调文字颜色 6 2 6 2 3" xfId="1485"/>
    <cellStyle name="40% - 强调文字颜色 6 2 6 3" xfId="8291"/>
    <cellStyle name="40% - 强调文字颜色 6 2 6 3 2" xfId="8295"/>
    <cellStyle name="40% - 强调文字颜色 6 2 6 3 3" xfId="167"/>
    <cellStyle name="40% - 强调文字颜色 6 2 6 4" xfId="8298"/>
    <cellStyle name="40% - 强调文字颜色 6 2 7" xfId="4604"/>
    <cellStyle name="40% - 强调文字颜色 6 2 7 2" xfId="4615"/>
    <cellStyle name="40% - 强调文字颜色 6 2 7 2 2" xfId="4625"/>
    <cellStyle name="40% - 强调文字颜色 6 2 7 2 2 2" xfId="3533"/>
    <cellStyle name="40% - 强调文字颜色 6 2 7 2 2 3" xfId="3569"/>
    <cellStyle name="40% - 强调文字颜色 6 2 7 2 3" xfId="1763"/>
    <cellStyle name="40% - 强调文字颜色 6 2 7 3" xfId="4673"/>
    <cellStyle name="40% - 强调文字颜色 6 2 7 3 2" xfId="4677"/>
    <cellStyle name="40% - 强调文字颜色 6 2 7 3 3" xfId="4704"/>
    <cellStyle name="40% - 强调文字颜色 6 2 7 4" xfId="1478"/>
    <cellStyle name="40% - 强调文字颜色 6 2 8" xfId="4793"/>
    <cellStyle name="40% - 强调文字颜色 6 2 8 2" xfId="4795"/>
    <cellStyle name="40% - 强调文字颜色 6 2 8 2 2" xfId="4805"/>
    <cellStyle name="40% - 强调文字颜色 6 2 8 2 3" xfId="4849"/>
    <cellStyle name="40% - 强调文字颜色 6 2 8 3" xfId="4863"/>
    <cellStyle name="40% - 强调文字颜色 6 2 9" xfId="4933"/>
    <cellStyle name="40% - 强调文字颜色 6 2 9 2" xfId="4937"/>
    <cellStyle name="60% - 强调文字颜色 1 2" xfId="3167"/>
    <cellStyle name="60% - 强调文字颜色 1 2 10" xfId="4431"/>
    <cellStyle name="60% - 强调文字颜色 1 2 2" xfId="8303"/>
    <cellStyle name="60% - 强调文字颜色 1 2 2 2" xfId="8305"/>
    <cellStyle name="60% - 强调文字颜色 1 2 2 2 2" xfId="8307"/>
    <cellStyle name="60% - 强调文字颜色 1 2 2 2 2 2" xfId="8308"/>
    <cellStyle name="60% - 强调文字颜色 1 2 2 2 2 2 2" xfId="8314"/>
    <cellStyle name="60% - 强调文字颜色 1 2 2 2 2 2 2 2" xfId="8319"/>
    <cellStyle name="60% - 强调文字颜色 1 2 2 2 2 2 2 3" xfId="8325"/>
    <cellStyle name="60% - 强调文字颜色 1 2 2 2 2 2 3" xfId="8329"/>
    <cellStyle name="60% - 强调文字颜色 1 2 2 2 2 3" xfId="8331"/>
    <cellStyle name="60% - 强调文字颜色 1 2 2 2 2 3 2" xfId="8335"/>
    <cellStyle name="60% - 强调文字颜色 1 2 2 2 2 3 3" xfId="6657"/>
    <cellStyle name="60% - 强调文字颜色 1 2 2 2 2 4" xfId="8339"/>
    <cellStyle name="60% - 强调文字颜色 1 2 2 2 3" xfId="8342"/>
    <cellStyle name="60% - 强调文字颜色 1 2 2 2 3 2" xfId="8343"/>
    <cellStyle name="60% - 强调文字颜色 1 2 2 2 3 2 2" xfId="4492"/>
    <cellStyle name="60% - 强调文字颜色 1 2 2 2 3 2 3" xfId="5"/>
    <cellStyle name="60% - 强调文字颜色 1 2 2 2 3 3" xfId="6162"/>
    <cellStyle name="60% - 强调文字颜色 1 2 2 2 4" xfId="8349"/>
    <cellStyle name="60% - 强调文字颜色 1 2 2 2 4 2" xfId="8351"/>
    <cellStyle name="60% - 强调文字颜色 1 2 2 2 4 3" xfId="8357"/>
    <cellStyle name="60% - 强调文字颜色 1 2 2 2 5" xfId="7843"/>
    <cellStyle name="60% - 强调文字颜色 1 2 2 3" xfId="8360"/>
    <cellStyle name="60% - 强调文字颜色 1 2 2 3 2" xfId="7379"/>
    <cellStyle name="60% - 强调文字颜色 1 2 2 3 2 2" xfId="7385"/>
    <cellStyle name="60% - 强调文字颜色 1 2 2 3 2 2 2" xfId="7388"/>
    <cellStyle name="60% - 强调文字颜色 1 2 2 3 2 2 3" xfId="7402"/>
    <cellStyle name="60% - 强调文字颜色 1 2 2 3 2 3" xfId="5949"/>
    <cellStyle name="60% - 强调文字颜色 1 2 2 3 3" xfId="2094"/>
    <cellStyle name="60% - 强调文字颜色 1 2 2 3 3 2" xfId="2959"/>
    <cellStyle name="60% - 强调文字颜色 1 2 2 3 3 3" xfId="3042"/>
    <cellStyle name="60% - 强调文字颜色 1 2 2 3 4" xfId="1858"/>
    <cellStyle name="60% - 强调文字颜色 1 2 2 4" xfId="8362"/>
    <cellStyle name="60% - 强调文字颜色 1 2 2 4 2" xfId="8365"/>
    <cellStyle name="60% - 强调文字颜色 1 2 2 4 2 2" xfId="8366"/>
    <cellStyle name="60% - 强调文字颜色 1 2 2 4 2 2 2" xfId="8372"/>
    <cellStyle name="60% - 强调文字颜色 1 2 2 4 2 2 3" xfId="8373"/>
    <cellStyle name="60% - 强调文字颜色 1 2 2 4 2 3" xfId="8376"/>
    <cellStyle name="60% - 强调文字颜色 1 2 2 4 3" xfId="8380"/>
    <cellStyle name="60% - 强调文字颜色 1 2 2 4 3 2" xfId="8382"/>
    <cellStyle name="60% - 强调文字颜色 1 2 2 4 3 3" xfId="8388"/>
    <cellStyle name="60% - 强调文字颜色 1 2 2 4 4" xfId="8391"/>
    <cellStyle name="60% - 强调文字颜色 1 2 2 5" xfId="8394"/>
    <cellStyle name="60% - 强调文字颜色 1 2 2 5 2" xfId="6850"/>
    <cellStyle name="60% - 强调文字颜色 1 2 2 5 2 2" xfId="6858"/>
    <cellStyle name="60% - 强调文字颜色 1 2 2 5 2 3" xfId="6862"/>
    <cellStyle name="60% - 强调文字颜色 1 2 2 5 3" xfId="6868"/>
    <cellStyle name="60% - 强调文字颜色 1 2 2 6" xfId="8396"/>
    <cellStyle name="60% - 强调文字颜色 1 2 2 6 2" xfId="2321"/>
    <cellStyle name="60% - 强调文字颜色 1 2 2 6 3" xfId="8402"/>
    <cellStyle name="60% - 强调文字颜色 1 2 2 7" xfId="1379"/>
    <cellStyle name="60% - 强调文字颜色 1 2 3" xfId="8404"/>
    <cellStyle name="60% - 强调文字颜色 1 2 3 2" xfId="8406"/>
    <cellStyle name="60% - 强调文字颜色 1 2 3 2 2" xfId="8407"/>
    <cellStyle name="60% - 强调文字颜色 1 2 3 2 2 2" xfId="2621"/>
    <cellStyle name="60% - 强调文字颜色 1 2 3 2 2 2 2" xfId="2637"/>
    <cellStyle name="60% - 强调文字颜色 1 2 3 2 2 2 2 2" xfId="503"/>
    <cellStyle name="60% - 强调文字颜色 1 2 3 2 2 2 2 3" xfId="95"/>
    <cellStyle name="60% - 强调文字颜色 1 2 3 2 2 2 3" xfId="2678"/>
    <cellStyle name="60% - 强调文字颜色 1 2 3 2 2 3" xfId="2816"/>
    <cellStyle name="60% - 强调文字颜色 1 2 3 2 2 3 2" xfId="2820"/>
    <cellStyle name="60% - 强调文字颜色 1 2 3 2 2 3 3" xfId="2844"/>
    <cellStyle name="60% - 强调文字颜色 1 2 3 2 2 4" xfId="2857"/>
    <cellStyle name="60% - 强调文字颜色 1 2 3 2 3" xfId="8408"/>
    <cellStyle name="60% - 强调文字颜色 1 2 3 2 3 2" xfId="8409"/>
    <cellStyle name="60% - 强调文字颜色 1 2 3 2 3 2 2" xfId="5111"/>
    <cellStyle name="60% - 强调文字颜色 1 2 3 2 3 2 3" xfId="6131"/>
    <cellStyle name="60% - 强调文字颜色 1 2 3 2 3 3" xfId="8412"/>
    <cellStyle name="60% - 强调文字颜色 1 2 3 2 4" xfId="8414"/>
    <cellStyle name="60% - 强调文字颜色 1 2 3 2 4 2" xfId="8415"/>
    <cellStyle name="60% - 强调文字颜色 1 2 3 2 4 3" xfId="8418"/>
    <cellStyle name="60% - 强调文字颜色 1 2 3 2 5" xfId="8421"/>
    <cellStyle name="60% - 强调文字颜色 1 2 3 3" xfId="8422"/>
    <cellStyle name="60% - 强调文字颜色 1 2 3 3 2" xfId="7876"/>
    <cellStyle name="60% - 强调文字颜色 1 2 3 3 2 2" xfId="3264"/>
    <cellStyle name="60% - 强调文字颜色 1 2 3 3 2 2 2" xfId="3491"/>
    <cellStyle name="60% - 强调文字颜色 1 2 3 3 2 2 3" xfId="639"/>
    <cellStyle name="60% - 强调文字颜色 1 2 3 3 2 3" xfId="3681"/>
    <cellStyle name="60% - 强调文字颜色 1 2 3 3 3" xfId="3920"/>
    <cellStyle name="60% - 强调文字颜色 1 2 3 3 3 2" xfId="3925"/>
    <cellStyle name="60% - 强调文字颜色 1 2 3 3 3 3" xfId="3966"/>
    <cellStyle name="60% - 强调文字颜色 1 2 3 3 4" xfId="4053"/>
    <cellStyle name="60% - 强调文字颜色 1 2 3 4" xfId="8423"/>
    <cellStyle name="60% - 强调文字颜色 1 2 3 4 2" xfId="8424"/>
    <cellStyle name="60% - 强调文字颜色 1 2 3 4 2 2" xfId="4301"/>
    <cellStyle name="60% - 强调文字颜色 1 2 3 4 2 2 2" xfId="4304"/>
    <cellStyle name="60% - 强调文字颜色 1 2 3 4 2 2 3" xfId="65"/>
    <cellStyle name="60% - 强调文字颜色 1 2 3 4 2 3" xfId="4509"/>
    <cellStyle name="60% - 强调文字颜色 1 2 3 4 3" xfId="8429"/>
    <cellStyle name="60% - 强调文字颜色 1 2 3 4 3 2" xfId="8431"/>
    <cellStyle name="60% - 强调文字颜色 1 2 3 4 3 3" xfId="8436"/>
    <cellStyle name="60% - 强调文字颜色 1 2 3 4 4" xfId="8440"/>
    <cellStyle name="60% - 强调文字颜色 1 2 3 5" xfId="8442"/>
    <cellStyle name="60% - 强调文字颜色 1 2 3 5 2" xfId="6686"/>
    <cellStyle name="60% - 强调文字颜色 1 2 3 5 2 2" xfId="4929"/>
    <cellStyle name="60% - 强调文字颜色 1 2 3 5 2 3" xfId="4956"/>
    <cellStyle name="60% - 强调文字颜色 1 2 3 5 3" xfId="6980"/>
    <cellStyle name="60% - 强调文字颜色 1 2 3 6" xfId="8444"/>
    <cellStyle name="60% - 强调文字颜色 1 2 3 6 2" xfId="7005"/>
    <cellStyle name="60% - 强调文字颜色 1 2 3 6 3" xfId="8448"/>
    <cellStyle name="60% - 强调文字颜色 1 2 3 7" xfId="8454"/>
    <cellStyle name="60% - 强调文字颜色 1 2 4" xfId="8457"/>
    <cellStyle name="60% - 强调文字颜色 1 2 4 2" xfId="8459"/>
    <cellStyle name="60% - 强调文字颜色 1 2 4 2 2" xfId="2242"/>
    <cellStyle name="60% - 强调文字颜色 1 2 4 2 2 2" xfId="4414"/>
    <cellStyle name="60% - 强调文字颜色 1 2 4 2 2 2 2" xfId="8462"/>
    <cellStyle name="60% - 强调文字颜色 1 2 4 2 2 2 2 2" xfId="8465"/>
    <cellStyle name="60% - 强调文字颜色 1 2 4 2 2 2 2 3" xfId="8466"/>
    <cellStyle name="60% - 强调文字颜色 1 2 4 2 2 2 3" xfId="8467"/>
    <cellStyle name="60% - 强调文字颜色 1 2 4 2 2 3" xfId="8469"/>
    <cellStyle name="60% - 强调文字颜色 1 2 4 2 2 3 2" xfId="8473"/>
    <cellStyle name="60% - 强调文字颜色 1 2 4 2 2 3 3" xfId="8475"/>
    <cellStyle name="60% - 强调文字颜色 1 2 4 2 2 4" xfId="8477"/>
    <cellStyle name="60% - 强调文字颜色 1 2 4 2 3" xfId="2254"/>
    <cellStyle name="60% - 强调文字颜色 1 2 4 2 3 2" xfId="436"/>
    <cellStyle name="60% - 强调文字颜色 1 2 4 2 3 2 2" xfId="8484"/>
    <cellStyle name="60% - 强调文字颜色 1 2 4 2 3 2 3" xfId="8486"/>
    <cellStyle name="60% - 强调文字颜色 1 2 4 2 3 3" xfId="6346"/>
    <cellStyle name="60% - 强调文字颜色 1 2 4 2 4" xfId="6348"/>
    <cellStyle name="60% - 强调文字颜色 1 2 4 2 4 2" xfId="1"/>
    <cellStyle name="60% - 强调文字颜色 1 2 4 2 4 3" xfId="8488"/>
    <cellStyle name="60% - 强调文字颜色 1 2 4 2 5" xfId="6677"/>
    <cellStyle name="60% - 强调文字颜色 1 2 4 3" xfId="8489"/>
    <cellStyle name="60% - 强调文字颜色 1 2 4 3 2" xfId="5837"/>
    <cellStyle name="60% - 强调文字颜色 1 2 4 3 2 2" xfId="6527"/>
    <cellStyle name="60% - 强调文字颜色 1 2 4 3 2 2 2" xfId="8279"/>
    <cellStyle name="60% - 强调文字颜色 1 2 4 3 2 2 3" xfId="1482"/>
    <cellStyle name="60% - 强调文字颜色 1 2 4 3 2 3" xfId="8294"/>
    <cellStyle name="60% - 强调文字颜色 1 2 4 3 3" xfId="4600"/>
    <cellStyle name="60% - 强调文字颜色 1 2 4 3 3 2" xfId="4619"/>
    <cellStyle name="60% - 强调文字颜色 1 2 4 3 3 3" xfId="4674"/>
    <cellStyle name="60% - 强调文字颜色 1 2 4 3 4" xfId="4789"/>
    <cellStyle name="60% - 强调文字颜色 1 2 4 4" xfId="8491"/>
    <cellStyle name="60% - 强调文字颜色 1 2 4 4 2" xfId="8492"/>
    <cellStyle name="60% - 强调文字颜色 1 2 4 4 2 2" xfId="7980"/>
    <cellStyle name="60% - 强调文字颜色 1 2 4 4 2 2 2" xfId="8497"/>
    <cellStyle name="60% - 强调文字颜色 1 2 4 4 2 2 3" xfId="7895"/>
    <cellStyle name="60% - 强调文字颜色 1 2 4 4 2 3" xfId="8498"/>
    <cellStyle name="60% - 强调文字颜色 1 2 4 4 3" xfId="8501"/>
    <cellStyle name="60% - 强调文字颜色 1 2 4 4 3 2" xfId="8006"/>
    <cellStyle name="60% - 强调文字颜色 1 2 4 4 3 3" xfId="8503"/>
    <cellStyle name="60% - 强调文字颜色 1 2 4 4 4" xfId="8506"/>
    <cellStyle name="60% - 强调文字颜色 1 2 4 5" xfId="8510"/>
    <cellStyle name="60% - 强调文字颜色 1 2 4 5 2" xfId="7068"/>
    <cellStyle name="60% - 强调文字颜色 1 2 4 5 2 2" xfId="8129"/>
    <cellStyle name="60% - 强调文字颜色 1 2 4 5 2 3" xfId="8518"/>
    <cellStyle name="60% - 强调文字颜色 1 2 4 5 3" xfId="8525"/>
    <cellStyle name="60% - 强调文字颜色 1 2 4 6" xfId="8527"/>
    <cellStyle name="60% - 强调文字颜色 1 2 4 6 2" xfId="8531"/>
    <cellStyle name="60% - 强调文字颜色 1 2 4 6 3" xfId="8536"/>
    <cellStyle name="60% - 强调文字颜色 1 2 4 7" xfId="8538"/>
    <cellStyle name="60% - 强调文字颜色 1 2 5" xfId="8541"/>
    <cellStyle name="60% - 强调文字颜色 1 2 5 2" xfId="2131"/>
    <cellStyle name="60% - 强调文字颜色 1 2 5 2 2" xfId="2786"/>
    <cellStyle name="60% - 强调文字颜色 1 2 5 2 2 2" xfId="8545"/>
    <cellStyle name="60% - 强调文字颜色 1 2 5 2 2 2 2" xfId="5808"/>
    <cellStyle name="60% - 强调文字颜色 1 2 5 2 2 2 3" xfId="5824"/>
    <cellStyle name="60% - 强调文字颜色 1 2 5 2 2 3" xfId="8550"/>
    <cellStyle name="60% - 强调文字颜色 1 2 5 2 3" xfId="2804"/>
    <cellStyle name="60% - 强调文字颜色 1 2 5 2 3 2" xfId="8551"/>
    <cellStyle name="60% - 强调文字颜色 1 2 5 2 3 3" xfId="8553"/>
    <cellStyle name="60% - 强调文字颜色 1 2 5 2 4" xfId="6376"/>
    <cellStyle name="60% - 强调文字颜色 1 2 5 3" xfId="2813"/>
    <cellStyle name="60% - 强调文字颜色 1 2 5 3 2" xfId="1994"/>
    <cellStyle name="60% - 强调文字颜色 1 2 5 3 2 2" xfId="8557"/>
    <cellStyle name="60% - 强调文字颜色 1 2 5 3 2 3" xfId="8564"/>
    <cellStyle name="60% - 强调文字颜色 1 2 5 3 3" xfId="3315"/>
    <cellStyle name="60% - 强调文字颜色 1 2 5 4" xfId="2890"/>
    <cellStyle name="60% - 强调文字颜色 1 2 5 4 2" xfId="8572"/>
    <cellStyle name="60% - 强调文字颜色 1 2 5 4 3" xfId="8580"/>
    <cellStyle name="60% - 强调文字颜色 1 2 5 5" xfId="2900"/>
    <cellStyle name="60% - 强调文字颜色 1 2 6" xfId="8591"/>
    <cellStyle name="60% - 强调文字颜色 1 2 6 2" xfId="2159"/>
    <cellStyle name="60% - 强调文字颜色 1 2 6 2 2" xfId="5404"/>
    <cellStyle name="60% - 强调文字颜色 1 2 6 2 2 2" xfId="8592"/>
    <cellStyle name="60% - 强调文字颜色 1 2 6 2 2 3" xfId="8595"/>
    <cellStyle name="60% - 强调文字颜色 1 2 6 2 3" xfId="5414"/>
    <cellStyle name="60% - 强调文字颜色 1 2 6 3" xfId="3327"/>
    <cellStyle name="60% - 强调文字颜色 1 2 6 3 2" xfId="8596"/>
    <cellStyle name="60% - 强调文字颜色 1 2 6 3 3" xfId="8599"/>
    <cellStyle name="60% - 强调文字颜色 1 2 6 4" xfId="3339"/>
    <cellStyle name="60% - 强调文字颜色 1 2 7" xfId="8612"/>
    <cellStyle name="60% - 强调文字颜色 1 2 7 2" xfId="8617"/>
    <cellStyle name="60% - 强调文字颜色 1 2 7 2 2" xfId="8620"/>
    <cellStyle name="60% - 强调文字颜色 1 2 7 2 2 2" xfId="8621"/>
    <cellStyle name="60% - 强调文字颜色 1 2 7 2 2 3" xfId="8624"/>
    <cellStyle name="60% - 强调文字颜色 1 2 7 2 3" xfId="8461"/>
    <cellStyle name="60% - 强调文字颜色 1 2 7 3" xfId="8630"/>
    <cellStyle name="60% - 强调文字颜色 1 2 7 3 2" xfId="8634"/>
    <cellStyle name="60% - 强调文字颜色 1 2 7 3 3" xfId="8470"/>
    <cellStyle name="60% - 强调文字颜色 1 2 7 4" xfId="8636"/>
    <cellStyle name="60% - 强调文字颜色 1 2 8" xfId="8648"/>
    <cellStyle name="60% - 强调文字颜色 1 2 8 2" xfId="8652"/>
    <cellStyle name="60% - 强调文字颜色 1 2 8 2 2" xfId="5586"/>
    <cellStyle name="60% - 强调文字颜色 1 2 8 2 3" xfId="8483"/>
    <cellStyle name="60% - 强调文字颜色 1 2 8 3" xfId="5569"/>
    <cellStyle name="60% - 强调文字颜色 1 2 9" xfId="8653"/>
    <cellStyle name="60% - 强调文字颜色 1 2 9 2" xfId="189"/>
    <cellStyle name="60% - 强调文字颜色 2 2" xfId="1588"/>
    <cellStyle name="60% - 强调文字颜色 2 2 10" xfId="1202"/>
    <cellStyle name="60% - 强调文字颜色 2 2 2" xfId="8657"/>
    <cellStyle name="60% - 强调文字颜色 2 2 2 2" xfId="8661"/>
    <cellStyle name="60% - 强调文字颜色 2 2 2 2 2" xfId="8664"/>
    <cellStyle name="60% - 强调文字颜色 2 2 2 2 2 2" xfId="8668"/>
    <cellStyle name="60% - 强调文字颜色 2 2 2 2 2 2 2" xfId="5710"/>
    <cellStyle name="60% - 强调文字颜色 2 2 2 2 2 2 2 2" xfId="5715"/>
    <cellStyle name="60% - 强调文字颜色 2 2 2 2 2 2 2 3" xfId="5725"/>
    <cellStyle name="60% - 强调文字颜色 2 2 2 2 2 2 3" xfId="5739"/>
    <cellStyle name="60% - 强调文字颜色 2 2 2 2 2 3" xfId="8671"/>
    <cellStyle name="60% - 强调文字颜色 2 2 2 2 2 3 2" xfId="5748"/>
    <cellStyle name="60% - 强调文字颜色 2 2 2 2 2 3 3" xfId="8673"/>
    <cellStyle name="60% - 强调文字颜色 2 2 2 2 2 4" xfId="8674"/>
    <cellStyle name="60% - 强调文字颜色 2 2 2 2 3" xfId="8677"/>
    <cellStyle name="60% - 强调文字颜色 2 2 2 2 3 2" xfId="8678"/>
    <cellStyle name="60% - 强调文字颜色 2 2 2 2 3 2 2" xfId="8681"/>
    <cellStyle name="60% - 强调文字颜色 2 2 2 2 3 2 3" xfId="8685"/>
    <cellStyle name="60% - 强调文字颜色 2 2 2 2 3 3" xfId="8687"/>
    <cellStyle name="60% - 强调文字颜色 2 2 2 2 4" xfId="8696"/>
    <cellStyle name="60% - 强调文字颜色 2 2 2 2 4 2" xfId="8697"/>
    <cellStyle name="60% - 强调文字颜色 2 2 2 2 4 3" xfId="8699"/>
    <cellStyle name="60% - 强调文字颜色 2 2 2 2 5" xfId="8705"/>
    <cellStyle name="60% - 强调文字颜色 2 2 2 3" xfId="4951"/>
    <cellStyle name="60% - 强调文字颜色 2 2 2 3 2" xfId="565"/>
    <cellStyle name="60% - 强调文字颜色 2 2 2 3 2 2" xfId="2660"/>
    <cellStyle name="60% - 强调文字颜色 2 2 2 3 2 2 2" xfId="8706"/>
    <cellStyle name="60% - 强调文字颜色 2 2 2 3 2 2 3" xfId="8710"/>
    <cellStyle name="60% - 强调文字颜色 2 2 2 3 2 3" xfId="1985"/>
    <cellStyle name="60% - 强调文字颜色 2 2 2 3 3" xfId="1546"/>
    <cellStyle name="60% - 强调文字颜色 2 2 2 3 3 2" xfId="2178"/>
    <cellStyle name="60% - 强调文字颜色 2 2 2 3 3 3" xfId="2115"/>
    <cellStyle name="60% - 强调文字颜色 2 2 2 3 4" xfId="3698"/>
    <cellStyle name="60% - 强调文字颜色 2 2 2 4" xfId="171"/>
    <cellStyle name="60% - 强调文字颜色 2 2 2 4 2" xfId="1384"/>
    <cellStyle name="60% - 强调文字颜色 2 2 2 4 2 2" xfId="8714"/>
    <cellStyle name="60% - 强调文字颜色 2 2 2 4 2 2 2" xfId="8718"/>
    <cellStyle name="60% - 强调文字颜色 2 2 2 4 2 2 3" xfId="8719"/>
    <cellStyle name="60% - 强调文字颜色 2 2 2 4 2 3" xfId="8722"/>
    <cellStyle name="60% - 强调文字颜色 2 2 2 4 3" xfId="1389"/>
    <cellStyle name="60% - 强调文字颜色 2 2 2 4 3 2" xfId="8724"/>
    <cellStyle name="60% - 强调文字颜色 2 2 2 4 3 3" xfId="8729"/>
    <cellStyle name="60% - 强调文字颜色 2 2 2 4 4" xfId="3707"/>
    <cellStyle name="60% - 强调文字颜色 2 2 2 5" xfId="8734"/>
    <cellStyle name="60% - 强调文字颜色 2 2 2 5 2" xfId="533"/>
    <cellStyle name="60% - 强调文字颜色 2 2 2 5 2 2" xfId="7038"/>
    <cellStyle name="60% - 强调文字颜色 2 2 2 5 2 3" xfId="7183"/>
    <cellStyle name="60% - 强调文字颜色 2 2 2 5 3" xfId="4692"/>
    <cellStyle name="60% - 强调文字颜色 2 2 2 6" xfId="8736"/>
    <cellStyle name="60% - 强调文字颜色 2 2 2 6 2" xfId="7200"/>
    <cellStyle name="60% - 强调文字颜色 2 2 2 6 3" xfId="8743"/>
    <cellStyle name="60% - 强调文字颜色 2 2 2 7" xfId="8746"/>
    <cellStyle name="60% - 强调文字颜色 2 2 3" xfId="8748"/>
    <cellStyle name="60% - 强调文字颜色 2 2 3 2" xfId="8750"/>
    <cellStyle name="60% - 强调文字颜色 2 2 3 2 2" xfId="8756"/>
    <cellStyle name="60% - 强调文字颜色 2 2 3 2 2 2" xfId="8336"/>
    <cellStyle name="60% - 强调文字颜色 2 2 3 2 2 2 2" xfId="8758"/>
    <cellStyle name="60% - 强调文字颜色 2 2 3 2 2 2 2 2" xfId="8768"/>
    <cellStyle name="60% - 强调文字颜色 2 2 3 2 2 2 2 3" xfId="8773"/>
    <cellStyle name="60% - 强调文字颜色 2 2 3 2 2 2 3" xfId="8777"/>
    <cellStyle name="60% - 强调文字颜色 2 2 3 2 2 3" xfId="8784"/>
    <cellStyle name="60% - 强调文字颜色 2 2 3 2 2 3 2" xfId="8790"/>
    <cellStyle name="60% - 强调文字颜色 2 2 3 2 2 3 3" xfId="8795"/>
    <cellStyle name="60% - 强调文字颜色 2 2 3 2 2 4" xfId="8762"/>
    <cellStyle name="60% - 强调文字颜色 2 2 3 2 3" xfId="8798"/>
    <cellStyle name="60% - 强调文字颜色 2 2 3 2 3 2" xfId="6169"/>
    <cellStyle name="60% - 强调文字颜色 2 2 3 2 3 2 2" xfId="8800"/>
    <cellStyle name="60% - 强调文字颜色 2 2 3 2 3 2 3" xfId="8804"/>
    <cellStyle name="60% - 强调文字颜色 2 2 3 2 3 3" xfId="8808"/>
    <cellStyle name="60% - 强调文字颜色 2 2 3 2 4" xfId="8813"/>
    <cellStyle name="60% - 强调文字颜色 2 2 3 2 4 2" xfId="8816"/>
    <cellStyle name="60% - 强调文字颜色 2 2 3 2 4 3" xfId="8821"/>
    <cellStyle name="60% - 强调文字颜色 2 2 3 2 5" xfId="8825"/>
    <cellStyle name="60% - 强调文字颜色 2 2 3 3" xfId="8828"/>
    <cellStyle name="60% - 强调文字颜色 2 2 3 3 2" xfId="2725"/>
    <cellStyle name="60% - 强调文字颜色 2 2 3 3 2 2" xfId="4151"/>
    <cellStyle name="60% - 强调文字颜色 2 2 3 3 2 2 2" xfId="2906"/>
    <cellStyle name="60% - 强调文字颜色 2 2 3 3 2 2 3" xfId="1901"/>
    <cellStyle name="60% - 强调文字颜色 2 2 3 3 2 3" xfId="8834"/>
    <cellStyle name="60% - 强调文字颜色 2 2 3 3 3" xfId="3724"/>
    <cellStyle name="60% - 强调文字颜色 2 2 3 3 3 2" xfId="3082"/>
    <cellStyle name="60% - 强调文字颜色 2 2 3 3 3 3" xfId="3155"/>
    <cellStyle name="60% - 强调文字颜色 2 2 3 3 4" xfId="3736"/>
    <cellStyle name="60% - 强调文字颜色 2 2 3 4" xfId="8843"/>
    <cellStyle name="60% - 强调文字颜色 2 2 3 4 2" xfId="2398"/>
    <cellStyle name="60% - 强调文字颜色 2 2 3 4 2 2" xfId="8847"/>
    <cellStyle name="60% - 强调文字颜色 2 2 3 4 2 2 2" xfId="8849"/>
    <cellStyle name="60% - 强调文字颜色 2 2 3 4 2 2 3" xfId="8851"/>
    <cellStyle name="60% - 强调文字颜色 2 2 3 4 2 3" xfId="8855"/>
    <cellStyle name="60% - 强调文字颜色 2 2 3 4 3" xfId="8862"/>
    <cellStyle name="60% - 强调文字颜色 2 2 3 4 3 2" xfId="8867"/>
    <cellStyle name="60% - 强调文字颜色 2 2 3 4 3 3" xfId="8873"/>
    <cellStyle name="60% - 强调文字颜色 2 2 3 4 4" xfId="8877"/>
    <cellStyle name="60% - 强调文字颜色 2 2 3 5" xfId="923"/>
    <cellStyle name="60% - 强调文字颜色 2 2 3 5 2" xfId="6178"/>
    <cellStyle name="60% - 强调文字颜色 2 2 3 5 2 2" xfId="6188"/>
    <cellStyle name="60% - 强调文字颜色 2 2 3 5 2 3" xfId="6212"/>
    <cellStyle name="60% - 强调文字颜色 2 2 3 5 3" xfId="6239"/>
    <cellStyle name="60% - 强调文字颜色 2 2 3 6" xfId="6317"/>
    <cellStyle name="60% - 强调文字颜色 2 2 3 6 2" xfId="6322"/>
    <cellStyle name="60% - 强调文字颜色 2 2 3 6 3" xfId="6360"/>
    <cellStyle name="60% - 强调文字颜色 2 2 3 7" xfId="5183"/>
    <cellStyle name="60% - 强调文字颜色 2 2 4" xfId="8880"/>
    <cellStyle name="60% - 强调文字颜色 2 2 4 2" xfId="8883"/>
    <cellStyle name="60% - 强调文字颜色 2 2 4 2 2" xfId="8888"/>
    <cellStyle name="60% - 强调文字颜色 2 2 4 2 2 2" xfId="2855"/>
    <cellStyle name="60% - 强调文字颜色 2 2 4 2 2 2 2" xfId="2860"/>
    <cellStyle name="60% - 强调文字颜色 2 2 4 2 2 2 2 2" xfId="769"/>
    <cellStyle name="60% - 强调文字颜色 2 2 4 2 2 2 2 3" xfId="2552"/>
    <cellStyle name="60% - 强调文字颜色 2 2 4 2 2 2 3" xfId="2865"/>
    <cellStyle name="60% - 强调文字颜色 2 2 4 2 2 3" xfId="2870"/>
    <cellStyle name="60% - 强调文字颜色 2 2 4 2 2 3 2" xfId="1080"/>
    <cellStyle name="60% - 强调文字颜色 2 2 4 2 2 3 3" xfId="2884"/>
    <cellStyle name="60% - 强调文字颜色 2 2 4 2 2 4" xfId="2904"/>
    <cellStyle name="60% - 强调文字颜色 2 2 4 2 3" xfId="3466"/>
    <cellStyle name="60% - 强调文字颜色 2 2 4 2 3 2" xfId="52"/>
    <cellStyle name="60% - 强调文字颜色 2 2 4 2 3 2 2" xfId="5690"/>
    <cellStyle name="60% - 强调文字颜色 2 2 4 2 3 2 3" xfId="5695"/>
    <cellStyle name="60% - 强调文字颜色 2 2 4 2 3 3" xfId="5703"/>
    <cellStyle name="60% - 强调文字颜色 2 2 4 2 4" xfId="5709"/>
    <cellStyle name="60% - 强调文字颜色 2 2 4 2 4 2" xfId="5717"/>
    <cellStyle name="60% - 强调文字颜色 2 2 4 2 4 3" xfId="5727"/>
    <cellStyle name="60% - 强调文字颜色 2 2 4 2 5" xfId="5737"/>
    <cellStyle name="60% - 强调文字颜色 2 2 4 3" xfId="8890"/>
    <cellStyle name="60% - 强调文字颜色 2 2 4 3 2" xfId="2759"/>
    <cellStyle name="60% - 强调文字颜色 2 2 4 3 2 2" xfId="3770"/>
    <cellStyle name="60% - 强调文字颜色 2 2 4 3 2 2 2" xfId="3779"/>
    <cellStyle name="60% - 强调文字颜色 2 2 4 3 2 2 3" xfId="3824"/>
    <cellStyle name="60% - 强调文字颜色 2 2 4 3 2 3" xfId="3849"/>
    <cellStyle name="60% - 强调文字颜色 2 2 4 3 3" xfId="5742"/>
    <cellStyle name="60% - 强调文字颜色 2 2 4 3 3 2" xfId="3993"/>
    <cellStyle name="60% - 强调文字颜色 2 2 4 3 3 3" xfId="4027"/>
    <cellStyle name="60% - 强调文字颜色 2 2 4 3 4" xfId="5747"/>
    <cellStyle name="60% - 强调文字颜色 2 2 4 4" xfId="8903"/>
    <cellStyle name="60% - 强调文字颜色 2 2 4 4 2" xfId="2782"/>
    <cellStyle name="60% - 强调文字颜色 2 2 4 4 2 2" xfId="4538"/>
    <cellStyle name="60% - 强调文字颜色 2 2 4 4 2 2 2" xfId="2539"/>
    <cellStyle name="60% - 强调文字颜色 2 2 4 4 2 2 3" xfId="116"/>
    <cellStyle name="60% - 强调文字颜色 2 2 4 4 2 3" xfId="4561"/>
    <cellStyle name="60% - 强调文字颜色 2 2 4 4 3" xfId="5752"/>
    <cellStyle name="60% - 强调文字颜色 2 2 4 4 3 2" xfId="8906"/>
    <cellStyle name="60% - 强调文字颜色 2 2 4 4 3 3" xfId="8910"/>
    <cellStyle name="60% - 强调文字颜色 2 2 4 4 4" xfId="8916"/>
    <cellStyle name="60% - 强调文字颜色 2 2 4 5" xfId="8925"/>
    <cellStyle name="60% - 强调文字颜色 2 2 4 5 2" xfId="7361"/>
    <cellStyle name="60% - 强调文字颜色 2 2 4 5 2 2" xfId="4962"/>
    <cellStyle name="60% - 强调文字颜色 2 2 4 5 2 3" xfId="5217"/>
    <cellStyle name="60% - 强调文字颜色 2 2 4 5 3" xfId="8932"/>
    <cellStyle name="60% - 强调文字颜色 2 2 4 6" xfId="8934"/>
    <cellStyle name="60% - 强调文字颜色 2 2 4 6 2" xfId="8935"/>
    <cellStyle name="60% - 强调文字颜色 2 2 4 6 3" xfId="8942"/>
    <cellStyle name="60% - 强调文字颜色 2 2 4 7" xfId="8943"/>
    <cellStyle name="60% - 强调文字颜色 2 2 5" xfId="7335"/>
    <cellStyle name="60% - 强调文字颜色 2 2 5 2" xfId="2488"/>
    <cellStyle name="60% - 强调文字颜色 2 2 5 2 2" xfId="8946"/>
    <cellStyle name="60% - 强调文字颜色 2 2 5 2 2 2" xfId="8478"/>
    <cellStyle name="60% - 强调文字颜色 2 2 5 2 2 2 2" xfId="8949"/>
    <cellStyle name="60% - 强调文字颜色 2 2 5 2 2 2 3" xfId="8952"/>
    <cellStyle name="60% - 强调文字颜色 2 2 5 2 2 3" xfId="8954"/>
    <cellStyle name="60% - 强调文字颜色 2 2 5 2 3" xfId="8958"/>
    <cellStyle name="60% - 强调文字颜色 2 2 5 2 3 2" xfId="8959"/>
    <cellStyle name="60% - 强调文字颜色 2 2 5 2 3 3" xfId="8961"/>
    <cellStyle name="60% - 强调文字颜色 2 2 5 2 4" xfId="8683"/>
    <cellStyle name="60% - 强调文字颜色 2 2 5 3" xfId="3576"/>
    <cellStyle name="60% - 强调文字颜色 2 2 5 3 2" xfId="1400"/>
    <cellStyle name="60% - 强调文字颜色 2 2 5 3 2 2" xfId="8299"/>
    <cellStyle name="60% - 强调文字颜色 2 2 5 3 2 3" xfId="8963"/>
    <cellStyle name="60% - 强调文字颜色 2 2 5 3 3" xfId="1467"/>
    <cellStyle name="60% - 强调文字颜色 2 2 5 4" xfId="3586"/>
    <cellStyle name="60% - 强调文字颜色 2 2 5 4 2" xfId="8966"/>
    <cellStyle name="60% - 强调文字颜色 2 2 5 4 3" xfId="8972"/>
    <cellStyle name="60% - 强调文字颜色 2 2 5 5" xfId="4524"/>
    <cellStyle name="60% - 强调文字颜色 2 2 6" xfId="7352"/>
    <cellStyle name="60% - 强调文字颜色 2 2 6 2" xfId="2526"/>
    <cellStyle name="60% - 强调文字颜色 2 2 6 2 2" xfId="8976"/>
    <cellStyle name="60% - 强调文字颜色 2 2 6 2 2 2" xfId="8980"/>
    <cellStyle name="60% - 强调文字颜色 2 2 6 2 2 3" xfId="8981"/>
    <cellStyle name="60% - 强调文字颜色 2 2 6 2 3" xfId="8988"/>
    <cellStyle name="60% - 强调文字颜色 2 2 6 3" xfId="3592"/>
    <cellStyle name="60% - 强调文字颜色 2 2 6 3 2" xfId="8989"/>
    <cellStyle name="60% - 强调文字颜色 2 2 6 3 3" xfId="8990"/>
    <cellStyle name="60% - 强调文字颜色 2 2 6 4" xfId="3605"/>
    <cellStyle name="60% - 强调文字颜色 2 2 7" xfId="5763"/>
    <cellStyle name="60% - 强调文字颜色 2 2 7 2" xfId="5773"/>
    <cellStyle name="60% - 强调文字颜色 2 2 7 2 2" xfId="5781"/>
    <cellStyle name="60% - 强调文字颜色 2 2 7 2 2 2" xfId="5784"/>
    <cellStyle name="60% - 强调文字颜色 2 2 7 2 2 3" xfId="299"/>
    <cellStyle name="60% - 强调文字颜色 2 2 7 2 3" xfId="5806"/>
    <cellStyle name="60% - 强调文字颜色 2 2 7 3" xfId="4644"/>
    <cellStyle name="60% - 强调文字颜色 2 2 7 3 2" xfId="5841"/>
    <cellStyle name="60% - 强调文字颜色 2 2 7 3 3" xfId="5857"/>
    <cellStyle name="60% - 强调文字颜色 2 2 7 4" xfId="4657"/>
    <cellStyle name="60% - 强调文字颜色 2 2 8" xfId="5873"/>
    <cellStyle name="60% - 强调文字颜色 2 2 8 2" xfId="5876"/>
    <cellStyle name="60% - 强调文字颜色 2 2 8 2 2" xfId="5882"/>
    <cellStyle name="60% - 强调文字颜色 2 2 8 2 3" xfId="5921"/>
    <cellStyle name="60% - 强调文字颜色 2 2 8 3" xfId="5939"/>
    <cellStyle name="60% - 强调文字颜色 2 2 9" xfId="5042"/>
    <cellStyle name="60% - 强调文字颜色 2 2 9 2" xfId="5053"/>
    <cellStyle name="60% - 强调文字颜色 3 2" xfId="3731"/>
    <cellStyle name="60% - 强调文字颜色 3 2 10" xfId="1646"/>
    <cellStyle name="60% - 强调文字颜色 3 2 2" xfId="8992"/>
    <cellStyle name="60% - 强调文字颜色 3 2 2 2" xfId="3098"/>
    <cellStyle name="60% - 强调文字颜色 3 2 2 2 2" xfId="8995"/>
    <cellStyle name="60% - 强调文字颜色 3 2 2 2 2 2" xfId="8996"/>
    <cellStyle name="60% - 强调文字颜色 3 2 2 2 2 2 2" xfId="8507"/>
    <cellStyle name="60% - 强调文字颜色 3 2 2 2 2 2 2 2" xfId="9001"/>
    <cellStyle name="60% - 强调文字颜色 3 2 2 2 2 2 2 3" xfId="9006"/>
    <cellStyle name="60% - 强调文字颜色 3 2 2 2 2 2 3" xfId="9009"/>
    <cellStyle name="60% - 强调文字颜色 3 2 2 2 2 3" xfId="9010"/>
    <cellStyle name="60% - 强调文字颜色 3 2 2 2 2 3 2" xfId="9015"/>
    <cellStyle name="60% - 强调文字颜色 3 2 2 2 2 3 3" xfId="9017"/>
    <cellStyle name="60% - 强调文字颜色 3 2 2 2 2 4" xfId="9018"/>
    <cellStyle name="60% - 强调文字颜色 3 2 2 2 3" xfId="9022"/>
    <cellStyle name="60% - 强调文字颜色 3 2 2 2 3 2" xfId="9023"/>
    <cellStyle name="60% - 强调文字颜色 3 2 2 2 3 2 2" xfId="9032"/>
    <cellStyle name="60% - 强调文字颜色 3 2 2 2 3 2 3" xfId="9035"/>
    <cellStyle name="60% - 强调文字颜色 3 2 2 2 3 3" xfId="9036"/>
    <cellStyle name="60% - 强调文字颜色 3 2 2 2 4" xfId="9039"/>
    <cellStyle name="60% - 强调文字颜色 3 2 2 2 4 2" xfId="9041"/>
    <cellStyle name="60% - 强调文字颜色 3 2 2 2 4 3" xfId="9045"/>
    <cellStyle name="60% - 强调文字颜色 3 2 2 2 5" xfId="9049"/>
    <cellStyle name="60% - 强调文字颜色 3 2 2 3" xfId="9051"/>
    <cellStyle name="60% - 强调文字颜色 3 2 2 3 2" xfId="245"/>
    <cellStyle name="60% - 强调文字颜色 3 2 2 3 2 2" xfId="9056"/>
    <cellStyle name="60% - 强调文字颜色 3 2 2 3 2 2 2" xfId="8142"/>
    <cellStyle name="60% - 强调文字颜色 3 2 2 3 2 2 3" xfId="8149"/>
    <cellStyle name="60% - 强调文字颜色 3 2 2 3 2 3" xfId="9063"/>
    <cellStyle name="60% - 强调文字颜色 3 2 2 3 3" xfId="3152"/>
    <cellStyle name="60% - 强调文字颜色 3 2 2 3 3 2" xfId="898"/>
    <cellStyle name="60% - 强调文字颜色 3 2 2 3 3 3" xfId="913"/>
    <cellStyle name="60% - 强调文字颜色 3 2 2 3 4" xfId="3976"/>
    <cellStyle name="60% - 强调文字颜色 3 2 2 4" xfId="9065"/>
    <cellStyle name="60% - 强调文字颜色 3 2 2 4 2" xfId="6124"/>
    <cellStyle name="60% - 强调文字颜色 3 2 2 4 2 2" xfId="9067"/>
    <cellStyle name="60% - 强调文字颜色 3 2 2 4 2 2 2" xfId="9075"/>
    <cellStyle name="60% - 强调文字颜色 3 2 2 4 2 2 3" xfId="142"/>
    <cellStyle name="60% - 强调文字颜色 3 2 2 4 2 3" xfId="9077"/>
    <cellStyle name="60% - 强调文字颜色 3 2 2 4 3" xfId="9083"/>
    <cellStyle name="60% - 强调文字颜色 3 2 2 4 3 2" xfId="9088"/>
    <cellStyle name="60% - 强调文字颜色 3 2 2 4 3 3" xfId="9091"/>
    <cellStyle name="60% - 强调文字颜色 3 2 2 4 4" xfId="8317"/>
    <cellStyle name="60% - 强调文字颜色 3 2 2 5" xfId="9094"/>
    <cellStyle name="60% - 强调文字颜色 3 2 2 5 2" xfId="7603"/>
    <cellStyle name="60% - 强调文字颜色 3 2 2 5 2 2" xfId="7610"/>
    <cellStyle name="60% - 强调文字颜色 3 2 2 5 2 3" xfId="7617"/>
    <cellStyle name="60% - 强调文字颜色 3 2 2 5 3" xfId="3866"/>
    <cellStyle name="60% - 强调文字颜色 3 2 2 6" xfId="9098"/>
    <cellStyle name="60% - 强调文字颜色 3 2 2 6 2" xfId="4770"/>
    <cellStyle name="60% - 强调文字颜色 3 2 2 6 3" xfId="5503"/>
    <cellStyle name="60% - 强调文字颜色 3 2 2 7" xfId="9101"/>
    <cellStyle name="60% - 强调文字颜色 3 2 3" xfId="9104"/>
    <cellStyle name="60% - 强调文字颜色 3 2 3 2" xfId="9108"/>
    <cellStyle name="60% - 强调文字颜色 3 2 3 2 2" xfId="9109"/>
    <cellStyle name="60% - 强调文字颜色 3 2 3 2 2 2" xfId="8675"/>
    <cellStyle name="60% - 强调文字颜色 3 2 3 2 2 2 2" xfId="8917"/>
    <cellStyle name="60% - 强调文字颜色 3 2 3 2 2 2 2 2" xfId="9112"/>
    <cellStyle name="60% - 强调文字颜色 3 2 3 2 2 2 2 3" xfId="9115"/>
    <cellStyle name="60% - 强调文字颜色 3 2 3 2 2 2 3" xfId="8018"/>
    <cellStyle name="60% - 强调文字颜色 3 2 3 2 2 3" xfId="9118"/>
    <cellStyle name="60% - 强调文字颜色 3 2 3 2 2 3 2" xfId="9124"/>
    <cellStyle name="60% - 强调文字颜色 3 2 3 2 2 3 3" xfId="9126"/>
    <cellStyle name="60% - 强调文字颜色 3 2 3 2 2 4" xfId="9127"/>
    <cellStyle name="60% - 强调文字颜色 3 2 3 2 3" xfId="9131"/>
    <cellStyle name="60% - 强调文字颜色 3 2 3 2 3 2" xfId="9133"/>
    <cellStyle name="60% - 强调文字颜色 3 2 3 2 3 2 2" xfId="9141"/>
    <cellStyle name="60% - 强调文字颜色 3 2 3 2 3 2 3" xfId="9145"/>
    <cellStyle name="60% - 强调文字颜色 3 2 3 2 3 3" xfId="9146"/>
    <cellStyle name="60% - 强调文字颜色 3 2 3 2 4" xfId="9149"/>
    <cellStyle name="60% - 强调文字颜色 3 2 3 2 4 2" xfId="9151"/>
    <cellStyle name="60% - 强调文字颜色 3 2 3 2 4 3" xfId="9152"/>
    <cellStyle name="60% - 强调文字颜色 3 2 3 2 5" xfId="9154"/>
    <cellStyle name="60% - 强调文字颜色 3 2 3 3" xfId="9156"/>
    <cellStyle name="60% - 强调文字颜色 3 2 3 3 2" xfId="6139"/>
    <cellStyle name="60% - 强调文字颜色 3 2 3 3 2 2" xfId="9160"/>
    <cellStyle name="60% - 强调文字颜色 3 2 3 3 2 2 2" xfId="7487"/>
    <cellStyle name="60% - 强调文字颜色 3 2 3 3 2 2 3" xfId="8162"/>
    <cellStyle name="60% - 强调文字颜色 3 2 3 3 2 3" xfId="9163"/>
    <cellStyle name="60% - 强调文字颜色 3 2 3 3 3" xfId="9164"/>
    <cellStyle name="60% - 强调文字颜色 3 2 3 3 3 2" xfId="2142"/>
    <cellStyle name="60% - 强调文字颜色 3 2 3 3 3 3" xfId="2174"/>
    <cellStyle name="60% - 强调文字颜色 3 2 3 3 4" xfId="9166"/>
    <cellStyle name="60% - 强调文字颜色 3 2 3 4" xfId="9172"/>
    <cellStyle name="60% - 强调文字颜色 3 2 3 4 2" xfId="6147"/>
    <cellStyle name="60% - 强调文字颜色 3 2 3 4 2 2" xfId="9175"/>
    <cellStyle name="60% - 强调文字颜色 3 2 3 4 2 2 2" xfId="7672"/>
    <cellStyle name="60% - 强调文字颜色 3 2 3 4 2 2 3" xfId="8237"/>
    <cellStyle name="60% - 强调文字颜色 3 2 3 4 2 3" xfId="9177"/>
    <cellStyle name="60% - 强调文字颜色 3 2 3 4 3" xfId="9180"/>
    <cellStyle name="60% - 强调文字颜色 3 2 3 4 3 2" xfId="9184"/>
    <cellStyle name="60% - 强调文字颜色 3 2 3 4 3 3" xfId="9188"/>
    <cellStyle name="60% - 强调文字颜色 3 2 3 4 4" xfId="9191"/>
    <cellStyle name="60% - 强调文字颜色 3 2 3 5" xfId="9196"/>
    <cellStyle name="60% - 强调文字颜色 3 2 3 5 2" xfId="7759"/>
    <cellStyle name="60% - 强调文字颜色 3 2 3 5 2 2" xfId="7764"/>
    <cellStyle name="60% - 强调文字颜色 3 2 3 5 2 3" xfId="7772"/>
    <cellStyle name="60% - 强调文字颜色 3 2 3 5 3" xfId="7781"/>
    <cellStyle name="60% - 强调文字颜色 3 2 3 6" xfId="9199"/>
    <cellStyle name="60% - 强调文字颜色 3 2 3 6 2" xfId="7803"/>
    <cellStyle name="60% - 强调文字颜色 3 2 3 6 3" xfId="9203"/>
    <cellStyle name="60% - 强调文字颜色 3 2 3 7" xfId="9206"/>
    <cellStyle name="60% - 强调文字颜色 3 2 4" xfId="8751"/>
    <cellStyle name="60% - 强调文字颜色 3 2 4 2" xfId="8757"/>
    <cellStyle name="60% - 强调文字颜色 3 2 4 2 2" xfId="8337"/>
    <cellStyle name="60% - 强调文字颜色 3 2 4 2 2 2" xfId="8759"/>
    <cellStyle name="60% - 强调文字颜色 3 2 4 2 2 2 2" xfId="8769"/>
    <cellStyle name="60% - 强调文字颜色 3 2 4 2 2 2 2 2" xfId="9210"/>
    <cellStyle name="60% - 强调文字颜色 3 2 4 2 2 2 2 3" xfId="9212"/>
    <cellStyle name="60% - 强调文字颜色 3 2 4 2 2 2 3" xfId="8774"/>
    <cellStyle name="60% - 强调文字颜色 3 2 4 2 2 3" xfId="8778"/>
    <cellStyle name="60% - 强调文字颜色 3 2 4 2 2 3 2" xfId="9215"/>
    <cellStyle name="60% - 强调文字颜色 3 2 4 2 2 3 3" xfId="9217"/>
    <cellStyle name="60% - 强调文字颜色 3 2 4 2 2 4" xfId="9219"/>
    <cellStyle name="60% - 强调文字颜色 3 2 4 2 3" xfId="8785"/>
    <cellStyle name="60% - 强调文字颜色 3 2 4 2 3 2" xfId="8791"/>
    <cellStyle name="60% - 强调文字颜色 3 2 4 2 3 2 2" xfId="3459"/>
    <cellStyle name="60% - 强调文字颜色 3 2 4 2 3 2 3" xfId="3477"/>
    <cellStyle name="60% - 强调文字颜色 3 2 4 2 3 3" xfId="8796"/>
    <cellStyle name="60% - 强调文字颜色 3 2 4 2 4" xfId="8763"/>
    <cellStyle name="60% - 强调文字颜色 3 2 4 2 4 2" xfId="8766"/>
    <cellStyle name="60% - 强调文字颜色 3 2 4 2 4 3" xfId="8776"/>
    <cellStyle name="60% - 强调文字颜色 3 2 4 2 5" xfId="8782"/>
    <cellStyle name="60% - 强调文字颜色 3 2 4 3" xfId="8799"/>
    <cellStyle name="60% - 强调文字颜色 3 2 4 3 2" xfId="6168"/>
    <cellStyle name="60% - 强调文字颜色 3 2 4 3 2 2" xfId="8801"/>
    <cellStyle name="60% - 强调文字颜色 3 2 4 3 2 2 2" xfId="9224"/>
    <cellStyle name="60% - 强调文字颜色 3 2 4 3 2 2 3" xfId="9228"/>
    <cellStyle name="60% - 强调文字颜色 3 2 4 3 2 3" xfId="8805"/>
    <cellStyle name="60% - 强调文字颜色 3 2 4 3 3" xfId="8809"/>
    <cellStyle name="60% - 强调文字颜色 3 2 4 3 3 2" xfId="3176"/>
    <cellStyle name="60% - 强调文字颜色 3 2 4 3 3 3" xfId="3178"/>
    <cellStyle name="60% - 强调文字颜色 3 2 4 3 4" xfId="8793"/>
    <cellStyle name="60% - 强调文字颜色 3 2 4 4" xfId="8814"/>
    <cellStyle name="60% - 强调文字颜色 3 2 4 4 2" xfId="8817"/>
    <cellStyle name="60% - 强调文字颜色 3 2 4 4 2 2" xfId="9232"/>
    <cellStyle name="60% - 强调文字颜色 3 2 4 4 2 2 2" xfId="9233"/>
    <cellStyle name="60% - 强调文字颜色 3 2 4 4 2 2 3" xfId="9236"/>
    <cellStyle name="60% - 强调文字颜色 3 2 4 4 2 3" xfId="9240"/>
    <cellStyle name="60% - 强调文字颜色 3 2 4 4 3" xfId="8822"/>
    <cellStyle name="60% - 强调文字颜色 3 2 4 4 3 2" xfId="9245"/>
    <cellStyle name="60% - 强调文字颜色 3 2 4 4 3 3" xfId="9249"/>
    <cellStyle name="60% - 强调文字颜色 3 2 4 4 4" xfId="8770"/>
    <cellStyle name="60% - 强调文字颜色 3 2 4 5" xfId="8826"/>
    <cellStyle name="60% - 强调文字颜色 3 2 4 5 2" xfId="7865"/>
    <cellStyle name="60% - 强调文字颜色 3 2 4 5 2 2" xfId="487"/>
    <cellStyle name="60% - 强调文字颜色 3 2 4 5 2 3" xfId="568"/>
    <cellStyle name="60% - 强调文字颜色 3 2 4 5 3" xfId="9252"/>
    <cellStyle name="60% - 强调文字颜色 3 2 4 6" xfId="9255"/>
    <cellStyle name="60% - 强调文字颜色 3 2 4 6 2" xfId="317"/>
    <cellStyle name="60% - 强调文字颜色 3 2 4 6 3" xfId="275"/>
    <cellStyle name="60% - 强调文字颜色 3 2 4 7" xfId="9256"/>
    <cellStyle name="60% - 强调文字颜色 3 2 5" xfId="8829"/>
    <cellStyle name="60% - 强调文字颜色 3 2 5 2" xfId="2726"/>
    <cellStyle name="60% - 强调文字颜色 3 2 5 2 2" xfId="4150"/>
    <cellStyle name="60% - 强调文字颜色 3 2 5 2 2 2" xfId="2907"/>
    <cellStyle name="60% - 强调文字颜色 3 2 5 2 2 2 2" xfId="2914"/>
    <cellStyle name="60% - 强调文字颜色 3 2 5 2 2 2 3" xfId="2935"/>
    <cellStyle name="60% - 强调文字颜色 3 2 5 2 2 3" xfId="1900"/>
    <cellStyle name="60% - 强调文字颜色 3 2 5 2 3" xfId="8835"/>
    <cellStyle name="60% - 强调文字颜色 3 2 5 2 3 2" xfId="9259"/>
    <cellStyle name="60% - 强调文字颜色 3 2 5 2 3 3" xfId="9264"/>
    <cellStyle name="60% - 强调文字颜色 3 2 5 2 4" xfId="8803"/>
    <cellStyle name="60% - 强调文字颜色 3 2 5 3" xfId="3725"/>
    <cellStyle name="60% - 强调文字颜色 3 2 5 3 2" xfId="3083"/>
    <cellStyle name="60% - 强调文字颜色 3 2 5 3 2 2" xfId="3096"/>
    <cellStyle name="60% - 强调文字颜色 3 2 5 3 2 3" xfId="3143"/>
    <cellStyle name="60% - 强调文字颜色 3 2 5 3 3" xfId="3156"/>
    <cellStyle name="60% - 强调文字颜色 3 2 5 4" xfId="3737"/>
    <cellStyle name="60% - 强调文字颜色 3 2 5 4 2" xfId="3355"/>
    <cellStyle name="60% - 强调文字颜色 3 2 5 4 3" xfId="3440"/>
    <cellStyle name="60% - 强调文字颜色 3 2 5 5" xfId="9266"/>
    <cellStyle name="60% - 强调文字颜色 3 2 6" xfId="8844"/>
    <cellStyle name="60% - 强调文字颜色 3 2 6 2" xfId="2399"/>
    <cellStyle name="60% - 强调文字颜色 3 2 6 2 2" xfId="8848"/>
    <cellStyle name="60% - 强调文字颜色 3 2 6 2 2 2" xfId="8850"/>
    <cellStyle name="60% - 强调文字颜色 3 2 6 2 2 3" xfId="8852"/>
    <cellStyle name="60% - 强调文字颜色 3 2 6 2 3" xfId="8856"/>
    <cellStyle name="60% - 强调文字颜色 3 2 6 3" xfId="8863"/>
    <cellStyle name="60% - 强调文字颜色 3 2 6 3 2" xfId="8868"/>
    <cellStyle name="60% - 强调文字颜色 3 2 6 3 3" xfId="8874"/>
    <cellStyle name="60% - 强调文字颜色 3 2 6 4" xfId="8878"/>
    <cellStyle name="60% - 强调文字颜色 3 2 7" xfId="924"/>
    <cellStyle name="60% - 强调文字颜色 3 2 7 2" xfId="6177"/>
    <cellStyle name="60% - 强调文字颜色 3 2 7 2 2" xfId="6187"/>
    <cellStyle name="60% - 强调文字颜色 3 2 7 2 2 2" xfId="6194"/>
    <cellStyle name="60% - 强调文字颜色 3 2 7 2 2 3" xfId="6199"/>
    <cellStyle name="60% - 强调文字颜色 3 2 7 2 3" xfId="6211"/>
    <cellStyle name="60% - 强调文字颜色 3 2 7 3" xfId="6238"/>
    <cellStyle name="60% - 强调文字颜色 3 2 7 3 2" xfId="6247"/>
    <cellStyle name="60% - 强调文字颜色 3 2 7 3 3" xfId="6263"/>
    <cellStyle name="60% - 强调文字颜色 3 2 7 4" xfId="6272"/>
    <cellStyle name="60% - 强调文字颜色 3 2 8" xfId="6316"/>
    <cellStyle name="60% - 强调文字颜色 3 2 8 2" xfId="6321"/>
    <cellStyle name="60% - 强调文字颜色 3 2 8 2 2" xfId="62"/>
    <cellStyle name="60% - 强调文字颜色 3 2 8 2 3" xfId="6343"/>
    <cellStyle name="60% - 强调文字颜色 3 2 8 3" xfId="6359"/>
    <cellStyle name="60% - 强调文字颜色 3 2 9" xfId="5182"/>
    <cellStyle name="60% - 强调文字颜色 3 2 9 2" xfId="6416"/>
    <cellStyle name="60% - 强调文字颜色 4 2" xfId="9269"/>
    <cellStyle name="60% - 强调文字颜色 4 2 10" xfId="7656"/>
    <cellStyle name="60% - 强调文字颜色 4 2 2" xfId="9271"/>
    <cellStyle name="60% - 强调文字颜色 4 2 2 2" xfId="9274"/>
    <cellStyle name="60% - 强调文字颜色 4 2 2 2 2" xfId="9275"/>
    <cellStyle name="60% - 强调文字颜色 4 2 2 2 2 2" xfId="9276"/>
    <cellStyle name="60% - 强调文字颜色 4 2 2 2 2 2 2" xfId="9281"/>
    <cellStyle name="60% - 强调文字颜色 4 2 2 2 2 2 2 2" xfId="9283"/>
    <cellStyle name="60% - 强调文字颜色 4 2 2 2 2 2 2 3" xfId="9284"/>
    <cellStyle name="60% - 强调文字颜色 4 2 2 2 2 2 3" xfId="9286"/>
    <cellStyle name="60% - 强调文字颜色 4 2 2 2 2 3" xfId="7120"/>
    <cellStyle name="60% - 强调文字颜色 4 2 2 2 2 3 2" xfId="9289"/>
    <cellStyle name="60% - 强调文字颜色 4 2 2 2 2 3 3" xfId="9292"/>
    <cellStyle name="60% - 强调文字颜色 4 2 2 2 2 4" xfId="7124"/>
    <cellStyle name="60% - 强调文字颜色 4 2 2 2 3" xfId="9295"/>
    <cellStyle name="60% - 强调文字颜色 4 2 2 2 3 2" xfId="9296"/>
    <cellStyle name="60% - 强调文字颜色 4 2 2 2 3 2 2" xfId="7395"/>
    <cellStyle name="60% - 强调文字颜色 4 2 2 2 3 2 3" xfId="3937"/>
    <cellStyle name="60% - 强调文字颜色 4 2 2 2 3 3" xfId="9298"/>
    <cellStyle name="60% - 强调文字颜色 4 2 2 2 4" xfId="9301"/>
    <cellStyle name="60% - 强调文字颜色 4 2 2 2 4 2" xfId="9302"/>
    <cellStyle name="60% - 强调文字颜色 4 2 2 2 4 3" xfId="7584"/>
    <cellStyle name="60% - 强调文字颜色 4 2 2 2 5" xfId="9306"/>
    <cellStyle name="60% - 强调文字颜色 4 2 2 3" xfId="9307"/>
    <cellStyle name="60% - 强调文字颜色 4 2 2 3 2" xfId="6604"/>
    <cellStyle name="60% - 强调文字颜色 4 2 2 3 2 2" xfId="9315"/>
    <cellStyle name="60% - 强调文字颜色 4 2 2 3 2 2 2" xfId="1947"/>
    <cellStyle name="60% - 强调文字颜色 4 2 2 3 2 2 3" xfId="9324"/>
    <cellStyle name="60% - 强调文字颜色 4 2 2 3 2 3" xfId="9331"/>
    <cellStyle name="60% - 强调文字颜色 4 2 2 3 3" xfId="4181"/>
    <cellStyle name="60% - 强调文字颜色 4 2 2 3 3 2" xfId="9337"/>
    <cellStyle name="60% - 强调文字颜色 4 2 2 3 3 3" xfId="9343"/>
    <cellStyle name="60% - 强调文字颜色 4 2 2 3 4" xfId="4188"/>
    <cellStyle name="60% - 强调文字颜色 4 2 2 4" xfId="6736"/>
    <cellStyle name="60% - 强调文字颜色 4 2 2 4 2" xfId="6422"/>
    <cellStyle name="60% - 强调文字颜色 4 2 2 4 2 2" xfId="2841"/>
    <cellStyle name="60% - 强调文字颜色 4 2 2 4 2 2 2" xfId="9350"/>
    <cellStyle name="60% - 强调文字颜色 4 2 2 4 2 2 3" xfId="9358"/>
    <cellStyle name="60% - 强调文字颜色 4 2 2 4 2 3" xfId="1944"/>
    <cellStyle name="60% - 强调文字颜色 4 2 2 4 3" xfId="6742"/>
    <cellStyle name="60% - 强调文字颜色 4 2 2 4 3 2" xfId="9362"/>
    <cellStyle name="60% - 强调文字颜色 4 2 2 4 3 3" xfId="9373"/>
    <cellStyle name="60% - 强调文字颜色 4 2 2 4 4" xfId="7391"/>
    <cellStyle name="60% - 强调文字颜色 4 2 2 5" xfId="6748"/>
    <cellStyle name="60% - 强调文字颜色 4 2 2 5 2" xfId="7060"/>
    <cellStyle name="60% - 强调文字颜色 4 2 2 5 2 2" xfId="8088"/>
    <cellStyle name="60% - 强调文字颜色 4 2 2 5 2 3" xfId="8096"/>
    <cellStyle name="60% - 强调文字颜色 4 2 2 5 3" xfId="5008"/>
    <cellStyle name="60% - 强调文字颜色 4 2 2 6" xfId="7066"/>
    <cellStyle name="60% - 强调文字颜色 4 2 2 6 2" xfId="8127"/>
    <cellStyle name="60% - 强调文字颜色 4 2 2 6 3" xfId="8513"/>
    <cellStyle name="60% - 强调文字颜色 4 2 2 7" xfId="8522"/>
    <cellStyle name="60% - 强调文字颜色 4 2 3" xfId="9375"/>
    <cellStyle name="60% - 强调文字颜色 4 2 3 2" xfId="9378"/>
    <cellStyle name="60% - 强调文字颜色 4 2 3 2 2" xfId="9379"/>
    <cellStyle name="60% - 强调文字颜色 4 2 3 2 2 2" xfId="9020"/>
    <cellStyle name="60% - 强调文字颜色 4 2 3 2 2 2 2" xfId="9381"/>
    <cellStyle name="60% - 强调文字颜色 4 2 3 2 2 2 2 2" xfId="9382"/>
    <cellStyle name="60% - 强调文字颜色 4 2 3 2 2 2 2 3" xfId="9383"/>
    <cellStyle name="60% - 强调文字颜色 4 2 3 2 2 2 3" xfId="9385"/>
    <cellStyle name="60% - 强调文字颜色 4 2 3 2 2 3" xfId="9386"/>
    <cellStyle name="60% - 强调文字颜色 4 2 3 2 2 3 2" xfId="9387"/>
    <cellStyle name="60% - 强调文字颜色 4 2 3 2 2 3 3" xfId="9388"/>
    <cellStyle name="60% - 强调文字颜色 4 2 3 2 2 4" xfId="9389"/>
    <cellStyle name="60% - 强调文字颜色 4 2 3 2 3" xfId="9391"/>
    <cellStyle name="60% - 强调文字颜色 4 2 3 2 3 2" xfId="9393"/>
    <cellStyle name="60% - 强调文字颜色 4 2 3 2 3 2 2" xfId="9395"/>
    <cellStyle name="60% - 强调文字颜色 4 2 3 2 3 2 3" xfId="9399"/>
    <cellStyle name="60% - 强调文字颜色 4 2 3 2 3 3" xfId="9401"/>
    <cellStyle name="60% - 强调文字颜色 4 2 3 2 4" xfId="9403"/>
    <cellStyle name="60% - 强调文字颜色 4 2 3 2 4 2" xfId="9407"/>
    <cellStyle name="60% - 强调文字颜色 4 2 3 2 4 3" xfId="9410"/>
    <cellStyle name="60% - 强调文字颜色 4 2 3 2 5" xfId="9411"/>
    <cellStyle name="60% - 强调文字颜色 4 2 3 3" xfId="9412"/>
    <cellStyle name="60% - 强调文字颜色 4 2 3 3 2" xfId="574"/>
    <cellStyle name="60% - 强调文字颜色 4 2 3 3 2 2" xfId="384"/>
    <cellStyle name="60% - 强调文字颜色 4 2 3 3 2 2 2" xfId="581"/>
    <cellStyle name="60% - 强调文字颜色 4 2 3 3 2 2 3" xfId="592"/>
    <cellStyle name="60% - 强调文字颜色 4 2 3 3 2 3" xfId="319"/>
    <cellStyle name="60% - 强调文字颜色 4 2 3 3 3" xfId="344"/>
    <cellStyle name="60% - 强调文字颜色 4 2 3 3 3 2" xfId="597"/>
    <cellStyle name="60% - 强调文字颜色 4 2 3 3 3 3" xfId="604"/>
    <cellStyle name="60% - 强调文字颜色 4 2 3 3 4" xfId="354"/>
    <cellStyle name="60% - 强调文字颜色 4 2 3 4" xfId="5261"/>
    <cellStyle name="60% - 强调文字颜色 4 2 3 4 2" xfId="660"/>
    <cellStyle name="60% - 强调文字颜色 4 2 3 4 2 2" xfId="669"/>
    <cellStyle name="60% - 强调文字颜色 4 2 3 4 2 2 2" xfId="105"/>
    <cellStyle name="60% - 强调文字颜色 4 2 3 4 2 2 3" xfId="222"/>
    <cellStyle name="60% - 强调文字颜色 4 2 3 4 2 3" xfId="681"/>
    <cellStyle name="60% - 强调文字颜色 4 2 3 4 3" xfId="701"/>
    <cellStyle name="60% - 强调文字颜色 4 2 3 4 3 2" xfId="9415"/>
    <cellStyle name="60% - 强调文字颜色 4 2 3 4 3 3" xfId="9426"/>
    <cellStyle name="60% - 强调文字颜色 4 2 3 4 4" xfId="9432"/>
    <cellStyle name="60% - 强调文字颜色 4 2 3 5" xfId="6760"/>
    <cellStyle name="60% - 强调文字颜色 4 2 3 5 2" xfId="801"/>
    <cellStyle name="60% - 强调文字颜色 4 2 3 5 2 2" xfId="812"/>
    <cellStyle name="60% - 强调文字颜色 4 2 3 5 2 3" xfId="832"/>
    <cellStyle name="60% - 强调文字颜色 4 2 3 5 3" xfId="849"/>
    <cellStyle name="60% - 强调文字颜色 4 2 3 6" xfId="8529"/>
    <cellStyle name="60% - 强调文字颜色 4 2 3 6 2" xfId="891"/>
    <cellStyle name="60% - 强调文字颜色 4 2 3 6 3" xfId="9435"/>
    <cellStyle name="60% - 强调文字颜色 4 2 3 7" xfId="8533"/>
    <cellStyle name="60% - 强调文字颜色 4 2 4" xfId="9437"/>
    <cellStyle name="60% - 强调文字颜色 4 2 4 2" xfId="9440"/>
    <cellStyle name="60% - 强调文字颜色 4 2 4 2 2" xfId="9442"/>
    <cellStyle name="60% - 强调文字颜色 4 2 4 2 2 2" xfId="9129"/>
    <cellStyle name="60% - 强调文字颜色 4 2 4 2 2 2 2" xfId="9450"/>
    <cellStyle name="60% - 强调文字颜色 4 2 4 2 2 2 2 2" xfId="9452"/>
    <cellStyle name="60% - 强调文字颜色 4 2 4 2 2 2 2 3" xfId="9456"/>
    <cellStyle name="60% - 强调文字颜色 4 2 4 2 2 2 3" xfId="9458"/>
    <cellStyle name="60% - 强调文字颜色 4 2 4 2 2 3" xfId="9459"/>
    <cellStyle name="60% - 强调文字颜色 4 2 4 2 2 3 2" xfId="9460"/>
    <cellStyle name="60% - 强调文字颜色 4 2 4 2 2 3 3" xfId="9463"/>
    <cellStyle name="60% - 强调文字颜色 4 2 4 2 2 4" xfId="9466"/>
    <cellStyle name="60% - 强调文字颜色 4 2 4 2 3" xfId="9469"/>
    <cellStyle name="60% - 强调文字颜色 4 2 4 2 3 2" xfId="9472"/>
    <cellStyle name="60% - 强调文字颜色 4 2 4 2 3 2 2" xfId="9477"/>
    <cellStyle name="60% - 强调文字颜色 4 2 4 2 3 2 3" xfId="9482"/>
    <cellStyle name="60% - 强调文字颜色 4 2 4 2 3 3" xfId="7090"/>
    <cellStyle name="60% - 强调文字颜色 4 2 4 2 4" xfId="2862"/>
    <cellStyle name="60% - 强调文字颜色 4 2 4 2 4 2" xfId="771"/>
    <cellStyle name="60% - 强调文字颜色 4 2 4 2 4 3" xfId="2554"/>
    <cellStyle name="60% - 强调文字颜色 4 2 4 2 5" xfId="2867"/>
    <cellStyle name="60% - 强调文字颜色 4 2 4 3" xfId="9484"/>
    <cellStyle name="60% - 强调文字颜色 4 2 4 3 2" xfId="1026"/>
    <cellStyle name="60% - 强调文字颜色 4 2 4 3 2 2" xfId="1030"/>
    <cellStyle name="60% - 强调文字颜色 4 2 4 3 2 2 2" xfId="418"/>
    <cellStyle name="60% - 强调文字颜色 4 2 4 3 2 2 3" xfId="440"/>
    <cellStyle name="60% - 强调文字颜色 4 2 4 3 2 3" xfId="1048"/>
    <cellStyle name="60% - 强调文字颜色 4 2 4 3 3" xfId="1059"/>
    <cellStyle name="60% - 强调文字颜色 4 2 4 3 3 2" xfId="1062"/>
    <cellStyle name="60% - 强调文字颜色 4 2 4 3 3 3" xfId="1075"/>
    <cellStyle name="60% - 强调文字颜色 4 2 4 3 4" xfId="1079"/>
    <cellStyle name="60% - 强调文字颜色 4 2 4 4" xfId="514"/>
    <cellStyle name="60% - 强调文字颜色 4 2 4 4 2" xfId="1128"/>
    <cellStyle name="60% - 强调文字颜色 4 2 4 4 2 2" xfId="1133"/>
    <cellStyle name="60% - 强调文字颜色 4 2 4 4 2 2 2" xfId="9486"/>
    <cellStyle name="60% - 强调文字颜色 4 2 4 4 2 2 3" xfId="9488"/>
    <cellStyle name="60% - 强调文字颜色 4 2 4 4 2 3" xfId="1148"/>
    <cellStyle name="60% - 强调文字颜色 4 2 4 4 3" xfId="1161"/>
    <cellStyle name="60% - 强调文字颜色 4 2 4 4 3 2" xfId="9495"/>
    <cellStyle name="60% - 强调文字颜色 4 2 4 4 3 3" xfId="3007"/>
    <cellStyle name="60% - 强调文字颜色 4 2 4 4 4" xfId="2915"/>
    <cellStyle name="60% - 强调文字颜色 4 2 4 5" xfId="2646"/>
    <cellStyle name="60% - 强调文字颜色 4 2 4 5 2" xfId="1217"/>
    <cellStyle name="60% - 强调文字颜色 4 2 4 5 2 2" xfId="1222"/>
    <cellStyle name="60% - 强调文字颜色 4 2 4 5 2 3" xfId="1233"/>
    <cellStyle name="60% - 强调文字颜色 4 2 4 5 3" xfId="1248"/>
    <cellStyle name="60% - 强调文字颜色 4 2 4 6" xfId="9496"/>
    <cellStyle name="60% - 强调文字颜色 4 2 4 6 2" xfId="642"/>
    <cellStyle name="60% - 强调文字颜色 4 2 4 6 3" xfId="9499"/>
    <cellStyle name="60% - 强调文字颜色 4 2 4 7" xfId="9500"/>
    <cellStyle name="60% - 强调文字颜色 4 2 5" xfId="5192"/>
    <cellStyle name="60% - 强调文字颜色 4 2 5 2" xfId="1329"/>
    <cellStyle name="60% - 强调文字颜色 4 2 5 2 2" xfId="5143"/>
    <cellStyle name="60% - 强调文字颜色 4 2 5 2 2 2" xfId="9223"/>
    <cellStyle name="60% - 强调文字颜色 4 2 5 2 2 2 2" xfId="9504"/>
    <cellStyle name="60% - 强调文字颜色 4 2 5 2 2 2 3" xfId="9505"/>
    <cellStyle name="60% - 强调文字颜色 4 2 5 2 2 3" xfId="9507"/>
    <cellStyle name="60% - 强调文字颜色 4 2 5 2 3" xfId="5152"/>
    <cellStyle name="60% - 强调文字颜色 4 2 5 2 3 2" xfId="9509"/>
    <cellStyle name="60% - 强调文字颜色 4 2 5 2 3 3" xfId="9511"/>
    <cellStyle name="60% - 强调文字颜色 4 2 5 2 4" xfId="5688"/>
    <cellStyle name="60% - 强调文字颜色 4 2 5 3" xfId="5163"/>
    <cellStyle name="60% - 强调文字颜色 4 2 5 3 2" xfId="1377"/>
    <cellStyle name="60% - 强调文字颜色 4 2 5 3 2 2" xfId="173"/>
    <cellStyle name="60% - 强调文字颜色 4 2 5 3 2 3" xfId="457"/>
    <cellStyle name="60% - 强调文字颜色 4 2 5 3 3" xfId="1395"/>
    <cellStyle name="60% - 强调文字颜色 4 2 5 4" xfId="9513"/>
    <cellStyle name="60% - 强调文字颜色 4 2 5 4 2" xfId="1447"/>
    <cellStyle name="60% - 强调文字颜色 4 2 5 4 3" xfId="148"/>
    <cellStyle name="60% - 强调文字颜色 4 2 5 5" xfId="9518"/>
    <cellStyle name="60% - 强调文字颜色 4 2 6" xfId="5200"/>
    <cellStyle name="60% - 强调文字颜色 4 2 6 2" xfId="5201"/>
    <cellStyle name="60% - 强调文字颜色 4 2 6 2 2" xfId="9519"/>
    <cellStyle name="60% - 强调文字颜色 4 2 6 2 2 2" xfId="9522"/>
    <cellStyle name="60% - 强调文字颜色 4 2 6 2 2 3" xfId="9525"/>
    <cellStyle name="60% - 强调文字颜色 4 2 6 2 3" xfId="9526"/>
    <cellStyle name="60% - 强调文字颜色 4 2 6 3" xfId="5204"/>
    <cellStyle name="60% - 强调文字颜色 4 2 6 3 2" xfId="1674"/>
    <cellStyle name="60% - 强调文字颜色 4 2 6 3 3" xfId="1705"/>
    <cellStyle name="60% - 强调文字颜色 4 2 6 4" xfId="7473"/>
    <cellStyle name="60% - 强调文字颜色 4 2 7" xfId="5210"/>
    <cellStyle name="60% - 强调文字颜色 4 2 7 2" xfId="6628"/>
    <cellStyle name="60% - 强调文字颜色 4 2 7 2 2" xfId="6638"/>
    <cellStyle name="60% - 强调文字颜色 4 2 7 2 2 2" xfId="6644"/>
    <cellStyle name="60% - 强调文字颜色 4 2 7 2 2 3" xfId="6673"/>
    <cellStyle name="60% - 强调文字颜色 4 2 7 2 3" xfId="6695"/>
    <cellStyle name="60% - 强调文字颜色 4 2 7 3" xfId="6732"/>
    <cellStyle name="60% - 强调文字颜色 4 2 7 3 2" xfId="1817"/>
    <cellStyle name="60% - 强调文字颜色 4 2 7 3 3" xfId="6757"/>
    <cellStyle name="60% - 强调文字颜色 4 2 7 4" xfId="6770"/>
    <cellStyle name="60% - 强调文字颜色 4 2 8" xfId="6800"/>
    <cellStyle name="60% - 强调文字颜色 4 2 8 2" xfId="6806"/>
    <cellStyle name="60% - 强调文字颜色 4 2 8 2 2" xfId="6812"/>
    <cellStyle name="60% - 强调文字颜色 4 2 8 2 3" xfId="6836"/>
    <cellStyle name="60% - 强调文字颜色 4 2 8 3" xfId="6876"/>
    <cellStyle name="60% - 强调文字颜色 4 2 9" xfId="6622"/>
    <cellStyle name="60% - 强调文字颜色 4 2 9 2" xfId="6632"/>
    <cellStyle name="60% - 强调文字颜色 5 2" xfId="9533"/>
    <cellStyle name="60% - 强调文字颜色 5 2 10" xfId="4252"/>
    <cellStyle name="60% - 强调文字颜色 5 2 2" xfId="9534"/>
    <cellStyle name="60% - 强调文字颜色 5 2 2 2" xfId="9536"/>
    <cellStyle name="60% - 强调文字颜色 5 2 2 2 2" xfId="9538"/>
    <cellStyle name="60% - 强调文字颜色 5 2 2 2 2 2" xfId="9544"/>
    <cellStyle name="60% - 强调文字颜色 5 2 2 2 2 2 2" xfId="9548"/>
    <cellStyle name="60% - 强调文字颜色 5 2 2 2 2 2 2 2" xfId="9556"/>
    <cellStyle name="60% - 强调文字颜色 5 2 2 2 2 2 2 3" xfId="8669"/>
    <cellStyle name="60% - 强调文字颜色 5 2 2 2 2 2 3" xfId="9561"/>
    <cellStyle name="60% - 强调文字颜色 5 2 2 2 2 3" xfId="9567"/>
    <cellStyle name="60% - 强调文字颜色 5 2 2 2 2 3 2" xfId="9570"/>
    <cellStyle name="60% - 强调文字颜色 5 2 2 2 2 3 3" xfId="9573"/>
    <cellStyle name="60% - 强调文字颜色 5 2 2 2 2 4" xfId="9575"/>
    <cellStyle name="60% - 强调文字颜色 5 2 2 2 3" xfId="8569"/>
    <cellStyle name="60% - 强调文字颜色 5 2 2 2 3 2" xfId="9578"/>
    <cellStyle name="60% - 强调文字颜色 5 2 2 2 3 2 2" xfId="9579"/>
    <cellStyle name="60% - 强调文字颜色 5 2 2 2 3 2 3" xfId="6157"/>
    <cellStyle name="60% - 强调文字颜色 5 2 2 2 3 3" xfId="9582"/>
    <cellStyle name="60% - 强调文字颜色 5 2 2 2 4" xfId="8574"/>
    <cellStyle name="60% - 强调文字颜色 5 2 2 2 4 2" xfId="9583"/>
    <cellStyle name="60% - 强调文字颜色 5 2 2 2 4 3" xfId="9585"/>
    <cellStyle name="60% - 强调文字颜色 5 2 2 2 5" xfId="9026"/>
    <cellStyle name="60% - 强调文字颜色 5 2 2 3" xfId="9588"/>
    <cellStyle name="60% - 强调文字颜色 5 2 2 3 2" xfId="6795"/>
    <cellStyle name="60% - 强调文字颜色 5 2 2 3 2 2" xfId="9594"/>
    <cellStyle name="60% - 强调文字颜色 5 2 2 3 2 2 2" xfId="9596"/>
    <cellStyle name="60% - 强调文字颜色 5 2 2 3 2 2 3" xfId="9603"/>
    <cellStyle name="60% - 强调文字颜色 5 2 2 3 2 3" xfId="5066"/>
    <cellStyle name="60% - 强调文字颜色 5 2 2 3 3" xfId="4421"/>
    <cellStyle name="60% - 强调文字颜色 5 2 2 3 3 2" xfId="9611"/>
    <cellStyle name="60% - 强调文字颜色 5 2 2 3 3 3" xfId="9618"/>
    <cellStyle name="60% - 强调文字颜色 5 2 2 3 4" xfId="4432"/>
    <cellStyle name="60% - 强调文字颜色 5 2 2 4" xfId="9620"/>
    <cellStyle name="60% - 强调文字颜色 5 2 2 4 2" xfId="5904"/>
    <cellStyle name="60% - 强调文字颜色 5 2 2 4 2 2" xfId="9622"/>
    <cellStyle name="60% - 强调文字颜色 5 2 2 4 2 2 2" xfId="9626"/>
    <cellStyle name="60% - 强调文字颜色 5 2 2 4 2 2 3" xfId="9631"/>
    <cellStyle name="60% - 强调文字颜色 5 2 2 4 2 3" xfId="9637"/>
    <cellStyle name="60% - 强调文字颜色 5 2 2 4 3" xfId="9641"/>
    <cellStyle name="60% - 强调文字颜色 5 2 2 4 3 2" xfId="9645"/>
    <cellStyle name="60% - 强调文字颜色 5 2 2 4 3 3" xfId="9651"/>
    <cellStyle name="60% - 强调文字颜色 5 2 2 4 4" xfId="9656"/>
    <cellStyle name="60% - 强调文字颜色 5 2 2 5" xfId="9657"/>
    <cellStyle name="60% - 强调文字颜色 5 2 2 5 2" xfId="8713"/>
    <cellStyle name="60% - 强调文字颜色 5 2 2 5 2 2" xfId="9660"/>
    <cellStyle name="60% - 强调文字颜色 5 2 2 5 2 3" xfId="9662"/>
    <cellStyle name="60% - 强调文字颜色 5 2 2 5 3" xfId="9665"/>
    <cellStyle name="60% - 强调文字颜色 5 2 2 6" xfId="9667"/>
    <cellStyle name="60% - 强调文字颜色 5 2 2 6 2" xfId="9670"/>
    <cellStyle name="60% - 强调文字颜色 5 2 2 6 3" xfId="9673"/>
    <cellStyle name="60% - 强调文字颜色 5 2 2 7" xfId="8159"/>
    <cellStyle name="60% - 强调文字颜色 5 2 3" xfId="9674"/>
    <cellStyle name="60% - 强调文字颜色 5 2 3 2" xfId="9676"/>
    <cellStyle name="60% - 强调文字颜色 5 2 3 2 2" xfId="9677"/>
    <cellStyle name="60% - 强调文字颜色 5 2 3 2 2 2" xfId="7123"/>
    <cellStyle name="60% - 强调文字颜色 5 2 3 2 2 2 2" xfId="9681"/>
    <cellStyle name="60% - 强调文字颜色 5 2 3 2 2 2 2 2" xfId="9684"/>
    <cellStyle name="60% - 强调文字颜色 5 2 3 2 2 2 2 3" xfId="8997"/>
    <cellStyle name="60% - 强调文字颜色 5 2 3 2 2 2 3" xfId="9686"/>
    <cellStyle name="60% - 强调文字颜色 5 2 3 2 2 3" xfId="9689"/>
    <cellStyle name="60% - 强调文字颜色 5 2 3 2 2 3 2" xfId="9692"/>
    <cellStyle name="60% - 强调文字颜色 5 2 3 2 2 3 3" xfId="9693"/>
    <cellStyle name="60% - 强调文字颜色 5 2 3 2 2 4" xfId="9694"/>
    <cellStyle name="60% - 强调文字颜色 5 2 3 2 3" xfId="9697"/>
    <cellStyle name="60% - 强调文字颜色 5 2 3 2 3 2" xfId="9702"/>
    <cellStyle name="60% - 强调文字颜色 5 2 3 2 3 2 2" xfId="9706"/>
    <cellStyle name="60% - 强调文字颜色 5 2 3 2 3 2 3" xfId="3962"/>
    <cellStyle name="60% - 强调文字颜色 5 2 3 2 3 3" xfId="9709"/>
    <cellStyle name="60% - 强调文字颜色 5 2 3 2 4" xfId="9712"/>
    <cellStyle name="60% - 强调文字颜色 5 2 3 2 4 2" xfId="7587"/>
    <cellStyle name="60% - 强调文字颜色 5 2 3 2 4 3" xfId="9717"/>
    <cellStyle name="60% - 强调文字颜色 5 2 3 2 5" xfId="9723"/>
    <cellStyle name="60% - 强调文字颜色 5 2 3 3" xfId="9726"/>
    <cellStyle name="60% - 强调文字颜色 5 2 3 3 2" xfId="2018"/>
    <cellStyle name="60% - 强调文字颜色 5 2 3 3 2 2" xfId="2040"/>
    <cellStyle name="60% - 强调文字颜色 5 2 3 3 2 2 2" xfId="2050"/>
    <cellStyle name="60% - 强调文字颜色 5 2 3 3 2 2 3" xfId="2058"/>
    <cellStyle name="60% - 强调文字颜色 5 2 3 3 2 3" xfId="2064"/>
    <cellStyle name="60% - 强调文字颜色 5 2 3 3 3" xfId="2075"/>
    <cellStyle name="60% - 强调文字颜色 5 2 3 3 3 2" xfId="2083"/>
    <cellStyle name="60% - 强调文字颜色 5 2 3 3 3 3" xfId="2090"/>
    <cellStyle name="60% - 强调文字颜色 5 2 3 3 4" xfId="1038"/>
    <cellStyle name="60% - 强调文字颜色 5 2 3 4" xfId="9728"/>
    <cellStyle name="60% - 强调文字颜色 5 2 3 4 2" xfId="2138"/>
    <cellStyle name="60% - 强调文字颜色 5 2 3 4 2 2" xfId="2148"/>
    <cellStyle name="60% - 强调文字颜色 5 2 3 4 2 2 2" xfId="5349"/>
    <cellStyle name="60% - 强调文字颜色 5 2 3 4 2 2 3" xfId="5363"/>
    <cellStyle name="60% - 强调文字颜色 5 2 3 4 2 3" xfId="2160"/>
    <cellStyle name="60% - 强调文字颜色 5 2 3 4 3" xfId="2171"/>
    <cellStyle name="60% - 强调文字颜色 5 2 3 4 3 2" xfId="9735"/>
    <cellStyle name="60% - 强调文字颜色 5 2 3 4 3 3" xfId="8618"/>
    <cellStyle name="60% - 强调文字颜色 5 2 3 4 4" xfId="9737"/>
    <cellStyle name="60% - 强调文字颜色 5 2 3 5" xfId="9738"/>
    <cellStyle name="60% - 强调文字颜色 5 2 3 5 2" xfId="2226"/>
    <cellStyle name="60% - 强调文字颜色 5 2 3 5 2 2" xfId="2236"/>
    <cellStyle name="60% - 强调文字颜色 5 2 3 5 2 3" xfId="2250"/>
    <cellStyle name="60% - 强调文字颜色 5 2 3 5 3" xfId="874"/>
    <cellStyle name="60% - 强调文字颜色 5 2 3 6" xfId="9739"/>
    <cellStyle name="60% - 强调文字颜色 5 2 3 6 2" xfId="2134"/>
    <cellStyle name="60% - 强调文字颜色 5 2 3 6 3" xfId="9742"/>
    <cellStyle name="60% - 强调文字颜色 5 2 3 7" xfId="8174"/>
    <cellStyle name="60% - 强调文字颜色 5 2 4" xfId="2298"/>
    <cellStyle name="60% - 强调文字颜色 5 2 4 2" xfId="2305"/>
    <cellStyle name="60% - 强调文字颜色 5 2 4 2 2" xfId="9746"/>
    <cellStyle name="60% - 强调文字颜色 5 2 4 2 2 2" xfId="9390"/>
    <cellStyle name="60% - 强调文字颜色 5 2 4 2 2 2 2" xfId="9749"/>
    <cellStyle name="60% - 强调文字颜色 5 2 4 2 2 2 2 2" xfId="9750"/>
    <cellStyle name="60% - 强调文字颜色 5 2 4 2 2 2 2 3" xfId="9277"/>
    <cellStyle name="60% - 强调文字颜色 5 2 4 2 2 2 3" xfId="9752"/>
    <cellStyle name="60% - 强调文字颜色 5 2 4 2 2 3" xfId="9753"/>
    <cellStyle name="60% - 强调文字颜色 5 2 4 2 2 3 2" xfId="9758"/>
    <cellStyle name="60% - 强调文字颜色 5 2 4 2 2 3 3" xfId="9763"/>
    <cellStyle name="60% - 强调文字颜色 5 2 4 2 2 4" xfId="9765"/>
    <cellStyle name="60% - 强调文字颜色 5 2 4 2 3" xfId="9770"/>
    <cellStyle name="60% - 强调文字颜色 5 2 4 2 3 2" xfId="9772"/>
    <cellStyle name="60% - 强调文字颜色 5 2 4 2 3 2 2" xfId="9776"/>
    <cellStyle name="60% - 强调文字颜色 5 2 4 2 3 2 3" xfId="9780"/>
    <cellStyle name="60% - 强调文字颜色 5 2 4 2 3 3" xfId="9782"/>
    <cellStyle name="60% - 强调文字颜色 5 2 4 2 4" xfId="8948"/>
    <cellStyle name="60% - 强调文字颜色 5 2 4 2 4 2" xfId="9786"/>
    <cellStyle name="60% - 强调文字颜色 5 2 4 2 4 3" xfId="9790"/>
    <cellStyle name="60% - 强调文字颜色 5 2 4 2 5" xfId="8951"/>
    <cellStyle name="60% - 强调文字颜色 5 2 4 3" xfId="2334"/>
    <cellStyle name="60% - 强调文字颜色 5 2 4 3 2" xfId="2369"/>
    <cellStyle name="60% - 强调文字颜色 5 2 4 3 2 2" xfId="278"/>
    <cellStyle name="60% - 强调文字颜色 5 2 4 3 2 2 2" xfId="2395"/>
    <cellStyle name="60% - 强调文字颜色 5 2 4 3 2 2 3" xfId="2407"/>
    <cellStyle name="60% - 强调文字颜色 5 2 4 3 2 3" xfId="2419"/>
    <cellStyle name="60% - 强调文字颜色 5 2 4 3 3" xfId="2425"/>
    <cellStyle name="60% - 强调文字颜色 5 2 4 3 3 2" xfId="2435"/>
    <cellStyle name="60% - 强调文字颜色 5 2 4 3 3 3" xfId="2448"/>
    <cellStyle name="60% - 强调文字颜色 5 2 4 3 4" xfId="1136"/>
    <cellStyle name="60% - 强调文字颜色 5 2 4 4" xfId="9793"/>
    <cellStyle name="60% - 强调文字颜色 5 2 4 4 2" xfId="2500"/>
    <cellStyle name="60% - 强调文字颜色 5 2 4 4 2 2" xfId="2506"/>
    <cellStyle name="60% - 强调文字颜色 5 2 4 4 2 2 2" xfId="9797"/>
    <cellStyle name="60% - 强调文字颜色 5 2 4 4 2 2 3" xfId="9802"/>
    <cellStyle name="60% - 强调文字颜色 5 2 4 4 2 3" xfId="2527"/>
    <cellStyle name="60% - 强调文字颜色 5 2 4 4 3" xfId="2542"/>
    <cellStyle name="60% - 强调文字颜色 5 2 4 4 3 2" xfId="9813"/>
    <cellStyle name="60% - 强调文字颜色 5 2 4 4 3 3" xfId="5772"/>
    <cellStyle name="60% - 强调文字颜色 5 2 4 4 4" xfId="114"/>
    <cellStyle name="60% - 强调文字颜色 5 2 4 5" xfId="9814"/>
    <cellStyle name="60% - 强调文字颜色 5 2 4 5 2" xfId="2579"/>
    <cellStyle name="60% - 强调文字颜色 5 2 4 5 2 2" xfId="2594"/>
    <cellStyle name="60% - 强调文字颜色 5 2 4 5 2 3" xfId="2605"/>
    <cellStyle name="60% - 强调文字颜色 5 2 4 5 3" xfId="2615"/>
    <cellStyle name="60% - 强调文字颜色 5 2 4 6" xfId="9815"/>
    <cellStyle name="60% - 强调文字颜色 5 2 4 6 2" xfId="367"/>
    <cellStyle name="60% - 强调文字颜色 5 2 4 6 3" xfId="9818"/>
    <cellStyle name="60% - 强调文字颜色 5 2 4 7" xfId="9819"/>
    <cellStyle name="60% - 强调文字颜色 5 2 5" xfId="1387"/>
    <cellStyle name="60% - 强调文字颜色 5 2 5 2" xfId="9821"/>
    <cellStyle name="60% - 强调文字颜色 5 2 5 2 2" xfId="9824"/>
    <cellStyle name="60% - 强调文字颜色 5 2 5 2 2 2" xfId="9467"/>
    <cellStyle name="60% - 强调文字颜色 5 2 5 2 2 2 2" xfId="9828"/>
    <cellStyle name="60% - 强调文字颜色 5 2 5 2 2 2 3" xfId="9829"/>
    <cellStyle name="60% - 强调文字颜色 5 2 5 2 2 3" xfId="9830"/>
    <cellStyle name="60% - 强调文字颜色 5 2 5 2 3" xfId="9833"/>
    <cellStyle name="60% - 强调文字颜色 5 2 5 2 3 2" xfId="7113"/>
    <cellStyle name="60% - 强调文字颜色 5 2 5 2 3 3" xfId="1354"/>
    <cellStyle name="60% - 强调文字颜色 5 2 5 2 4" xfId="9839"/>
    <cellStyle name="60% - 强调文字颜色 5 2 5 3" xfId="9843"/>
    <cellStyle name="60% - 强调文字颜色 5 2 5 3 2" xfId="92"/>
    <cellStyle name="60% - 强调文字颜色 5 2 5 3 2 2" xfId="2290"/>
    <cellStyle name="60% - 强调文字颜色 5 2 5 3 2 3" xfId="1383"/>
    <cellStyle name="60% - 强调文字颜色 5 2 5 3 3" xfId="2338"/>
    <cellStyle name="60% - 强调文字颜色 5 2 5 4" xfId="9848"/>
    <cellStyle name="60% - 强调文字颜色 5 2 5 4 2" xfId="283"/>
    <cellStyle name="60% - 强调文字颜色 5 2 5 4 3" xfId="2411"/>
    <cellStyle name="60% - 强调文字颜色 5 2 5 5" xfId="9851"/>
    <cellStyle name="60% - 强调文字颜色 5 2 6" xfId="9853"/>
    <cellStyle name="60% - 强调文字颜色 5 2 6 2" xfId="4343"/>
    <cellStyle name="60% - 强调文字颜色 5 2 6 2 2" xfId="9856"/>
    <cellStyle name="60% - 强调文字颜色 5 2 6 2 2 2" xfId="9861"/>
    <cellStyle name="60% - 强调文字颜色 5 2 6 2 2 3" xfId="1425"/>
    <cellStyle name="60% - 强调文字颜色 5 2 6 2 3" xfId="9863"/>
    <cellStyle name="60% - 强调文字颜色 5 2 6 3" xfId="7642"/>
    <cellStyle name="60% - 强调文字颜色 5 2 6 3 2" xfId="2467"/>
    <cellStyle name="60% - 强调文字颜色 5 2 6 3 3" xfId="2480"/>
    <cellStyle name="60% - 强调文字颜色 5 2 6 4" xfId="7648"/>
    <cellStyle name="60% - 强调文字颜色 5 2 7" xfId="7076"/>
    <cellStyle name="60% - 强调文字颜色 5 2 7 2" xfId="4372"/>
    <cellStyle name="60% - 强调文字颜色 5 2 7 2 2" xfId="7087"/>
    <cellStyle name="60% - 强调文字颜色 5 2 7 2 2 2" xfId="7092"/>
    <cellStyle name="60% - 强调文字颜色 5 2 7 2 2 3" xfId="1512"/>
    <cellStyle name="60% - 强调文字颜色 5 2 7 2 3" xfId="7111"/>
    <cellStyle name="60% - 强调文字颜色 5 2 7 3" xfId="7137"/>
    <cellStyle name="60% - 强调文字颜色 5 2 7 3 2" xfId="2556"/>
    <cellStyle name="60% - 强调文字颜色 5 2 7 3 3" xfId="7154"/>
    <cellStyle name="60% - 强调文字颜色 5 2 7 4" xfId="4314"/>
    <cellStyle name="60% - 强调文字颜色 5 2 8" xfId="7159"/>
    <cellStyle name="60% - 强调文字颜色 5 2 8 2" xfId="332"/>
    <cellStyle name="60% - 强调文字颜色 5 2 8 2 2" xfId="1071"/>
    <cellStyle name="60% - 强调文字颜色 5 2 8 2 3" xfId="2350"/>
    <cellStyle name="60% - 强调文字颜色 5 2 8 3" xfId="285"/>
    <cellStyle name="60% - 强调文字颜色 5 2 9" xfId="7211"/>
    <cellStyle name="60% - 强调文字颜色 5 2 9 2" xfId="7216"/>
    <cellStyle name="60% - 强调文字颜色 6 2" xfId="9868"/>
    <cellStyle name="60% - 强调文字颜色 6 2 10" xfId="4475"/>
    <cellStyle name="60% - 强调文字颜色 6 2 2" xfId="9869"/>
    <cellStyle name="60% - 强调文字颜色 6 2 2 2" xfId="1632"/>
    <cellStyle name="60% - 强调文字颜色 6 2 2 2 2" xfId="9870"/>
    <cellStyle name="60% - 强调文字颜色 6 2 2 2 2 2" xfId="9872"/>
    <cellStyle name="60% - 强调文字颜色 6 2 2 2 2 2 2" xfId="9874"/>
    <cellStyle name="60% - 强调文字颜色 6 2 2 2 2 2 2 2" xfId="9880"/>
    <cellStyle name="60% - 强调文字颜色 6 2 2 2 2 2 2 3" xfId="8369"/>
    <cellStyle name="60% - 强调文字颜色 6 2 2 2 2 2 3" xfId="9883"/>
    <cellStyle name="60% - 强调文字颜色 6 2 2 2 2 3" xfId="9288"/>
    <cellStyle name="60% - 强调文字颜色 6 2 2 2 2 3 2" xfId="9885"/>
    <cellStyle name="60% - 强调文字颜色 6 2 2 2 2 3 3" xfId="9887"/>
    <cellStyle name="60% - 强调文字颜色 6 2 2 2 2 4" xfId="9291"/>
    <cellStyle name="60% - 强调文字颜色 6 2 2 2 3" xfId="8964"/>
    <cellStyle name="60% - 强调文字颜色 6 2 2 2 3 2" xfId="9890"/>
    <cellStyle name="60% - 强调文字颜色 6 2 2 2 3 2 2" xfId="9892"/>
    <cellStyle name="60% - 强调文字颜色 6 2 2 2 3 2 3" xfId="9893"/>
    <cellStyle name="60% - 强调文字颜色 6 2 2 2 3 3" xfId="9680"/>
    <cellStyle name="60% - 强调文字颜色 6 2 2 2 4" xfId="8968"/>
    <cellStyle name="60% - 强调文字颜色 6 2 2 2 4 2" xfId="9897"/>
    <cellStyle name="60% - 强调文字颜色 6 2 2 2 4 3" xfId="9691"/>
    <cellStyle name="60% - 强调文字颜色 6 2 2 2 5" xfId="9138"/>
    <cellStyle name="60% - 强调文字颜色 6 2 2 3" xfId="9898"/>
    <cellStyle name="60% - 强调文字颜色 6 2 2 3 2" xfId="7403"/>
    <cellStyle name="60% - 强调文字颜色 6 2 2 3 2 2" xfId="73"/>
    <cellStyle name="60% - 强调文字颜色 6 2 2 3 2 2 2" xfId="9900"/>
    <cellStyle name="60% - 强调文字颜色 6 2 2 3 2 2 3" xfId="9907"/>
    <cellStyle name="60% - 强调文字颜色 6 2 2 3 2 3" xfId="9908"/>
    <cellStyle name="60% - 强调文字颜色 6 2 2 3 3" xfId="9909"/>
    <cellStyle name="60% - 强调文字颜色 6 2 2 3 3 2" xfId="9910"/>
    <cellStyle name="60% - 强调文字颜色 6 2 2 3 3 3" xfId="9703"/>
    <cellStyle name="60% - 强调文字颜色 6 2 2 3 4" xfId="9911"/>
    <cellStyle name="60% - 强调文字颜色 6 2 2 4" xfId="6701"/>
    <cellStyle name="60% - 强调文字颜色 6 2 2 4 2" xfId="6989"/>
    <cellStyle name="60% - 强调文字颜色 6 2 2 4 2 2" xfId="7435"/>
    <cellStyle name="60% - 强调文字颜色 6 2 2 4 2 2 2" xfId="9916"/>
    <cellStyle name="60% - 强调文字颜色 6 2 2 4 2 2 3" xfId="9921"/>
    <cellStyle name="60% - 强调文字颜色 6 2 2 4 2 3" xfId="9924"/>
    <cellStyle name="60% - 强调文字颜色 6 2 2 4 3" xfId="9931"/>
    <cellStyle name="60% - 强调文字颜色 6 2 2 4 3 2" xfId="9933"/>
    <cellStyle name="60% - 强调文字颜色 6 2 2 4 3 3" xfId="9939"/>
    <cellStyle name="60% - 强调文字颜色 6 2 2 4 4" xfId="9941"/>
    <cellStyle name="60% - 强调文字颜色 6 2 2 5" xfId="6706"/>
    <cellStyle name="60% - 强调文字颜色 6 2 2 5 2" xfId="1899"/>
    <cellStyle name="60% - 强调文字颜色 6 2 2 5 2 2" xfId="1909"/>
    <cellStyle name="60% - 强调文字颜色 6 2 2 5 2 3" xfId="9945"/>
    <cellStyle name="60% - 强调文字颜色 6 2 2 5 3" xfId="9524"/>
    <cellStyle name="60% - 强调文字颜色 6 2 2 6" xfId="9948"/>
    <cellStyle name="60% - 强调文字颜色 6 2 2 6 2" xfId="9262"/>
    <cellStyle name="60% - 强调文字颜色 6 2 2 6 3" xfId="9950"/>
    <cellStyle name="60% - 强调文字颜色 6 2 2 7" xfId="9952"/>
    <cellStyle name="60% - 强调文字颜色 6 2 3" xfId="9953"/>
    <cellStyle name="60% - 强调文字颜色 6 2 3 2" xfId="2807"/>
    <cellStyle name="60% - 强调文字颜色 6 2 3 2 2" xfId="7683"/>
    <cellStyle name="60% - 强调文字颜色 6 2 3 2 2 2" xfId="9576"/>
    <cellStyle name="60% - 强调文字颜色 6 2 3 2 2 2 2" xfId="9955"/>
    <cellStyle name="60% - 强调文字颜色 6 2 3 2 2 2 2 2" xfId="9957"/>
    <cellStyle name="60% - 强调文字颜色 6 2 3 2 2 2 2 3" xfId="8716"/>
    <cellStyle name="60% - 强调文字颜色 6 2 3 2 2 2 3" xfId="9959"/>
    <cellStyle name="60% - 强调文字颜色 6 2 3 2 2 3" xfId="9962"/>
    <cellStyle name="60% - 强调文字颜色 6 2 3 2 2 3 2" xfId="9964"/>
    <cellStyle name="60% - 强调文字颜色 6 2 3 2 2 3 3" xfId="9966"/>
    <cellStyle name="60% - 强调文字颜色 6 2 3 2 2 4" xfId="9972"/>
    <cellStyle name="60% - 强调文字颜色 6 2 3 2 3" xfId="9973"/>
    <cellStyle name="60% - 强调文字颜色 6 2 3 2 3 2" xfId="9974"/>
    <cellStyle name="60% - 强调文字颜色 6 2 3 2 3 2 2" xfId="9977"/>
    <cellStyle name="60% - 强调文字颜色 6 2 3 2 3 2 3" xfId="9981"/>
    <cellStyle name="60% - 强调文字颜色 6 2 3 2 3 3" xfId="2051"/>
    <cellStyle name="60% - 强调文字颜色 6 2 3 2 4" xfId="9982"/>
    <cellStyle name="60% - 强调文字颜色 6 2 3 2 4 2" xfId="9983"/>
    <cellStyle name="60% - 强调文字颜色 6 2 3 2 4 3" xfId="9985"/>
    <cellStyle name="60% - 强调文字颜色 6 2 3 2 5" xfId="9989"/>
    <cellStyle name="60% - 强调文字颜色 6 2 3 3" xfId="9990"/>
    <cellStyle name="60% - 强调文字颜色 6 2 3 3 2" xfId="3018"/>
    <cellStyle name="60% - 强调文字颜色 6 2 3 3 2 2" xfId="3032"/>
    <cellStyle name="60% - 强调文字颜色 6 2 3 3 2 2 2" xfId="1243"/>
    <cellStyle name="60% - 强调文字颜色 6 2 3 3 2 2 3" xfId="2771"/>
    <cellStyle name="60% - 强调文字颜色 6 2 3 3 2 3" xfId="3039"/>
    <cellStyle name="60% - 强调文字颜色 6 2 3 3 3" xfId="83"/>
    <cellStyle name="60% - 强调文字颜色 6 2 3 3 3 2" xfId="1794"/>
    <cellStyle name="60% - 强调文字颜色 6 2 3 3 3 3" xfId="1803"/>
    <cellStyle name="60% - 强调文字颜色 6 2 3 3 4" xfId="1812"/>
    <cellStyle name="60% - 强调文字颜色 6 2 3 4" xfId="9992"/>
    <cellStyle name="60% - 强调文字颜色 6 2 3 4 2" xfId="3067"/>
    <cellStyle name="60% - 强调文字颜色 6 2 3 4 2 2" xfId="3074"/>
    <cellStyle name="60% - 强调文字颜色 6 2 3 4 2 2 2" xfId="9995"/>
    <cellStyle name="60% - 强调文字颜色 6 2 3 4 2 2 3" xfId="10002"/>
    <cellStyle name="60% - 强调文字颜色 6 2 3 4 2 3" xfId="269"/>
    <cellStyle name="60% - 强调文字颜色 6 2 3 4 3" xfId="1644"/>
    <cellStyle name="60% - 强调文字颜色 6 2 3 4 3 2" xfId="543"/>
    <cellStyle name="60% - 强调文字颜色 6 2 3 4 3 3" xfId="1655"/>
    <cellStyle name="60% - 强调文字颜色 6 2 3 4 4" xfId="1666"/>
    <cellStyle name="60% - 强调文字颜色 6 2 3 5" xfId="10005"/>
    <cellStyle name="60% - 强调文字颜色 6 2 3 5 2" xfId="3138"/>
    <cellStyle name="60% - 强调文字颜色 6 2 3 5 2 2" xfId="243"/>
    <cellStyle name="60% - 强调文字颜色 6 2 3 5 2 3" xfId="3145"/>
    <cellStyle name="60% - 强调文字颜色 6 2 3 5 3" xfId="1682"/>
    <cellStyle name="60% - 强调文字颜色 6 2 3 6" xfId="214"/>
    <cellStyle name="60% - 强调文字颜色 6 2 3 6 2" xfId="3172"/>
    <cellStyle name="60% - 强调文字颜色 6 2 3 6 3" xfId="520"/>
    <cellStyle name="60% - 强调文字颜色 6 2 3 7" xfId="164"/>
    <cellStyle name="60% - 强调文字颜色 6 2 4" xfId="2396"/>
    <cellStyle name="60% - 强调文字颜色 6 2 4 2" xfId="10006"/>
    <cellStyle name="60% - 强调文字颜色 6 2 4 2 2" xfId="10008"/>
    <cellStyle name="60% - 强调文字颜色 6 2 4 2 2 2" xfId="9695"/>
    <cellStyle name="60% - 强调文字颜色 6 2 4 2 2 2 2" xfId="10009"/>
    <cellStyle name="60% - 强调文字颜色 6 2 4 2 2 2 2 2" xfId="10010"/>
    <cellStyle name="60% - 强调文字颜色 6 2 4 2 2 2 2 3" xfId="9068"/>
    <cellStyle name="60% - 强调文字颜色 6 2 4 2 2 2 3" xfId="10011"/>
    <cellStyle name="60% - 强调文字颜色 6 2 4 2 2 3" xfId="10012"/>
    <cellStyle name="60% - 强调文字颜色 6 2 4 2 2 3 2" xfId="10018"/>
    <cellStyle name="60% - 强调文字颜色 6 2 4 2 2 3 3" xfId="10025"/>
    <cellStyle name="60% - 强调文字颜色 6 2 4 2 2 4" xfId="10032"/>
    <cellStyle name="60% - 强调文字颜色 6 2 4 2 3" xfId="5308"/>
    <cellStyle name="60% - 强调文字颜色 6 2 4 2 3 2" xfId="5312"/>
    <cellStyle name="60% - 强调文字颜色 6 2 4 2 3 2 2" xfId="5323"/>
    <cellStyle name="60% - 强调文字颜色 6 2 4 2 3 2 3" xfId="5336"/>
    <cellStyle name="60% - 强调文字颜色 6 2 4 2 3 3" xfId="5347"/>
    <cellStyle name="60% - 强调文字颜色 6 2 4 2 4" xfId="5374"/>
    <cellStyle name="60% - 强调文字颜色 6 2 4 2 4 2" xfId="5379"/>
    <cellStyle name="60% - 强调文字颜色 6 2 4 2 4 3" xfId="5402"/>
    <cellStyle name="60% - 强调文字颜色 6 2 4 2 5" xfId="2008"/>
    <cellStyle name="60% - 强调文字颜色 6 2 4 3" xfId="10038"/>
    <cellStyle name="60% - 强调文字颜色 6 2 4 3 2" xfId="840"/>
    <cellStyle name="60% - 强调文字颜色 6 2 4 3 2 2" xfId="3221"/>
    <cellStyle name="60% - 强调文字颜色 6 2 4 3 2 2 2" xfId="3228"/>
    <cellStyle name="60% - 强调文字颜色 6 2 4 3 2 2 3" xfId="3234"/>
    <cellStyle name="60% - 强调文字颜色 6 2 4 3 2 3" xfId="3244"/>
    <cellStyle name="60% - 强调文字颜色 6 2 4 3 3" xfId="3250"/>
    <cellStyle name="60% - 强调文字颜色 6 2 4 3 3 2" xfId="1849"/>
    <cellStyle name="60% - 强调文字颜色 6 2 4 3 3 3" xfId="3278"/>
    <cellStyle name="60% - 强调文字颜色 6 2 4 3 4" xfId="3287"/>
    <cellStyle name="60% - 强调文字颜色 6 2 4 4" xfId="5521"/>
    <cellStyle name="60% - 强调文字颜色 6 2 4 4 2" xfId="3321"/>
    <cellStyle name="60% - 强调文字颜色 6 2 4 4 2 2" xfId="3328"/>
    <cellStyle name="60% - 强调文字颜色 6 2 4 4 2 2 2" xfId="8598"/>
    <cellStyle name="60% - 强调文字颜色 6 2 4 4 2 2 3" xfId="8600"/>
    <cellStyle name="60% - 强调文字颜色 6 2 4 4 2 3" xfId="3340"/>
    <cellStyle name="60% - 强调文字颜色 6 2 4 4 3" xfId="1736"/>
    <cellStyle name="60% - 强调文字颜色 6 2 4 4 3 2" xfId="8633"/>
    <cellStyle name="60% - 强调文字颜色 6 2 4 4 3 3" xfId="8638"/>
    <cellStyle name="60% - 强调文字颜色 6 2 4 4 4" xfId="969"/>
    <cellStyle name="60% - 强调文字颜色 6 2 4 5" xfId="5614"/>
    <cellStyle name="60% - 强调文字颜色 6 2 4 5 2" xfId="3405"/>
    <cellStyle name="60% - 强调文字颜色 6 2 4 5 2 2" xfId="3412"/>
    <cellStyle name="60% - 强调文字颜色 6 2 4 5 2 3" xfId="3427"/>
    <cellStyle name="60% - 强调文字颜色 6 2 4 5 3" xfId="3436"/>
    <cellStyle name="60% - 强调文字颜色 6 2 4 6" xfId="10041"/>
    <cellStyle name="60% - 强调文字颜色 6 2 4 6 2" xfId="3455"/>
    <cellStyle name="60% - 强调文字颜色 6 2 4 6 3" xfId="10042"/>
    <cellStyle name="60% - 强调文字颜色 6 2 4 7" xfId="10043"/>
    <cellStyle name="60% - 强调文字颜色 6 2 5" xfId="2408"/>
    <cellStyle name="60% - 强调文字颜色 6 2 5 2" xfId="10044"/>
    <cellStyle name="60% - 强调文字颜色 6 2 5 2 2" xfId="10046"/>
    <cellStyle name="60% - 强调文字颜色 6 2 5 2 2 2" xfId="9766"/>
    <cellStyle name="60% - 强调文字颜色 6 2 5 2 2 2 2" xfId="10049"/>
    <cellStyle name="60% - 强调文字颜色 6 2 5 2 2 2 3" xfId="10052"/>
    <cellStyle name="60% - 强调文字颜色 6 2 5 2 2 3" xfId="10053"/>
    <cellStyle name="60% - 强调文字颜色 6 2 5 2 3" xfId="5965"/>
    <cellStyle name="60% - 强调文字颜色 6 2 5 2 3 2" xfId="5968"/>
    <cellStyle name="60% - 强调文字颜色 6 2 5 2 3 3" xfId="5980"/>
    <cellStyle name="60% - 强调文字颜色 6 2 5 2 4" xfId="5989"/>
    <cellStyle name="60% - 强调文字颜色 6 2 5 3" xfId="10059"/>
    <cellStyle name="60% - 强调文字颜色 6 2 5 3 2" xfId="3516"/>
    <cellStyle name="60% - 强调文字颜色 6 2 5 3 2 2" xfId="3522"/>
    <cellStyle name="60% - 强调文字颜色 6 2 5 3 2 3" xfId="3530"/>
    <cellStyle name="60% - 强调文字颜色 6 2 5 3 3" xfId="3536"/>
    <cellStyle name="60% - 强调文字颜色 6 2 5 4" xfId="10062"/>
    <cellStyle name="60% - 强调文字颜色 6 2 5 4 2" xfId="651"/>
    <cellStyle name="60% - 强调文字颜色 6 2 5 4 3" xfId="3612"/>
    <cellStyle name="60% - 强调文字颜色 6 2 5 5" xfId="10064"/>
    <cellStyle name="60% - 强调文字颜色 6 2 6" xfId="10065"/>
    <cellStyle name="60% - 强调文字颜色 6 2 6 2" xfId="4426"/>
    <cellStyle name="60% - 强调文字颜色 6 2 6 2 2" xfId="10066"/>
    <cellStyle name="60% - 强调文字颜色 6 2 6 2 2 2" xfId="10067"/>
    <cellStyle name="60% - 强调文字颜色 6 2 6 2 2 3" xfId="10068"/>
    <cellStyle name="60% - 强调文字颜色 6 2 6 2 3" xfId="6040"/>
    <cellStyle name="60% - 强调文字颜色 6 2 6 3" xfId="7813"/>
    <cellStyle name="60% - 强调文字颜色 6 2 6 3 2" xfId="3703"/>
    <cellStyle name="60% - 强调文字颜色 6 2 6 3 3" xfId="3711"/>
    <cellStyle name="60% - 强调文字颜色 6 2 6 4" xfId="7742"/>
    <cellStyle name="60% - 强调文字颜色 6 2 7" xfId="7414"/>
    <cellStyle name="60% - 强调文字颜色 6 2 7 2" xfId="7206"/>
    <cellStyle name="60% - 强调文字颜色 6 2 7 2 2" xfId="7429"/>
    <cellStyle name="60% - 强调文字颜色 6 2 7 2 2 2" xfId="1435"/>
    <cellStyle name="60% - 强调文字颜色 6 2 7 2 2 3" xfId="5033"/>
    <cellStyle name="60% - 强调文字颜色 6 2 7 2 3" xfId="6090"/>
    <cellStyle name="60% - 强调文字颜色 6 2 7 3" xfId="7459"/>
    <cellStyle name="60% - 强调文字颜色 6 2 7 3 2" xfId="3809"/>
    <cellStyle name="60% - 强调文字颜色 6 2 7 3 3" xfId="1505"/>
    <cellStyle name="60% - 强调文字颜色 6 2 7 4" xfId="7471"/>
    <cellStyle name="60% - 强调文字颜色 6 2 8" xfId="7512"/>
    <cellStyle name="60% - 强调文字颜色 6 2 8 2" xfId="7523"/>
    <cellStyle name="60% - 强调文字颜色 6 2 8 2 2" xfId="7530"/>
    <cellStyle name="60% - 强调文字颜色 6 2 8 2 3" xfId="7571"/>
    <cellStyle name="60% - 强调文字颜色 6 2 8 3" xfId="7623"/>
    <cellStyle name="60% - 强调文字颜色 6 2 9" xfId="7685"/>
    <cellStyle name="60% - 强调文字颜色 6 2 9 2" xfId="7691"/>
    <cellStyle name="百分比 2" xfId="2875"/>
    <cellStyle name="标题 1 2" xfId="5449"/>
    <cellStyle name="标题 1 2 2" xfId="6037"/>
    <cellStyle name="标题 1 2 2 2" xfId="1367"/>
    <cellStyle name="标题 1 2 2 2 2" xfId="4543"/>
    <cellStyle name="标题 1 2 2 2 2 2" xfId="1941"/>
    <cellStyle name="标题 1 2 2 2 2 2 2" xfId="10014"/>
    <cellStyle name="标题 1 2 2 2 2 2 2 2" xfId="10022"/>
    <cellStyle name="标题 1 2 2 2 2 2 2 3" xfId="10027"/>
    <cellStyle name="标题 1 2 2 2 2 2 3" xfId="10034"/>
    <cellStyle name="标题 1 2 2 2 2 3" xfId="2151"/>
    <cellStyle name="标题 1 2 2 2 2 3 2" xfId="5346"/>
    <cellStyle name="标题 1 2 2 2 2 3 3" xfId="5362"/>
    <cellStyle name="标题 1 2 2 2 2 4" xfId="2162"/>
    <cellStyle name="标题 1 2 2 2 3" xfId="5232"/>
    <cellStyle name="标题 1 2 2 2 3 2" xfId="9368"/>
    <cellStyle name="标题 1 2 2 2 3 2 2" xfId="3242"/>
    <cellStyle name="标题 1 2 2 2 3 2 3" xfId="4403"/>
    <cellStyle name="标题 1 2 2 2 3 3" xfId="9731"/>
    <cellStyle name="标题 1 2 2 2 4" xfId="10079"/>
    <cellStyle name="标题 1 2 2 2 4 2" xfId="10091"/>
    <cellStyle name="标题 1 2 2 2 4 3" xfId="10100"/>
    <cellStyle name="标题 1 2 2 2 5" xfId="10107"/>
    <cellStyle name="标题 1 2 2 3" xfId="6042"/>
    <cellStyle name="标题 1 2 2 3 2" xfId="10108"/>
    <cellStyle name="标题 1 2 2 3 2 2" xfId="8100"/>
    <cellStyle name="标题 1 2 2 3 2 2 2" xfId="10054"/>
    <cellStyle name="标题 1 2 2 3 2 2 3" xfId="10110"/>
    <cellStyle name="标题 1 2 2 3 2 3" xfId="2240"/>
    <cellStyle name="标题 1 2 2 3 3" xfId="10114"/>
    <cellStyle name="标题 1 2 2 3 3 2" xfId="10116"/>
    <cellStyle name="标题 1 2 2 3 3 3" xfId="10119"/>
    <cellStyle name="标题 1 2 2 3 4" xfId="10121"/>
    <cellStyle name="标题 1 2 2 4" xfId="252"/>
    <cellStyle name="标题 1 2 2 4 2" xfId="7917"/>
    <cellStyle name="标题 1 2 2 4 2 2" xfId="10124"/>
    <cellStyle name="标题 1 2 2 4 2 2 2" xfId="10072"/>
    <cellStyle name="标题 1 2 2 4 2 2 3" xfId="7889"/>
    <cellStyle name="标题 1 2 2 4 2 3" xfId="10128"/>
    <cellStyle name="标题 1 2 2 4 3" xfId="7925"/>
    <cellStyle name="标题 1 2 2 4 3 2" xfId="10131"/>
    <cellStyle name="标题 1 2 2 4 3 3" xfId="10133"/>
    <cellStyle name="标题 1 2 2 4 4" xfId="10135"/>
    <cellStyle name="标题 1 2 2 5" xfId="7932"/>
    <cellStyle name="标题 1 2 2 5 2" xfId="10138"/>
    <cellStyle name="标题 1 2 2 5 2 2" xfId="6929"/>
    <cellStyle name="标题 1 2 2 5 2 3" xfId="6933"/>
    <cellStyle name="标题 1 2 2 5 3" xfId="10140"/>
    <cellStyle name="标题 1 2 2 6" xfId="10143"/>
    <cellStyle name="标题 1 2 2 6 2" xfId="10146"/>
    <cellStyle name="标题 1 2 2 6 3" xfId="10150"/>
    <cellStyle name="标题 1 2 2 7" xfId="10155"/>
    <cellStyle name="标题 1 2 3" xfId="6051"/>
    <cellStyle name="标题 1 2 3 2" xfId="2827"/>
    <cellStyle name="标题 1 2 3 2 2" xfId="10157"/>
    <cellStyle name="标题 1 2 3 2 2 2" xfId="693"/>
    <cellStyle name="标题 1 2 3 2 2 2 2" xfId="10159"/>
    <cellStyle name="标题 1 2 3 2 2 2 3" xfId="10160"/>
    <cellStyle name="标题 1 2 3 2 2 3" xfId="2516"/>
    <cellStyle name="标题 1 2 3 2 3" xfId="10161"/>
    <cellStyle name="标题 1 2 3 2 3 2" xfId="9418"/>
    <cellStyle name="标题 1 2 3 2 3 3" xfId="9808"/>
    <cellStyle name="标题 1 2 3 2 4" xfId="10163"/>
    <cellStyle name="标题 1 2 3 3" xfId="6054"/>
    <cellStyle name="标题 1 2 3 3 2" xfId="10164"/>
    <cellStyle name="标题 1 2 3 3 2 2" xfId="830"/>
    <cellStyle name="标题 1 2 3 3 2 3" xfId="2599"/>
    <cellStyle name="标题 1 2 3 3 3" xfId="10165"/>
    <cellStyle name="标题 1 2 3 4" xfId="7941"/>
    <cellStyle name="标题 1 2 3 4 2" xfId="10166"/>
    <cellStyle name="标题 1 2 3 4 3" xfId="8312"/>
    <cellStyle name="标题 1 2 3 5" xfId="7945"/>
    <cellStyle name="标题 1 2 4" xfId="6062"/>
    <cellStyle name="标题 1 2 4 2" xfId="10168"/>
    <cellStyle name="标题 1 2 4 2 2" xfId="7226"/>
    <cellStyle name="标题 1 2 4 2 2 2" xfId="1140"/>
    <cellStyle name="标题 1 2 4 2 2 3" xfId="2374"/>
    <cellStyle name="标题 1 2 4 2 3" xfId="7219"/>
    <cellStyle name="标题 1 2 4 3" xfId="10170"/>
    <cellStyle name="标题 1 2 4 3 2" xfId="7241"/>
    <cellStyle name="标题 1 2 4 3 3" xfId="7327"/>
    <cellStyle name="标题 1 2 4 4" xfId="10172"/>
    <cellStyle name="标题 1 2 5" xfId="10174"/>
    <cellStyle name="标题 1 2 5 2" xfId="10176"/>
    <cellStyle name="标题 1 2 5 2 2" xfId="7265"/>
    <cellStyle name="标题 1 2 5 2 2 2" xfId="1457"/>
    <cellStyle name="标题 1 2 5 2 2 3" xfId="10179"/>
    <cellStyle name="标题 1 2 5 2 3" xfId="10180"/>
    <cellStyle name="标题 1 2 5 3" xfId="10183"/>
    <cellStyle name="标题 1 2 5 3 2" xfId="10185"/>
    <cellStyle name="标题 1 2 5 3 3" xfId="10187"/>
    <cellStyle name="标题 1 2 5 4" xfId="9875"/>
    <cellStyle name="标题 1 2 6" xfId="10190"/>
    <cellStyle name="标题 1 2 6 2" xfId="10193"/>
    <cellStyle name="标题 1 2 6 2 2" xfId="6198"/>
    <cellStyle name="标题 1 2 6 2 3" xfId="6204"/>
    <cellStyle name="标题 1 2 6 3" xfId="10195"/>
    <cellStyle name="标题 1 2 7" xfId="10197"/>
    <cellStyle name="标题 1 2 7 2" xfId="10199"/>
    <cellStyle name="标题 1 2 7 3" xfId="10201"/>
    <cellStyle name="标题 1 2 8" xfId="10203"/>
    <cellStyle name="标题 1 3" xfId="4681"/>
    <cellStyle name="标题 1 3 2" xfId="3720"/>
    <cellStyle name="标题 1 3 2 2" xfId="4684"/>
    <cellStyle name="标题 1 3 2 2 2" xfId="10204"/>
    <cellStyle name="标题 1 3 2 2 2 2" xfId="10207"/>
    <cellStyle name="标题 1 3 2 2 2 2 2" xfId="10211"/>
    <cellStyle name="标题 1 3 2 2 2 2 3" xfId="10216"/>
    <cellStyle name="标题 1 3 2 2 2 3" xfId="10221"/>
    <cellStyle name="标题 1 3 2 2 3" xfId="10224"/>
    <cellStyle name="标题 1 3 2 2 3 2" xfId="10227"/>
    <cellStyle name="标题 1 3 2 2 3 3" xfId="10230"/>
    <cellStyle name="标题 1 3 2 2 4" xfId="10232"/>
    <cellStyle name="标题 1 3 2 3" xfId="4694"/>
    <cellStyle name="标题 1 3 2 3 2" xfId="10233"/>
    <cellStyle name="标题 1 3 2 3 2 2" xfId="9601"/>
    <cellStyle name="标题 1 3 2 3 2 3" xfId="10236"/>
    <cellStyle name="标题 1 3 2 3 3" xfId="10239"/>
    <cellStyle name="标题 1 3 2 4" xfId="7967"/>
    <cellStyle name="标题 1 3 2 4 2" xfId="918"/>
    <cellStyle name="标题 1 3 2 4 3" xfId="1287"/>
    <cellStyle name="标题 1 3 2 5" xfId="7972"/>
    <cellStyle name="标题 1 3 3" xfId="4701"/>
    <cellStyle name="标题 1 3 3 2" xfId="8740"/>
    <cellStyle name="标题 1 3 3 2 2" xfId="10240"/>
    <cellStyle name="标题 1 3 3 2 2 2" xfId="10243"/>
    <cellStyle name="标题 1 3 3 2 2 3" xfId="10246"/>
    <cellStyle name="标题 1 3 3 2 3" xfId="10248"/>
    <cellStyle name="标题 1 3 3 3" xfId="10252"/>
    <cellStyle name="标题 1 3 3 3 2" xfId="10253"/>
    <cellStyle name="标题 1 3 3 3 3" xfId="10255"/>
    <cellStyle name="标题 1 3 3 4" xfId="8496"/>
    <cellStyle name="标题 1 3 4" xfId="5454"/>
    <cellStyle name="标题 1 3 4 2" xfId="793"/>
    <cellStyle name="标题 1 3 4 2 2" xfId="7281"/>
    <cellStyle name="标题 1 3 4 2 2 2" xfId="10148"/>
    <cellStyle name="标题 1 3 4 2 2 3" xfId="6144"/>
    <cellStyle name="标题 1 3 4 2 3" xfId="7693"/>
    <cellStyle name="标题 1 3 4 3" xfId="5458"/>
    <cellStyle name="标题 1 3 4 3 2" xfId="8348"/>
    <cellStyle name="标题 1 3 4 3 3" xfId="7838"/>
    <cellStyle name="标题 1 3 4 4" xfId="10259"/>
    <cellStyle name="标题 1 3 5" xfId="3296"/>
    <cellStyle name="标题 1 3 5 2" xfId="10261"/>
    <cellStyle name="标题 1 3 5 2 2" xfId="10267"/>
    <cellStyle name="标题 1 3 5 2 3" xfId="10272"/>
    <cellStyle name="标题 1 3 5 3" xfId="10275"/>
    <cellStyle name="标题 1 3 6" xfId="3352"/>
    <cellStyle name="标题 1 3 6 2" xfId="10277"/>
    <cellStyle name="标题 1 3 6 3" xfId="10279"/>
    <cellStyle name="标题 1 3 7" xfId="10281"/>
    <cellStyle name="标题 1 4" xfId="4709"/>
    <cellStyle name="标题 1 4 2" xfId="431"/>
    <cellStyle name="标题 1 4 2 2" xfId="6233"/>
    <cellStyle name="标题 1 4 2 2 2" xfId="6243"/>
    <cellStyle name="标题 1 4 2 2 3" xfId="6258"/>
    <cellStyle name="标题 1 4 2 3" xfId="6269"/>
    <cellStyle name="标题 1 4 3" xfId="452"/>
    <cellStyle name="标题 1 4 3 2" xfId="6358"/>
    <cellStyle name="标题 1 4 3 3" xfId="6379"/>
    <cellStyle name="标题 1 4 4" xfId="5462"/>
    <cellStyle name="标题 1 5" xfId="4716"/>
    <cellStyle name="标题 1 5 2" xfId="195"/>
    <cellStyle name="标题 1 5 2 2" xfId="8927"/>
    <cellStyle name="标题 1 5 2 2 2" xfId="5632"/>
    <cellStyle name="标题 1 5 2 2 3" xfId="10284"/>
    <cellStyle name="标题 1 5 2 3" xfId="9120"/>
    <cellStyle name="标题 1 5 3" xfId="10293"/>
    <cellStyle name="标题 1 5 3 2" xfId="8939"/>
    <cellStyle name="标题 1 5 3 3" xfId="9449"/>
    <cellStyle name="标题 1 5 4" xfId="10299"/>
    <cellStyle name="标题 1 6" xfId="10300"/>
    <cellStyle name="标题 1 6 2" xfId="10306"/>
    <cellStyle name="标题 1 6 2 2" xfId="9912"/>
    <cellStyle name="标题 1 6 2 2 2" xfId="10311"/>
    <cellStyle name="标题 1 6 2 2 3" xfId="10312"/>
    <cellStyle name="标题 1 6 2 3" xfId="10313"/>
    <cellStyle name="标题 1 6 3" xfId="10316"/>
    <cellStyle name="标题 1 6 3 2" xfId="9942"/>
    <cellStyle name="标题 1 6 3 3" xfId="9473"/>
    <cellStyle name="标题 1 6 4" xfId="10320"/>
    <cellStyle name="标题 1 7" xfId="10321"/>
    <cellStyle name="标题 1 7 2" xfId="10325"/>
    <cellStyle name="标题 1 7 2 2" xfId="1811"/>
    <cellStyle name="标题 1 7 2 3" xfId="10326"/>
    <cellStyle name="标题 1 7 3" xfId="10328"/>
    <cellStyle name="标题 1 8" xfId="10329"/>
    <cellStyle name="标题 1 8 2" xfId="8982"/>
    <cellStyle name="标题 1 9" xfId="10330"/>
    <cellStyle name="标题 10" xfId="7405"/>
    <cellStyle name="标题 10 2" xfId="9427"/>
    <cellStyle name="标题 10 2 2" xfId="10332"/>
    <cellStyle name="标题 10 2 3" xfId="10338"/>
    <cellStyle name="标题 10 3" xfId="10343"/>
    <cellStyle name="标题 11" xfId="6987"/>
    <cellStyle name="标题 11 2" xfId="7432"/>
    <cellStyle name="标题 12" xfId="9928"/>
    <cellStyle name="标题 2 2" xfId="6081"/>
    <cellStyle name="标题 2 2 2" xfId="6082"/>
    <cellStyle name="标题 2 2 2 2" xfId="5092"/>
    <cellStyle name="标题 2 2 2 2 2" xfId="5107"/>
    <cellStyle name="标题 2 2 2 2 2 2" xfId="9634"/>
    <cellStyle name="标题 2 2 2 2 2 2 2" xfId="10344"/>
    <cellStyle name="标题 2 2 2 2 2 2 2 2" xfId="10345"/>
    <cellStyle name="标题 2 2 2 2 2 2 2 3" xfId="10346"/>
    <cellStyle name="标题 2 2 2 2 2 2 3" xfId="10347"/>
    <cellStyle name="标题 2 2 2 2 2 3" xfId="3077"/>
    <cellStyle name="标题 2 2 2 2 2 3 2" xfId="9994"/>
    <cellStyle name="标题 2 2 2 2 2 3 3" xfId="9998"/>
    <cellStyle name="标题 2 2 2 2 2 4" xfId="263"/>
    <cellStyle name="标题 2 2 2 2 3" xfId="467"/>
    <cellStyle name="标题 2 2 2 2 3 2" xfId="9647"/>
    <cellStyle name="标题 2 2 2 2 3 2 2" xfId="10348"/>
    <cellStyle name="标题 2 2 2 2 3 2 3" xfId="2638"/>
    <cellStyle name="标题 2 2 2 2 3 3" xfId="547"/>
    <cellStyle name="标题 2 2 2 2 4" xfId="10353"/>
    <cellStyle name="标题 2 2 2 2 4 2" xfId="10355"/>
    <cellStyle name="标题 2 2 2 2 4 3" xfId="10357"/>
    <cellStyle name="标题 2 2 2 2 5" xfId="10358"/>
    <cellStyle name="标题 2 2 2 3" xfId="5117"/>
    <cellStyle name="标题 2 2 2 3 2" xfId="10361"/>
    <cellStyle name="标题 2 2 2 3 2 2" xfId="9661"/>
    <cellStyle name="标题 2 2 2 3 2 2 2" xfId="10363"/>
    <cellStyle name="标题 2 2 2 3 2 2 3" xfId="7846"/>
    <cellStyle name="标题 2 2 2 3 2 3" xfId="237"/>
    <cellStyle name="标题 2 2 2 3 3" xfId="10365"/>
    <cellStyle name="标题 2 2 2 3 3 2" xfId="10366"/>
    <cellStyle name="标题 2 2 2 3 3 3" xfId="10369"/>
    <cellStyle name="标题 2 2 2 3 4" xfId="10372"/>
    <cellStyle name="标题 2 2 2 4" xfId="8060"/>
    <cellStyle name="标题 2 2 2 4 2" xfId="8067"/>
    <cellStyle name="标题 2 2 2 4 2 2" xfId="10374"/>
    <cellStyle name="标题 2 2 2 4 2 2 2" xfId="10376"/>
    <cellStyle name="标题 2 2 2 4 2 2 3" xfId="10379"/>
    <cellStyle name="标题 2 2 2 4 2 3" xfId="8301"/>
    <cellStyle name="标题 2 2 2 4 3" xfId="8072"/>
    <cellStyle name="标题 2 2 2 4 3 2" xfId="10380"/>
    <cellStyle name="标题 2 2 2 4 3 3" xfId="10382"/>
    <cellStyle name="标题 2 2 2 4 4" xfId="10383"/>
    <cellStyle name="标题 2 2 2 5" xfId="8079"/>
    <cellStyle name="标题 2 2 2 5 2" xfId="10384"/>
    <cellStyle name="标题 2 2 2 5 2 2" xfId="10387"/>
    <cellStyle name="标题 2 2 2 5 2 3" xfId="8660"/>
    <cellStyle name="标题 2 2 2 5 3" xfId="10388"/>
    <cellStyle name="标题 2 2 2 6" xfId="290"/>
    <cellStyle name="标题 2 2 2 6 2" xfId="2209"/>
    <cellStyle name="标题 2 2 2 6 3" xfId="2220"/>
    <cellStyle name="标题 2 2 2 7" xfId="362"/>
    <cellStyle name="标题 2 2 3" xfId="6093"/>
    <cellStyle name="标题 2 2 3 2" xfId="5130"/>
    <cellStyle name="标题 2 2 3 2 2" xfId="8588"/>
    <cellStyle name="标题 2 2 3 2 2 2" xfId="2164"/>
    <cellStyle name="标题 2 2 3 2 2 2 2" xfId="5400"/>
    <cellStyle name="标题 2 2 3 2 2 2 3" xfId="5412"/>
    <cellStyle name="标题 2 2 3 2 2 3" xfId="3332"/>
    <cellStyle name="标题 2 2 3 2 3" xfId="8608"/>
    <cellStyle name="标题 2 2 3 2 3 2" xfId="8614"/>
    <cellStyle name="标题 2 2 3 2 3 3" xfId="8628"/>
    <cellStyle name="标题 2 2 3 2 4" xfId="8644"/>
    <cellStyle name="标题 2 2 3 3" xfId="7443"/>
    <cellStyle name="标题 2 2 3 3 2" xfId="10396"/>
    <cellStyle name="标题 2 2 3 3 2 2" xfId="2252"/>
    <cellStyle name="标题 2 2 3 3 2 3" xfId="3417"/>
    <cellStyle name="标题 2 2 3 3 3" xfId="10403"/>
    <cellStyle name="标题 2 2 3 4" xfId="8089"/>
    <cellStyle name="标题 2 2 3 4 2" xfId="10412"/>
    <cellStyle name="标题 2 2 3 4 3" xfId="10419"/>
    <cellStyle name="标题 2 2 3 5" xfId="8097"/>
    <cellStyle name="标题 2 2 4" xfId="7448"/>
    <cellStyle name="标题 2 2 4 2" xfId="5147"/>
    <cellStyle name="标题 2 2 4 2 2" xfId="7342"/>
    <cellStyle name="标题 2 2 4 2 2 2" xfId="2534"/>
    <cellStyle name="标题 2 2 4 2 2 3" xfId="3598"/>
    <cellStyle name="标题 2 2 4 2 3" xfId="5759"/>
    <cellStyle name="标题 2 2 4 3" xfId="10422"/>
    <cellStyle name="标题 2 2 4 3 2" xfId="10430"/>
    <cellStyle name="标题 2 2 4 3 3" xfId="10433"/>
    <cellStyle name="标题 2 2 4 4" xfId="10436"/>
    <cellStyle name="标题 2 2 5" xfId="10444"/>
    <cellStyle name="标题 2 2 5 2" xfId="10446"/>
    <cellStyle name="标题 2 2 5 2 2" xfId="8840"/>
    <cellStyle name="标题 2 2 5 2 2 2" xfId="2401"/>
    <cellStyle name="标题 2 2 5 2 2 3" xfId="8859"/>
    <cellStyle name="标题 2 2 5 2 3" xfId="925"/>
    <cellStyle name="标题 2 2 5 3" xfId="10448"/>
    <cellStyle name="标题 2 2 5 3 2" xfId="8899"/>
    <cellStyle name="标题 2 2 5 3 3" xfId="8921"/>
    <cellStyle name="标题 2 2 5 4" xfId="9901"/>
    <cellStyle name="标题 2 2 6" xfId="10451"/>
    <cellStyle name="标题 2 2 6 2" xfId="10453"/>
    <cellStyle name="标题 2 2 6 2 2" xfId="5197"/>
    <cellStyle name="标题 2 2 6 2 3" xfId="5208"/>
    <cellStyle name="标题 2 2 6 3" xfId="10455"/>
    <cellStyle name="标题 2 2 7" xfId="10458"/>
    <cellStyle name="标题 2 2 7 2" xfId="10461"/>
    <cellStyle name="标题 2 2 7 3" xfId="10462"/>
    <cellStyle name="标题 2 2 8" xfId="10464"/>
    <cellStyle name="标题 2 3" xfId="1493"/>
    <cellStyle name="标题 2 3 2" xfId="1498"/>
    <cellStyle name="标题 2 3 2 2" xfId="4723"/>
    <cellStyle name="标题 2 3 2 2 2" xfId="10466"/>
    <cellStyle name="标题 2 3 2 2 2 2" xfId="10469"/>
    <cellStyle name="标题 2 3 2 2 2 2 2" xfId="10470"/>
    <cellStyle name="标题 2 3 2 2 2 2 3" xfId="10471"/>
    <cellStyle name="标题 2 3 2 2 2 3" xfId="10474"/>
    <cellStyle name="标题 2 3 2 2 3" xfId="10477"/>
    <cellStyle name="标题 2 3 2 2 3 2" xfId="10480"/>
    <cellStyle name="标题 2 3 2 2 3 3" xfId="10485"/>
    <cellStyle name="标题 2 3 2 2 4" xfId="10491"/>
    <cellStyle name="标题 2 3 2 3" xfId="4733"/>
    <cellStyle name="标题 2 3 2 3 2" xfId="10493"/>
    <cellStyle name="标题 2 3 2 3 2 2" xfId="10496"/>
    <cellStyle name="标题 2 3 2 3 2 3" xfId="10499"/>
    <cellStyle name="标题 2 3 2 3 3" xfId="10501"/>
    <cellStyle name="标题 2 3 2 4" xfId="8113"/>
    <cellStyle name="标题 2 3 2 4 2" xfId="10507"/>
    <cellStyle name="标题 2 3 2 4 3" xfId="10513"/>
    <cellStyle name="标题 2 3 2 5" xfId="8118"/>
    <cellStyle name="标题 2 3 3" xfId="1514"/>
    <cellStyle name="标题 2 3 3 2" xfId="10516"/>
    <cellStyle name="标题 2 3 3 2 2" xfId="10528"/>
    <cellStyle name="标题 2 3 3 2 2 2" xfId="10532"/>
    <cellStyle name="标题 2 3 3 2 2 3" xfId="10535"/>
    <cellStyle name="标题 2 3 3 2 3" xfId="10543"/>
    <cellStyle name="标题 2 3 3 3" xfId="10547"/>
    <cellStyle name="标题 2 3 3 3 2" xfId="10556"/>
    <cellStyle name="标题 2 3 3 3 3" xfId="10565"/>
    <cellStyle name="标题 2 3 3 4" xfId="10569"/>
    <cellStyle name="标题 2 3 4" xfId="5472"/>
    <cellStyle name="标题 2 3 4 2" xfId="5479"/>
    <cellStyle name="标题 2 3 4 2 2" xfId="10575"/>
    <cellStyle name="标题 2 3 4 2 2 2" xfId="10578"/>
    <cellStyle name="标题 2 3 4 2 2 3" xfId="10581"/>
    <cellStyle name="标题 2 3 4 2 3" xfId="10584"/>
    <cellStyle name="标题 2 3 4 3" xfId="5485"/>
    <cellStyle name="标题 2 3 4 3 2" xfId="8694"/>
    <cellStyle name="标题 2 3 4 3 3" xfId="8703"/>
    <cellStyle name="标题 2 3 4 4" xfId="10587"/>
    <cellStyle name="标题 2 3 5" xfId="5488"/>
    <cellStyle name="标题 2 3 5 2" xfId="10593"/>
    <cellStyle name="标题 2 3 5 2 2" xfId="9170"/>
    <cellStyle name="标题 2 3 5 2 3" xfId="9193"/>
    <cellStyle name="标题 2 3 5 3" xfId="10596"/>
    <cellStyle name="标题 2 3 6" xfId="9547"/>
    <cellStyle name="标题 2 3 6 2" xfId="9555"/>
    <cellStyle name="标题 2 3 6 3" xfId="8667"/>
    <cellStyle name="标题 2 3 7" xfId="9560"/>
    <cellStyle name="标题 2 4" xfId="1535"/>
    <cellStyle name="标题 2 4 2" xfId="4741"/>
    <cellStyle name="标题 2 4 2 2" xfId="6730"/>
    <cellStyle name="标题 2 4 2 2 2" xfId="1815"/>
    <cellStyle name="标题 2 4 2 2 3" xfId="6755"/>
    <cellStyle name="标题 2 4 2 3" xfId="6769"/>
    <cellStyle name="标题 2 4 3" xfId="4747"/>
    <cellStyle name="标题 2 4 3 2" xfId="6874"/>
    <cellStyle name="标题 2 4 3 3" xfId="951"/>
    <cellStyle name="标题 2 4 4" xfId="5493"/>
    <cellStyle name="标题 2 5" xfId="4755"/>
    <cellStyle name="标题 2 5 2" xfId="7489"/>
    <cellStyle name="标题 2 5 2 2" xfId="10597"/>
    <cellStyle name="标题 2 5 2 2 2" xfId="10599"/>
    <cellStyle name="标题 2 5 2 2 3" xfId="10600"/>
    <cellStyle name="标题 2 5 2 3" xfId="10601"/>
    <cellStyle name="标题 2 5 3" xfId="10602"/>
    <cellStyle name="标题 2 5 3 2" xfId="399"/>
    <cellStyle name="标题 2 5 3 3" xfId="421"/>
    <cellStyle name="标题 2 5 4" xfId="10604"/>
    <cellStyle name="标题 2 6" xfId="6600"/>
    <cellStyle name="标题 2 6 2" xfId="7502"/>
    <cellStyle name="标题 2 6 2 2" xfId="10606"/>
    <cellStyle name="标题 2 6 2 2 2" xfId="10608"/>
    <cellStyle name="标题 2 6 2 2 3" xfId="10613"/>
    <cellStyle name="标题 2 6 2 3" xfId="10617"/>
    <cellStyle name="标题 2 6 3" xfId="10620"/>
    <cellStyle name="标题 2 6 3 2" xfId="10623"/>
    <cellStyle name="标题 2 6 3 3" xfId="10625"/>
    <cellStyle name="标题 2 6 4" xfId="10629"/>
    <cellStyle name="标题 2 7" xfId="6602"/>
    <cellStyle name="标题 2 7 2" xfId="10633"/>
    <cellStyle name="标题 2 7 2 2" xfId="10634"/>
    <cellStyle name="标题 2 7 2 3" xfId="10635"/>
    <cellStyle name="标题 2 7 3" xfId="10639"/>
    <cellStyle name="标题 2 8" xfId="1991"/>
    <cellStyle name="标题 2 8 2" xfId="401"/>
    <cellStyle name="标题 2 9" xfId="2003"/>
    <cellStyle name="标题 3 2" xfId="6130"/>
    <cellStyle name="标题 3 2 2" xfId="7566"/>
    <cellStyle name="标题 3 2 2 2" xfId="7576"/>
    <cellStyle name="标题 3 2 2 2 2" xfId="7583"/>
    <cellStyle name="标题 3 2 2 2 2 2" xfId="9923"/>
    <cellStyle name="标题 3 2 2 2 2 2 2" xfId="9132"/>
    <cellStyle name="标题 3 2 2 2 2 2 2 2" xfId="9134"/>
    <cellStyle name="标题 3 2 2 2 2 2 2 3" xfId="9147"/>
    <cellStyle name="标题 3 2 2 2 2 2 3" xfId="9150"/>
    <cellStyle name="标题 3 2 2 2 2 3" xfId="3988"/>
    <cellStyle name="标题 3 2 2 2 2 3 2" xfId="9165"/>
    <cellStyle name="标题 3 2 2 2 2 3 3" xfId="9167"/>
    <cellStyle name="标题 3 2 2 2 2 4" xfId="2312"/>
    <cellStyle name="标题 3 2 2 2 3" xfId="7586"/>
    <cellStyle name="标题 3 2 2 2 3 2" xfId="9936"/>
    <cellStyle name="标题 3 2 2 2 3 2 2" xfId="8786"/>
    <cellStyle name="标题 3 2 2 2 3 2 3" xfId="8764"/>
    <cellStyle name="标题 3 2 2 2 3 3" xfId="10643"/>
    <cellStyle name="标题 3 2 2 2 4" xfId="9719"/>
    <cellStyle name="标题 3 2 2 2 4 2" xfId="10645"/>
    <cellStyle name="标题 3 2 2 2 4 3" xfId="10647"/>
    <cellStyle name="标题 3 2 2 2 5" xfId="5378"/>
    <cellStyle name="标题 3 2 2 3" xfId="7594"/>
    <cellStyle name="标题 3 2 2 3 2" xfId="10648"/>
    <cellStyle name="标题 3 2 2 3 2 2" xfId="9944"/>
    <cellStyle name="标题 3 2 2 3 2 2 2" xfId="1837"/>
    <cellStyle name="标题 3 2 2 3 2 2 3" xfId="1890"/>
    <cellStyle name="标题 3 2 2 3 2 3" xfId="3947"/>
    <cellStyle name="标题 3 2 2 3 3" xfId="10650"/>
    <cellStyle name="标题 3 2 2 3 3 2" xfId="10652"/>
    <cellStyle name="标题 3 2 2 3 3 3" xfId="10654"/>
    <cellStyle name="标题 3 2 2 3 4" xfId="10657"/>
    <cellStyle name="标题 3 2 2 4" xfId="735"/>
    <cellStyle name="标题 3 2 2 4 2" xfId="744"/>
    <cellStyle name="标题 3 2 2 4 2 2" xfId="10659"/>
    <cellStyle name="标题 3 2 2 4 2 2 2" xfId="10661"/>
    <cellStyle name="标题 3 2 2 4 2 2 3" xfId="10663"/>
    <cellStyle name="标题 3 2 2 4 2 3" xfId="10665"/>
    <cellStyle name="标题 3 2 2 4 3" xfId="758"/>
    <cellStyle name="标题 3 2 2 4 3 2" xfId="10667"/>
    <cellStyle name="标题 3 2 2 4 3 3" xfId="10669"/>
    <cellStyle name="标题 3 2 2 4 4" xfId="10672"/>
    <cellStyle name="标题 3 2 2 5" xfId="777"/>
    <cellStyle name="标题 3 2 2 5 2" xfId="10673"/>
    <cellStyle name="标题 3 2 2 5 2 2" xfId="10674"/>
    <cellStyle name="标题 3 2 2 5 2 3" xfId="10675"/>
    <cellStyle name="标题 3 2 2 5 3" xfId="10676"/>
    <cellStyle name="标题 3 2 2 6" xfId="2568"/>
    <cellStyle name="标题 3 2 2 6 2" xfId="2111"/>
    <cellStyle name="标题 3 2 2 6 3" xfId="2185"/>
    <cellStyle name="标题 3 2 2 7" xfId="1180"/>
    <cellStyle name="标题 3 2 3" xfId="7602"/>
    <cellStyle name="标题 3 2 3 2" xfId="7609"/>
    <cellStyle name="标题 3 2 3 2 2" xfId="10682"/>
    <cellStyle name="标题 3 2 3 2 2 2" xfId="264"/>
    <cellStyle name="标题 3 2 3 2 2 2 2" xfId="9392"/>
    <cellStyle name="标题 3 2 3 2 2 2 3" xfId="9404"/>
    <cellStyle name="标题 3 2 3 2 2 3" xfId="4198"/>
    <cellStyle name="标题 3 2 3 2 3" xfId="10687"/>
    <cellStyle name="标题 3 2 3 2 3 2" xfId="1651"/>
    <cellStyle name="标题 3 2 3 2 3 3" xfId="10688"/>
    <cellStyle name="标题 3 2 3 2 4" xfId="10692"/>
    <cellStyle name="标题 3 2 3 3" xfId="7616"/>
    <cellStyle name="标题 3 2 3 3 2" xfId="10699"/>
    <cellStyle name="标题 3 2 3 3 2 2" xfId="3149"/>
    <cellStyle name="标题 3 2 3 3 2 3" xfId="3981"/>
    <cellStyle name="标题 3 2 3 3 3" xfId="10700"/>
    <cellStyle name="标题 3 2 3 4" xfId="813"/>
    <cellStyle name="标题 3 2 3 4 2" xfId="10705"/>
    <cellStyle name="标题 3 2 3 4 3" xfId="10706"/>
    <cellStyle name="标题 3 2 3 5" xfId="834"/>
    <cellStyle name="标题 3 2 4" xfId="3867"/>
    <cellStyle name="标题 3 2 4 2" xfId="10076"/>
    <cellStyle name="标题 3 2 4 2 2" xfId="10083"/>
    <cellStyle name="标题 3 2 4 2 2 2" xfId="3345"/>
    <cellStyle name="标题 3 2 4 2 2 3" xfId="4444"/>
    <cellStyle name="标题 3 2 4 2 3" xfId="10094"/>
    <cellStyle name="标题 3 2 4 3" xfId="10102"/>
    <cellStyle name="标题 3 2 4 3 2" xfId="10711"/>
    <cellStyle name="标题 3 2 4 3 3" xfId="10713"/>
    <cellStyle name="标题 3 2 4 4" xfId="10715"/>
    <cellStyle name="标题 3 2 5" xfId="10720"/>
    <cellStyle name="标题 3 2 5 2" xfId="10725"/>
    <cellStyle name="标题 3 2 5 2 2" xfId="9905"/>
    <cellStyle name="标题 3 2 5 2 2 2" xfId="10733"/>
    <cellStyle name="标题 3 2 5 2 2 3" xfId="10734"/>
    <cellStyle name="标题 3 2 5 2 3" xfId="10735"/>
    <cellStyle name="标题 3 2 5 3" xfId="10738"/>
    <cellStyle name="标题 3 2 5 3 2" xfId="10742"/>
    <cellStyle name="标题 3 2 5 3 3" xfId="10744"/>
    <cellStyle name="标题 3 2 5 4" xfId="9913"/>
    <cellStyle name="标题 3 2 6" xfId="10748"/>
    <cellStyle name="标题 3 2 6 2" xfId="10753"/>
    <cellStyle name="标题 3 2 6 2 2" xfId="10757"/>
    <cellStyle name="标题 3 2 6 2 3" xfId="10759"/>
    <cellStyle name="标题 3 2 6 3" xfId="10761"/>
    <cellStyle name="标题 3 2 7" xfId="10766"/>
    <cellStyle name="标题 3 2 7 2" xfId="10770"/>
    <cellStyle name="标题 3 2 7 3" xfId="10773"/>
    <cellStyle name="标题 3 2 8" xfId="10778"/>
    <cellStyle name="标题 3 3" xfId="1559"/>
    <cellStyle name="标题 3 3 2" xfId="4764"/>
    <cellStyle name="标题 3 3 2 2" xfId="10780"/>
    <cellStyle name="标题 3 3 2 2 2" xfId="9409"/>
    <cellStyle name="标题 3 3 2 2 2 2" xfId="10782"/>
    <cellStyle name="标题 3 3 2 2 2 2 2" xfId="10784"/>
    <cellStyle name="标题 3 3 2 2 2 2 3" xfId="10786"/>
    <cellStyle name="标题 3 3 2 2 2 3" xfId="10788"/>
    <cellStyle name="标题 3 3 2 2 3" xfId="9785"/>
    <cellStyle name="标题 3 3 2 2 3 2" xfId="10790"/>
    <cellStyle name="标题 3 3 2 2 3 3" xfId="10792"/>
    <cellStyle name="标题 3 3 2 2 4" xfId="9789"/>
    <cellStyle name="标题 3 3 2 3" xfId="10793"/>
    <cellStyle name="标题 3 3 2 3 2" xfId="10794"/>
    <cellStyle name="标题 3 3 2 3 2 2" xfId="10797"/>
    <cellStyle name="标题 3 3 2 3 2 3" xfId="10801"/>
    <cellStyle name="标题 3 3 2 3 3" xfId="10802"/>
    <cellStyle name="标题 3 3 2 4" xfId="875"/>
    <cellStyle name="标题 3 3 2 4 2" xfId="10803"/>
    <cellStyle name="标题 3 3 2 4 3" xfId="10804"/>
    <cellStyle name="标题 3 3 2 5" xfId="125"/>
    <cellStyle name="标题 3 3 3" xfId="4772"/>
    <cellStyle name="标题 3 3 3 2" xfId="10806"/>
    <cellStyle name="标题 3 3 3 2 2" xfId="10809"/>
    <cellStyle name="标题 3 3 3 2 2 2" xfId="10811"/>
    <cellStyle name="标题 3 3 3 2 2 3" xfId="10813"/>
    <cellStyle name="标题 3 3 3 2 3" xfId="10814"/>
    <cellStyle name="标题 3 3 3 3" xfId="10816"/>
    <cellStyle name="标题 3 3 3 3 2" xfId="10820"/>
    <cellStyle name="标题 3 3 3 3 3" xfId="10821"/>
    <cellStyle name="标题 3 3 3 4" xfId="10822"/>
    <cellStyle name="标题 3 3 4" xfId="5504"/>
    <cellStyle name="标题 3 3 4 2" xfId="10826"/>
    <cellStyle name="标题 3 3 4 2 2" xfId="10829"/>
    <cellStyle name="标题 3 3 4 2 2 2" xfId="10831"/>
    <cellStyle name="标题 3 3 4 2 2 3" xfId="10833"/>
    <cellStyle name="标题 3 3 4 2 3" xfId="10835"/>
    <cellStyle name="标题 3 3 4 3" xfId="10837"/>
    <cellStyle name="标题 3 3 4 3 2" xfId="10840"/>
    <cellStyle name="标题 3 3 4 3 3" xfId="10843"/>
    <cellStyle name="标题 3 3 4 4" xfId="10848"/>
    <cellStyle name="标题 3 3 5" xfId="5510"/>
    <cellStyle name="标题 3 3 5 2" xfId="10851"/>
    <cellStyle name="标题 3 3 5 2 2" xfId="9918"/>
    <cellStyle name="标题 3 3 5 2 3" xfId="10852"/>
    <cellStyle name="标题 3 3 5 3" xfId="10856"/>
    <cellStyle name="标题 3 3 6" xfId="10859"/>
    <cellStyle name="标题 3 3 6 2" xfId="10866"/>
    <cellStyle name="标题 3 3 6 3" xfId="10870"/>
    <cellStyle name="标题 3 3 7" xfId="10873"/>
    <cellStyle name="标题 3 4" xfId="1571"/>
    <cellStyle name="标题 3 4 2" xfId="10876"/>
    <cellStyle name="标题 3 4 2 2" xfId="10879"/>
    <cellStyle name="标题 3 4 2 2 2" xfId="2553"/>
    <cellStyle name="标题 3 4 2 2 3" xfId="10880"/>
    <cellStyle name="标题 3 4 2 3" xfId="10881"/>
    <cellStyle name="标题 3 4 3" xfId="10883"/>
    <cellStyle name="标题 3 4 3 2" xfId="10886"/>
    <cellStyle name="标题 3 4 3 3" xfId="10888"/>
    <cellStyle name="标题 3 4 4" xfId="10891"/>
    <cellStyle name="标题 3 5" xfId="6074"/>
    <cellStyle name="标题 3 5 2" xfId="10896"/>
    <cellStyle name="标题 3 5 2 2" xfId="10899"/>
    <cellStyle name="标题 3 5 2 2 2" xfId="10902"/>
    <cellStyle name="标题 3 5 2 2 3" xfId="10903"/>
    <cellStyle name="标题 3 5 2 3" xfId="10904"/>
    <cellStyle name="标题 3 5 3" xfId="10906"/>
    <cellStyle name="标题 3 5 3 2" xfId="10913"/>
    <cellStyle name="标题 3 5 3 3" xfId="10915"/>
    <cellStyle name="标题 3 5 4" xfId="10918"/>
    <cellStyle name="标题 3 6" xfId="9308"/>
    <cellStyle name="标题 3 6 2" xfId="1953"/>
    <cellStyle name="标题 3 6 2 2" xfId="10924"/>
    <cellStyle name="标题 3 6 2 2 2" xfId="10929"/>
    <cellStyle name="标题 3 6 2 2 3" xfId="7133"/>
    <cellStyle name="标题 3 6 2 3" xfId="10932"/>
    <cellStyle name="标题 3 6 3" xfId="9316"/>
    <cellStyle name="标题 3 6 3 2" xfId="10939"/>
    <cellStyle name="标题 3 6 3 3" xfId="10940"/>
    <cellStyle name="标题 3 6 4" xfId="10943"/>
    <cellStyle name="标题 3 7" xfId="9325"/>
    <cellStyle name="标题 3 7 2" xfId="10953"/>
    <cellStyle name="标题 3 7 2 2" xfId="10958"/>
    <cellStyle name="标题 3 7 2 3" xfId="10962"/>
    <cellStyle name="标题 3 7 3" xfId="10963"/>
    <cellStyle name="标题 3 8" xfId="2034"/>
    <cellStyle name="标题 3 8 2" xfId="2047"/>
    <cellStyle name="标题 3 9" xfId="2059"/>
    <cellStyle name="标题 4 10" xfId="1156"/>
    <cellStyle name="标题 4 2" xfId="6153"/>
    <cellStyle name="标题 4 2 2" xfId="10970"/>
    <cellStyle name="标题 4 2 2 2" xfId="10974"/>
    <cellStyle name="标题 4 2 2 2 2" xfId="7743"/>
    <cellStyle name="标题 4 2 2 2 2 2" xfId="217"/>
    <cellStyle name="标题 4 2 2 2 2 2 2" xfId="8860"/>
    <cellStyle name="标题 4 2 2 2 2 2 3" xfId="8875"/>
    <cellStyle name="标题 4 2 2 2 2 3" xfId="10976"/>
    <cellStyle name="标题 4 2 2 2 3" xfId="10977"/>
    <cellStyle name="标题 4 2 2 2 3 2" xfId="1334"/>
    <cellStyle name="标题 4 2 2 2 3 3" xfId="194"/>
    <cellStyle name="标题 4 2 2 2 4" xfId="10978"/>
    <cellStyle name="标题 4 2 2 3" xfId="10980"/>
    <cellStyle name="标题 4 2 2 3 2" xfId="7472"/>
    <cellStyle name="标题 4 2 2 3 2 2" xfId="3831"/>
    <cellStyle name="标题 4 2 2 3 2 3" xfId="4746"/>
    <cellStyle name="标题 4 2 2 3 3" xfId="7479"/>
    <cellStyle name="标题 4 2 2 4" xfId="185"/>
    <cellStyle name="标题 4 2 2 4 2" xfId="1190"/>
    <cellStyle name="标题 4 2 2 4 3" xfId="1196"/>
    <cellStyle name="标题 4 2 2 5" xfId="1213"/>
    <cellStyle name="标题 4 2 3" xfId="7760"/>
    <cellStyle name="标题 4 2 3 2" xfId="7765"/>
    <cellStyle name="标题 4 2 3 2 2" xfId="7831"/>
    <cellStyle name="标题 4 2 3 2 2 2" xfId="2309"/>
    <cellStyle name="标题 4 2 3 2 2 3" xfId="10982"/>
    <cellStyle name="标题 4 2 3 2 3" xfId="10986"/>
    <cellStyle name="标题 4 2 3 3" xfId="7773"/>
    <cellStyle name="标题 4 2 3 3 2" xfId="10994"/>
    <cellStyle name="标题 4 2 3 3 3" xfId="10996"/>
    <cellStyle name="标题 4 2 3 4" xfId="1223"/>
    <cellStyle name="标题 4 2 4" xfId="7782"/>
    <cellStyle name="标题 4 2 4 2" xfId="11001"/>
    <cellStyle name="标题 4 2 4 2 2" xfId="2379"/>
    <cellStyle name="标题 4 2 4 2 2 2" xfId="11002"/>
    <cellStyle name="标题 4 2 4 2 2 3" xfId="5024"/>
    <cellStyle name="标题 4 2 4 2 3" xfId="11004"/>
    <cellStyle name="标题 4 2 4 3" xfId="11010"/>
    <cellStyle name="标题 4 2 4 3 2" xfId="3012"/>
    <cellStyle name="标题 4 2 4 3 3" xfId="11011"/>
    <cellStyle name="标题 4 2 4 4" xfId="11016"/>
    <cellStyle name="标题 4 2 5" xfId="11019"/>
    <cellStyle name="标题 4 2 5 2" xfId="11023"/>
    <cellStyle name="标题 4 2 5 2 2" xfId="2773"/>
    <cellStyle name="标题 4 2 5 2 3" xfId="11025"/>
    <cellStyle name="标题 4 2 5 3" xfId="11032"/>
    <cellStyle name="标题 4 2 6" xfId="11035"/>
    <cellStyle name="标题 4 2 6 2" xfId="1625"/>
    <cellStyle name="标题 4 2 6 3" xfId="1789"/>
    <cellStyle name="标题 4 2 7" xfId="11039"/>
    <cellStyle name="标题 4 3" xfId="4778"/>
    <cellStyle name="标题 4 3 2" xfId="11042"/>
    <cellStyle name="标题 4 3 2 2" xfId="11046"/>
    <cellStyle name="标题 4 3 2 2 2" xfId="11047"/>
    <cellStyle name="标题 4 3 2 2 2 2" xfId="4534"/>
    <cellStyle name="标题 4 3 2 2 2 2 2" xfId="11050"/>
    <cellStyle name="标题 4 3 2 2 2 2 3" xfId="11052"/>
    <cellStyle name="标题 4 3 2 2 2 3" xfId="11054"/>
    <cellStyle name="标题 4 3 2 2 3" xfId="11055"/>
    <cellStyle name="标题 4 3 2 2 3 2" xfId="2988"/>
    <cellStyle name="标题 4 3 2 2 3 3" xfId="11057"/>
    <cellStyle name="标题 4 3 2 2 4" xfId="11058"/>
    <cellStyle name="标题 4 3 2 3" xfId="7721"/>
    <cellStyle name="标题 4 3 2 3 2" xfId="7985"/>
    <cellStyle name="标题 4 3 2 3 2 2" xfId="4557"/>
    <cellStyle name="标题 4 3 2 3 2 3" xfId="8001"/>
    <cellStyle name="标题 4 3 2 3 3" xfId="8013"/>
    <cellStyle name="标题 4 3 2 4" xfId="1262"/>
    <cellStyle name="标题 4 3 2 4 2" xfId="6462"/>
    <cellStyle name="标题 4 3 2 4 3" xfId="8152"/>
    <cellStyle name="标题 4 3 2 5" xfId="1267"/>
    <cellStyle name="标题 4 3 3" xfId="7804"/>
    <cellStyle name="标题 4 3 3 2" xfId="11060"/>
    <cellStyle name="标题 4 3 3 2 2" xfId="11061"/>
    <cellStyle name="标题 4 3 3 2 2 2" xfId="11064"/>
    <cellStyle name="标题 4 3 3 2 2 3" xfId="11066"/>
    <cellStyle name="标题 4 3 3 2 3" xfId="11068"/>
    <cellStyle name="标题 4 3 3 3" xfId="8255"/>
    <cellStyle name="标题 4 3 3 3 2" xfId="11071"/>
    <cellStyle name="标题 4 3 3 3 3" xfId="11075"/>
    <cellStyle name="标题 4 3 3 4" xfId="8258"/>
    <cellStyle name="标题 4 3 4" xfId="9202"/>
    <cellStyle name="标题 4 3 4 2" xfId="11079"/>
    <cellStyle name="标题 4 3 4 2 2" xfId="3056"/>
    <cellStyle name="标题 4 3 4 2 2 2" xfId="11080"/>
    <cellStyle name="标题 4 3 4 2 2 3" xfId="7534"/>
    <cellStyle name="标题 4 3 4 2 3" xfId="11081"/>
    <cellStyle name="标题 4 3 4 3" xfId="11086"/>
    <cellStyle name="标题 4 3 4 3 2" xfId="11087"/>
    <cellStyle name="标题 4 3 4 3 3" xfId="11095"/>
    <cellStyle name="标题 4 3 4 4" xfId="11100"/>
    <cellStyle name="标题 4 3 5" xfId="11102"/>
    <cellStyle name="标题 4 3 5 2" xfId="11105"/>
    <cellStyle name="标题 4 3 5 2 2" xfId="10000"/>
    <cellStyle name="标题 4 3 5 2 3" xfId="11107"/>
    <cellStyle name="标题 4 3 5 3" xfId="11109"/>
    <cellStyle name="标题 4 3 6" xfId="11110"/>
    <cellStyle name="标题 4 3 6 2" xfId="2814"/>
    <cellStyle name="标题 4 3 6 3" xfId="2853"/>
    <cellStyle name="标题 4 3 7" xfId="11113"/>
    <cellStyle name="标题 4 4" xfId="4783"/>
    <cellStyle name="标题 4 4 2" xfId="11115"/>
    <cellStyle name="标题 4 4 2 2" xfId="11119"/>
    <cellStyle name="标题 4 4 2 2 2" xfId="11120"/>
    <cellStyle name="标题 4 4 2 2 2 2" xfId="5181"/>
    <cellStyle name="标题 4 4 2 2 2 2 2" xfId="11121"/>
    <cellStyle name="标题 4 4 2 2 2 2 3" xfId="11122"/>
    <cellStyle name="标题 4 4 2 2 2 3" xfId="11123"/>
    <cellStyle name="标题 4 4 2 2 3" xfId="1500"/>
    <cellStyle name="标题 4 4 2 2 3 2" xfId="4726"/>
    <cellStyle name="标题 4 4 2 2 3 3" xfId="4736"/>
    <cellStyle name="标题 4 4 2 2 4" xfId="1517"/>
    <cellStyle name="标题 4 4 2 3" xfId="11125"/>
    <cellStyle name="标题 4 4 2 3 2" xfId="11129"/>
    <cellStyle name="标题 4 4 2 3 2 2" xfId="5207"/>
    <cellStyle name="标题 4 4 2 3 2 3" xfId="11130"/>
    <cellStyle name="标题 4 4 2 3 3" xfId="4743"/>
    <cellStyle name="标题 4 4 2 4" xfId="11132"/>
    <cellStyle name="标题 4 4 2 4 2" xfId="11136"/>
    <cellStyle name="标题 4 4 2 4 3" xfId="7490"/>
    <cellStyle name="标题 4 4 2 5" xfId="11138"/>
    <cellStyle name="标题 4 4 3" xfId="11139"/>
    <cellStyle name="标题 4 4 3 2" xfId="11143"/>
    <cellStyle name="标题 4 4 3 2 2" xfId="11144"/>
    <cellStyle name="标题 4 4 3 2 2 2" xfId="11153"/>
    <cellStyle name="标题 4 4 3 2 2 3" xfId="11157"/>
    <cellStyle name="标题 4 4 3 2 3" xfId="4765"/>
    <cellStyle name="标题 4 4 3 3" xfId="11159"/>
    <cellStyle name="标题 4 4 3 3 2" xfId="11160"/>
    <cellStyle name="标题 4 4 3 3 3" xfId="10875"/>
    <cellStyle name="标题 4 4 3 4" xfId="11164"/>
    <cellStyle name="标题 4 4 4" xfId="11166"/>
    <cellStyle name="标题 4 4 4 2" xfId="11170"/>
    <cellStyle name="标题 4 4 4 2 2" xfId="3115"/>
    <cellStyle name="标题 4 4 4 2 2 2" xfId="11172"/>
    <cellStyle name="标题 4 4 4 2 2 3" xfId="7704"/>
    <cellStyle name="标题 4 4 4 2 3" xfId="11041"/>
    <cellStyle name="标题 4 4 4 3" xfId="11174"/>
    <cellStyle name="标题 4 4 4 3 2" xfId="11175"/>
    <cellStyle name="标题 4 4 4 3 3" xfId="11114"/>
    <cellStyle name="标题 4 4 4 4" xfId="11179"/>
    <cellStyle name="标题 4 4 5" xfId="11181"/>
    <cellStyle name="标题 4 4 5 2" xfId="11184"/>
    <cellStyle name="标题 4 4 5 2 2" xfId="31"/>
    <cellStyle name="标题 4 4 5 2 3" xfId="381"/>
    <cellStyle name="标题 4 4 5 3" xfId="11186"/>
    <cellStyle name="标题 4 4 6" xfId="11187"/>
    <cellStyle name="标题 4 4 6 2" xfId="3673"/>
    <cellStyle name="标题 4 4 6 3" xfId="3763"/>
    <cellStyle name="标题 4 4 7" xfId="11191"/>
    <cellStyle name="标题 4 5" xfId="11193"/>
    <cellStyle name="标题 4 5 2" xfId="11200"/>
    <cellStyle name="标题 4 5 2 2" xfId="11204"/>
    <cellStyle name="标题 4 5 2 2 2" xfId="4016"/>
    <cellStyle name="标题 4 5 2 2 2 2" xfId="5653"/>
    <cellStyle name="标题 4 5 2 2 2 3" xfId="11206"/>
    <cellStyle name="标题 4 5 2 2 3" xfId="188"/>
    <cellStyle name="标题 4 5 2 3" xfId="11209"/>
    <cellStyle name="标题 4 5 2 3 2" xfId="4019"/>
    <cellStyle name="标题 4 5 2 3 3" xfId="4895"/>
    <cellStyle name="标题 4 5 2 4" xfId="11211"/>
    <cellStyle name="标题 4 5 3" xfId="11213"/>
    <cellStyle name="标题 4 5 3 2" xfId="11218"/>
    <cellStyle name="标题 4 5 3 2 2" xfId="4051"/>
    <cellStyle name="标题 4 5 3 2 3" xfId="4913"/>
    <cellStyle name="标题 4 5 3 3" xfId="11220"/>
    <cellStyle name="标题 4 5 4" xfId="11221"/>
    <cellStyle name="标题 4 5 4 2" xfId="11228"/>
    <cellStyle name="标题 4 5 4 3" xfId="11231"/>
    <cellStyle name="标题 4 5 5" xfId="11232"/>
    <cellStyle name="标题 4 6" xfId="9332"/>
    <cellStyle name="标题 4 6 2" xfId="11235"/>
    <cellStyle name="标题 4 6 2 2" xfId="11238"/>
    <cellStyle name="标题 4 6 2 2 2" xfId="4246"/>
    <cellStyle name="标题 4 6 2 2 3" xfId="5063"/>
    <cellStyle name="标题 4 6 2 3" xfId="11239"/>
    <cellStyle name="标题 4 6 3" xfId="11240"/>
    <cellStyle name="标题 4 6 3 2" xfId="11244"/>
    <cellStyle name="标题 4 6 3 3" xfId="11245"/>
    <cellStyle name="标题 4 6 4" xfId="11247"/>
    <cellStyle name="标题 4 7" xfId="9338"/>
    <cellStyle name="标题 4 7 2" xfId="11250"/>
    <cellStyle name="标题 4 7 2 2" xfId="11254"/>
    <cellStyle name="标题 4 7 2 2 2" xfId="4116"/>
    <cellStyle name="标题 4 7 2 2 3" xfId="11255"/>
    <cellStyle name="标题 4 7 2 3" xfId="11258"/>
    <cellStyle name="标题 4 7 3" xfId="11260"/>
    <cellStyle name="标题 4 7 3 2" xfId="11265"/>
    <cellStyle name="标题 4 7 3 3" xfId="11267"/>
    <cellStyle name="标题 4 7 4" xfId="11269"/>
    <cellStyle name="标题 4 8" xfId="2077"/>
    <cellStyle name="标题 4 8 2" xfId="11273"/>
    <cellStyle name="标题 4 8 2 2" xfId="11281"/>
    <cellStyle name="标题 4 8 2 3" xfId="11282"/>
    <cellStyle name="标题 4 8 3" xfId="4149"/>
    <cellStyle name="标题 4 9" xfId="2084"/>
    <cellStyle name="标题 4 9 2" xfId="11284"/>
    <cellStyle name="标题 5" xfId="11291"/>
    <cellStyle name="标题 5 2" xfId="11294"/>
    <cellStyle name="标题 5 2 2" xfId="11295"/>
    <cellStyle name="标题 5 2 2 2" xfId="11298"/>
    <cellStyle name="标题 5 2 2 2 2" xfId="11299"/>
    <cellStyle name="标题 5 2 2 2 2 2" xfId="158"/>
    <cellStyle name="标题 5 2 2 2 2 2 2" xfId="8447"/>
    <cellStyle name="标题 5 2 2 2 2 2 3" xfId="11302"/>
    <cellStyle name="标题 5 2 2 2 2 3" xfId="11307"/>
    <cellStyle name="标题 5 2 2 2 3" xfId="11308"/>
    <cellStyle name="标题 5 2 2 2 3 2" xfId="11310"/>
    <cellStyle name="标题 5 2 2 2 3 3" xfId="11312"/>
    <cellStyle name="标题 5 2 2 2 4" xfId="11313"/>
    <cellStyle name="标题 5 2 2 3" xfId="11315"/>
    <cellStyle name="标题 5 2 2 3 2" xfId="11316"/>
    <cellStyle name="标题 5 2 2 3 2 2" xfId="11317"/>
    <cellStyle name="标题 5 2 2 3 2 3" xfId="11318"/>
    <cellStyle name="标题 5 2 2 3 3" xfId="11319"/>
    <cellStyle name="标题 5 2 2 4" xfId="1496"/>
    <cellStyle name="标题 5 2 2 4 2" xfId="1509"/>
    <cellStyle name="标题 5 2 2 4 3" xfId="1525"/>
    <cellStyle name="标题 5 2 2 5" xfId="1539"/>
    <cellStyle name="标题 5 2 3" xfId="7866"/>
    <cellStyle name="标题 5 2 3 2" xfId="488"/>
    <cellStyle name="标题 5 2 3 2 2" xfId="6226"/>
    <cellStyle name="标题 5 2 3 2 2 2" xfId="11321"/>
    <cellStyle name="标题 5 2 3 2 2 3" xfId="11324"/>
    <cellStyle name="标题 5 2 3 2 3" xfId="6231"/>
    <cellStyle name="标题 5 2 3 3" xfId="567"/>
    <cellStyle name="标题 5 2 3 3 2" xfId="11326"/>
    <cellStyle name="标题 5 2 3 3 3" xfId="11329"/>
    <cellStyle name="标题 5 2 3 4" xfId="1561"/>
    <cellStyle name="标题 5 2 4" xfId="9251"/>
    <cellStyle name="标题 5 2 4 2" xfId="2294"/>
    <cellStyle name="标题 5 2 4 2 2" xfId="2299"/>
    <cellStyle name="标题 5 2 4 2 2 2" xfId="4885"/>
    <cellStyle name="标题 5 2 4 2 2 3" xfId="5515"/>
    <cellStyle name="标题 5 2 4 2 3" xfId="2329"/>
    <cellStyle name="标题 5 2 4 3" xfId="11333"/>
    <cellStyle name="标题 5 2 4 3 2" xfId="3209"/>
    <cellStyle name="标题 5 2 4 3 3" xfId="5612"/>
    <cellStyle name="标题 5 2 4 4" xfId="11335"/>
    <cellStyle name="标题 5 2 5" xfId="9214"/>
    <cellStyle name="标题 5 2 5 2" xfId="2355"/>
    <cellStyle name="标题 5 2 5 2 2" xfId="3231"/>
    <cellStyle name="标题 5 2 5 2 3" xfId="11337"/>
    <cellStyle name="标题 5 2 5 3" xfId="11339"/>
    <cellStyle name="标题 5 2 6" xfId="9216"/>
    <cellStyle name="标题 5 2 6 2" xfId="11343"/>
    <cellStyle name="标题 5 2 6 3" xfId="11344"/>
    <cellStyle name="标题 5 2 7" xfId="11345"/>
    <cellStyle name="标题 5 3" xfId="11348"/>
    <cellStyle name="标题 5 3 2" xfId="382"/>
    <cellStyle name="标题 5 3 2 2" xfId="582"/>
    <cellStyle name="标题 5 3 2 2 2" xfId="3915"/>
    <cellStyle name="标题 5 3 2 2 2 2" xfId="3922"/>
    <cellStyle name="标题 5 3 2 2 2 3" xfId="3963"/>
    <cellStyle name="标题 5 3 2 2 3" xfId="4057"/>
    <cellStyle name="标题 5 3 2 3" xfId="11350"/>
    <cellStyle name="标题 5 3 2 3 2" xfId="8425"/>
    <cellStyle name="标题 5 3 2 3 3" xfId="8438"/>
    <cellStyle name="标题 5 3 2 4" xfId="1606"/>
    <cellStyle name="标题 5 3 3" xfId="318"/>
    <cellStyle name="标题 5 3 3 2" xfId="4599"/>
    <cellStyle name="标题 5 3 3 2 2" xfId="4605"/>
    <cellStyle name="标题 5 3 3 2 3" xfId="4794"/>
    <cellStyle name="标题 5 3 3 3" xfId="6357"/>
    <cellStyle name="标题 5 3 4" xfId="276"/>
    <cellStyle name="标题 5 3 4 2" xfId="2384"/>
    <cellStyle name="标题 5 3 4 3" xfId="11352"/>
    <cellStyle name="标题 5 3 5" xfId="9503"/>
    <cellStyle name="标题 5 4" xfId="11356"/>
    <cellStyle name="标题 5 4 2" xfId="11358"/>
    <cellStyle name="标题 5 4 2 2" xfId="11360"/>
    <cellStyle name="标题 5 4 2 2 2" xfId="11362"/>
    <cellStyle name="标题 5 4 2 2 3" xfId="11363"/>
    <cellStyle name="标题 5 4 2 3" xfId="11364"/>
    <cellStyle name="标题 5 4 3" xfId="11366"/>
    <cellStyle name="标题 5 4 3 2" xfId="6457"/>
    <cellStyle name="标题 5 4 3 3" xfId="6466"/>
    <cellStyle name="标题 5 4 4" xfId="11368"/>
    <cellStyle name="标题 5 5" xfId="11370"/>
    <cellStyle name="标题 5 5 2" xfId="11377"/>
    <cellStyle name="标题 5 5 2 2" xfId="11379"/>
    <cellStyle name="标题 5 5 2 2 2" xfId="11381"/>
    <cellStyle name="标题 5 5 2 2 3" xfId="11382"/>
    <cellStyle name="标题 5 5 2 3" xfId="11383"/>
    <cellStyle name="标题 5 5 3" xfId="11385"/>
    <cellStyle name="标题 5 5 3 2" xfId="6568"/>
    <cellStyle name="标题 5 5 3 3" xfId="11386"/>
    <cellStyle name="标题 5 5 4" xfId="11388"/>
    <cellStyle name="标题 5 6" xfId="11389"/>
    <cellStyle name="标题 5 6 2" xfId="11397"/>
    <cellStyle name="标题 5 6 2 2" xfId="9294"/>
    <cellStyle name="标题 5 6 2 3" xfId="9300"/>
    <cellStyle name="标题 5 6 3" xfId="11399"/>
    <cellStyle name="标题 5 7" xfId="10677"/>
    <cellStyle name="标题 5 7 2" xfId="265"/>
    <cellStyle name="标题 5 7 3" xfId="4199"/>
    <cellStyle name="标题 5 8" xfId="10683"/>
    <cellStyle name="标题 6" xfId="11401"/>
    <cellStyle name="标题 6 2" xfId="11405"/>
    <cellStyle name="标题 6 2 2" xfId="634"/>
    <cellStyle name="标题 6 2 2 2" xfId="645"/>
    <cellStyle name="标题 6 2 2 2 2" xfId="3570"/>
    <cellStyle name="标题 6 2 2 2 2 2" xfId="1405"/>
    <cellStyle name="标题 6 2 2 2 2 3" xfId="1470"/>
    <cellStyle name="标题 6 2 2 2 3" xfId="3581"/>
    <cellStyle name="标题 6 2 2 3" xfId="649"/>
    <cellStyle name="标题 6 2 2 3 2" xfId="3587"/>
    <cellStyle name="标题 6 2 2 3 3" xfId="3599"/>
    <cellStyle name="标题 6 2 2 4" xfId="3610"/>
    <cellStyle name="标题 6 2 3" xfId="654"/>
    <cellStyle name="标题 6 2 3 2" xfId="3621"/>
    <cellStyle name="标题 6 2 3 2 2" xfId="3628"/>
    <cellStyle name="标题 6 2 3 2 3" xfId="3638"/>
    <cellStyle name="标题 6 2 3 3" xfId="3649"/>
    <cellStyle name="标题 6 2 4" xfId="2473"/>
    <cellStyle name="标题 6 2 4 2" xfId="615"/>
    <cellStyle name="标题 6 2 4 3" xfId="715"/>
    <cellStyle name="标题 6 2 5" xfId="2494"/>
    <cellStyle name="标题 6 3" xfId="11408"/>
    <cellStyle name="标题 6 3 2" xfId="673"/>
    <cellStyle name="标题 6 3 2 2" xfId="104"/>
    <cellStyle name="标题 6 3 2 2 2" xfId="3721"/>
    <cellStyle name="标题 6 3 2 2 3" xfId="3732"/>
    <cellStyle name="标题 6 3 2 3" xfId="221"/>
    <cellStyle name="标题 6 3 3" xfId="694"/>
    <cellStyle name="标题 6 3 3 2" xfId="3743"/>
    <cellStyle name="标题 6 3 3 3" xfId="1338"/>
    <cellStyle name="标题 6 3 4" xfId="2519"/>
    <cellStyle name="标题 6 4" xfId="11412"/>
    <cellStyle name="标题 6 4 2" xfId="3818"/>
    <cellStyle name="标题 6 4 2 2" xfId="3828"/>
    <cellStyle name="标题 6 4 2 2 2" xfId="5161"/>
    <cellStyle name="标题 6 4 2 2 3" xfId="9515"/>
    <cellStyle name="标题 6 4 2 3" xfId="3835"/>
    <cellStyle name="标题 6 4 3" xfId="3840"/>
    <cellStyle name="标题 6 4 3 2" xfId="11417"/>
    <cellStyle name="标题 6 4 3 3" xfId="7482"/>
    <cellStyle name="标题 6 4 4" xfId="11421"/>
    <cellStyle name="标题 6 5" xfId="11422"/>
    <cellStyle name="标题 6 5 2" xfId="3882"/>
    <cellStyle name="标题 6 5 2 2" xfId="3888"/>
    <cellStyle name="标题 6 5 2 3" xfId="3898"/>
    <cellStyle name="标题 6 5 3" xfId="3904"/>
    <cellStyle name="标题 6 6" xfId="11428"/>
    <cellStyle name="标题 6 6 2" xfId="3130"/>
    <cellStyle name="标题 6 6 3" xfId="11437"/>
    <cellStyle name="标题 6 7" xfId="10693"/>
    <cellStyle name="标题 7" xfId="11438"/>
    <cellStyle name="标题 7 2" xfId="11441"/>
    <cellStyle name="标题 7 2 2" xfId="11444"/>
    <cellStyle name="标题 7 2 2 2" xfId="11447"/>
    <cellStyle name="标题 7 2 2 3" xfId="11450"/>
    <cellStyle name="标题 7 2 3" xfId="786"/>
    <cellStyle name="标题 7 3" xfId="11454"/>
    <cellStyle name="标题 7 3 2" xfId="11456"/>
    <cellStyle name="标题 7 3 3" xfId="11457"/>
    <cellStyle name="标题 7 4" xfId="11460"/>
    <cellStyle name="标题 8" xfId="11463"/>
    <cellStyle name="标题 8 2" xfId="11466"/>
    <cellStyle name="标题 8 2 2" xfId="11467"/>
    <cellStyle name="标题 8 2 2 2" xfId="11259"/>
    <cellStyle name="标题 8 2 2 3" xfId="11268"/>
    <cellStyle name="标题 8 2 3" xfId="131"/>
    <cellStyle name="标题 8 3" xfId="11470"/>
    <cellStyle name="标题 8 3 2" xfId="11472"/>
    <cellStyle name="标题 8 3 3" xfId="4208"/>
    <cellStyle name="标题 8 4" xfId="11475"/>
    <cellStyle name="标题 9" xfId="11478"/>
    <cellStyle name="标题 9 2" xfId="11481"/>
    <cellStyle name="标题 9 2 2" xfId="11482"/>
    <cellStyle name="标题 9 2 2 2" xfId="11484"/>
    <cellStyle name="标题 9 2 2 3" xfId="11487"/>
    <cellStyle name="标题 9 2 3" xfId="4411"/>
    <cellStyle name="标题 9 3" xfId="11491"/>
    <cellStyle name="标题 9 3 2" xfId="11493"/>
    <cellStyle name="标题 9 3 3" xfId="408"/>
    <cellStyle name="标题 9 4" xfId="11498"/>
    <cellStyle name="差 2" xfId="11502"/>
    <cellStyle name="差 2 10" xfId="11506"/>
    <cellStyle name="差 2 2" xfId="11508"/>
    <cellStyle name="差 2 2 2" xfId="11511"/>
    <cellStyle name="差 2 2 2 2" xfId="1715"/>
    <cellStyle name="差 2 2 2 2 2" xfId="1727"/>
    <cellStyle name="差 2 2 2 2 2 2" xfId="11512"/>
    <cellStyle name="差 2 2 2 2 2 2 2" xfId="6895"/>
    <cellStyle name="差 2 2 2 2 2 2 3" xfId="7291"/>
    <cellStyle name="差 2 2 2 2 2 3" xfId="6284"/>
    <cellStyle name="差 2 2 2 2 3" xfId="952"/>
    <cellStyle name="差 2 2 2 2 3 2" xfId="6901"/>
    <cellStyle name="差 2 2 2 2 3 3" xfId="6923"/>
    <cellStyle name="差 2 2 2 2 4" xfId="987"/>
    <cellStyle name="差 2 2 2 3" xfId="1744"/>
    <cellStyle name="差 2 2 2 3 2" xfId="11519"/>
    <cellStyle name="差 2 2 2 3 2 2" xfId="11520"/>
    <cellStyle name="差 2 2 2 3 2 3" xfId="11523"/>
    <cellStyle name="差 2 2 2 3 3" xfId="4991"/>
    <cellStyle name="差 2 2 2 4" xfId="7430"/>
    <cellStyle name="差 2 2 2 4 2" xfId="1437"/>
    <cellStyle name="差 2 2 2 4 3" xfId="5034"/>
    <cellStyle name="差 2 2 2 5" xfId="6091"/>
    <cellStyle name="差 2 2 3" xfId="11528"/>
    <cellStyle name="差 2 2 3 2" xfId="1760"/>
    <cellStyle name="差 2 2 3 2 2" xfId="11529"/>
    <cellStyle name="差 2 2 3 2 2 2" xfId="11532"/>
    <cellStyle name="差 2 2 3 2 2 3" xfId="11537"/>
    <cellStyle name="差 2 2 3 2 3" xfId="6718"/>
    <cellStyle name="差 2 2 3 3" xfId="3781"/>
    <cellStyle name="差 2 2 3 3 2" xfId="3785"/>
    <cellStyle name="差 2 2 3 3 3" xfId="3795"/>
    <cellStyle name="差 2 2 3 4" xfId="3808"/>
    <cellStyle name="差 2 2 4" xfId="11540"/>
    <cellStyle name="差 2 2 4 2" xfId="11541"/>
    <cellStyle name="差 2 2 4 2 2" xfId="9483"/>
    <cellStyle name="差 2 2 4 2 2 2" xfId="1027"/>
    <cellStyle name="差 2 2 4 2 2 3" xfId="1060"/>
    <cellStyle name="差 2 2 4 2 3" xfId="513"/>
    <cellStyle name="差 2 2 4 3" xfId="3825"/>
    <cellStyle name="差 2 2 4 3 2" xfId="5164"/>
    <cellStyle name="差 2 2 4 3 3" xfId="9512"/>
    <cellStyle name="差 2 2 4 4" xfId="3830"/>
    <cellStyle name="差 2 2 5" xfId="11542"/>
    <cellStyle name="差 2 2 5 2" xfId="11543"/>
    <cellStyle name="差 2 2 5 2 2" xfId="11545"/>
    <cellStyle name="差 2 2 5 2 3" xfId="8708"/>
    <cellStyle name="差 2 2 5 3" xfId="11415"/>
    <cellStyle name="差 2 2 6" xfId="11548"/>
    <cellStyle name="差 2 2 6 2" xfId="11550"/>
    <cellStyle name="差 2 2 6 3" xfId="11553"/>
    <cellStyle name="差 2 2 7" xfId="258"/>
    <cellStyle name="差 2 3" xfId="6368"/>
    <cellStyle name="差 2 3 2" xfId="303"/>
    <cellStyle name="差 2 3 2 2" xfId="11554"/>
    <cellStyle name="差 2 3 2 2 2" xfId="549"/>
    <cellStyle name="差 2 3 2 2 2 2" xfId="11558"/>
    <cellStyle name="差 2 3 2 2 2 2 2" xfId="7198"/>
    <cellStyle name="差 2 3 2 2 2 2 3" xfId="7800"/>
    <cellStyle name="差 2 3 2 2 2 3" xfId="6386"/>
    <cellStyle name="差 2 3 2 2 3" xfId="7412"/>
    <cellStyle name="差 2 3 2 2 3 2" xfId="7420"/>
    <cellStyle name="差 2 3 2 2 3 3" xfId="7518"/>
    <cellStyle name="差 2 3 2 2 4" xfId="11562"/>
    <cellStyle name="差 2 3 2 3" xfId="11565"/>
    <cellStyle name="差 2 3 2 3 2" xfId="11566"/>
    <cellStyle name="差 2 3 2 3 2 2" xfId="11568"/>
    <cellStyle name="差 2 3 2 3 2 3" xfId="11571"/>
    <cellStyle name="差 2 3 2 3 3" xfId="7881"/>
    <cellStyle name="差 2 3 2 4" xfId="7532"/>
    <cellStyle name="差 2 3 2 4 2" xfId="1531"/>
    <cellStyle name="差 2 3 2 4 3" xfId="7546"/>
    <cellStyle name="差 2 3 2 5" xfId="7573"/>
    <cellStyle name="差 2 3 3" xfId="11573"/>
    <cellStyle name="差 2 3 3 2" xfId="11574"/>
    <cellStyle name="差 2 3 3 2 2" xfId="11575"/>
    <cellStyle name="差 2 3 3 2 2 2" xfId="11579"/>
    <cellStyle name="差 2 3 3 2 2 3" xfId="11584"/>
    <cellStyle name="差 2 3 3 2 3" xfId="11586"/>
    <cellStyle name="差 2 3 3 3" xfId="1699"/>
    <cellStyle name="差 2 3 3 3 2" xfId="3860"/>
    <cellStyle name="差 2 3 3 3 3" xfId="3870"/>
    <cellStyle name="差 2 3 3 4" xfId="3873"/>
    <cellStyle name="差 2 3 4" xfId="11587"/>
    <cellStyle name="差 2 3 4 2" xfId="11588"/>
    <cellStyle name="差 2 3 4 2 2" xfId="2333"/>
    <cellStyle name="差 2 3 4 2 2 2" xfId="2368"/>
    <cellStyle name="差 2 3 4 2 2 3" xfId="2424"/>
    <cellStyle name="差 2 3 4 2 3" xfId="9792"/>
    <cellStyle name="差 2 3 4 3" xfId="3884"/>
    <cellStyle name="差 2 3 4 3 2" xfId="9842"/>
    <cellStyle name="差 2 3 4 3 3" xfId="9847"/>
    <cellStyle name="差 2 3 4 4" xfId="3895"/>
    <cellStyle name="差 2 3 5" xfId="11590"/>
    <cellStyle name="差 2 3 5 2" xfId="11592"/>
    <cellStyle name="差 2 3 5 2 2" xfId="11593"/>
    <cellStyle name="差 2 3 5 2 3" xfId="8717"/>
    <cellStyle name="差 2 3 5 3" xfId="11595"/>
    <cellStyle name="差 2 3 6" xfId="11603"/>
    <cellStyle name="差 2 3 6 2" xfId="11606"/>
    <cellStyle name="差 2 3 6 3" xfId="11609"/>
    <cellStyle name="差 2 3 7" xfId="9542"/>
    <cellStyle name="差 2 4" xfId="6371"/>
    <cellStyle name="差 2 4 2" xfId="11615"/>
    <cellStyle name="差 2 4 2 2" xfId="11616"/>
    <cellStyle name="差 2 4 2 2 2" xfId="11619"/>
    <cellStyle name="差 2 4 2 2 2 2" xfId="11621"/>
    <cellStyle name="差 2 4 2 2 2 2 2" xfId="7639"/>
    <cellStyle name="差 2 4 2 2 2 2 3" xfId="879"/>
    <cellStyle name="差 2 4 2 2 2 3" xfId="4167"/>
    <cellStyle name="差 2 4 2 2 3" xfId="11624"/>
    <cellStyle name="差 2 4 2 2 3 2" xfId="11627"/>
    <cellStyle name="差 2 4 2 2 3 3" xfId="71"/>
    <cellStyle name="差 2 4 2 2 4" xfId="11630"/>
    <cellStyle name="差 2 4 2 3" xfId="11631"/>
    <cellStyle name="差 2 4 2 3 2" xfId="11634"/>
    <cellStyle name="差 2 4 2 3 2 2" xfId="11636"/>
    <cellStyle name="差 2 4 2 3 2 3" xfId="11638"/>
    <cellStyle name="差 2 4 2 3 3" xfId="11641"/>
    <cellStyle name="差 2 4 2 4" xfId="7700"/>
    <cellStyle name="差 2 4 2 4 2" xfId="7166"/>
    <cellStyle name="差 2 4 2 4 3" xfId="7710"/>
    <cellStyle name="差 2 4 2 5" xfId="7732"/>
    <cellStyle name="差 2 4 3" xfId="11643"/>
    <cellStyle name="差 2 4 3 2" xfId="11644"/>
    <cellStyle name="差 2 4 3 2 2" xfId="11645"/>
    <cellStyle name="差 2 4 3 2 2 2" xfId="11648"/>
    <cellStyle name="差 2 4 3 2 2 3" xfId="11650"/>
    <cellStyle name="差 2 4 3 2 3" xfId="11651"/>
    <cellStyle name="差 2 4 3 3" xfId="3103"/>
    <cellStyle name="差 2 4 3 3 2" xfId="11653"/>
    <cellStyle name="差 2 4 3 3 3" xfId="11655"/>
    <cellStyle name="差 2 4 3 4" xfId="3119"/>
    <cellStyle name="差 2 4 4" xfId="11657"/>
    <cellStyle name="差 2 4 4 2" xfId="11658"/>
    <cellStyle name="差 2 4 4 2 2" xfId="10037"/>
    <cellStyle name="差 2 4 4 2 2 2" xfId="839"/>
    <cellStyle name="差 2 4 4 2 2 3" xfId="3249"/>
    <cellStyle name="差 2 4 4 2 3" xfId="5522"/>
    <cellStyle name="差 2 4 4 3" xfId="11660"/>
    <cellStyle name="差 2 4 4 3 2" xfId="10058"/>
    <cellStyle name="差 2 4 4 3 3" xfId="10061"/>
    <cellStyle name="差 2 4 4 4" xfId="7811"/>
    <cellStyle name="差 2 4 5" xfId="11661"/>
    <cellStyle name="差 2 4 5 2" xfId="11662"/>
    <cellStyle name="差 2 4 5 2 2" xfId="11663"/>
    <cellStyle name="差 2 4 5 2 3" xfId="11664"/>
    <cellStyle name="差 2 4 5 3" xfId="11665"/>
    <cellStyle name="差 2 4 6" xfId="6778"/>
    <cellStyle name="差 2 4 6 2" xfId="59"/>
    <cellStyle name="差 2 4 6 3" xfId="6786"/>
    <cellStyle name="差 2 4 7" xfId="6796"/>
    <cellStyle name="差 2 5" xfId="11669"/>
    <cellStyle name="差 2 5 2" xfId="11672"/>
    <cellStyle name="差 2 5 2 2" xfId="11674"/>
    <cellStyle name="差 2 5 2 2 2" xfId="11675"/>
    <cellStyle name="差 2 5 2 2 2 2" xfId="11677"/>
    <cellStyle name="差 2 5 2 2 2 3" xfId="7918"/>
    <cellStyle name="差 2 5 2 2 3" xfId="11678"/>
    <cellStyle name="差 2 5 2 3" xfId="10362"/>
    <cellStyle name="差 2 5 2 3 2" xfId="11679"/>
    <cellStyle name="差 2 5 2 3 3" xfId="11680"/>
    <cellStyle name="差 2 5 2 4" xfId="7848"/>
    <cellStyle name="差 2 5 3" xfId="11681"/>
    <cellStyle name="差 2 5 3 2" xfId="11683"/>
    <cellStyle name="差 2 5 3 2 2" xfId="11686"/>
    <cellStyle name="差 2 5 3 2 3" xfId="11687"/>
    <cellStyle name="差 2 5 3 3" xfId="11688"/>
    <cellStyle name="差 2 5 4" xfId="11689"/>
    <cellStyle name="差 2 5 4 2" xfId="11691"/>
    <cellStyle name="差 2 5 4 3" xfId="11693"/>
    <cellStyle name="差 2 5 5" xfId="11694"/>
    <cellStyle name="差 2 6" xfId="11696"/>
    <cellStyle name="差 2 6 2" xfId="11700"/>
    <cellStyle name="差 2 6 2 2" xfId="11703"/>
    <cellStyle name="差 2 6 2 2 2" xfId="11706"/>
    <cellStyle name="差 2 6 2 2 3" xfId="11707"/>
    <cellStyle name="差 2 6 2 3" xfId="11709"/>
    <cellStyle name="差 2 6 3" xfId="11711"/>
    <cellStyle name="差 2 6 3 2" xfId="11713"/>
    <cellStyle name="差 2 6 3 3" xfId="11715"/>
    <cellStyle name="差 2 6 4" xfId="11717"/>
    <cellStyle name="差 2 7" xfId="11718"/>
    <cellStyle name="差 2 7 2" xfId="1540"/>
    <cellStyle name="差 2 7 2 2" xfId="11719"/>
    <cellStyle name="差 2 7 2 2 2" xfId="11720"/>
    <cellStyle name="差 2 7 2 2 3" xfId="5545"/>
    <cellStyle name="差 2 7 2 3" xfId="11722"/>
    <cellStyle name="差 2 7 3" xfId="11724"/>
    <cellStyle name="差 2 7 3 2" xfId="11725"/>
    <cellStyle name="差 2 7 3 3" xfId="11727"/>
    <cellStyle name="差 2 7 4" xfId="11728"/>
    <cellStyle name="差 2 8" xfId="11729"/>
    <cellStyle name="差 2 8 2" xfId="1573"/>
    <cellStyle name="差 2 8 2 2" xfId="11730"/>
    <cellStyle name="差 2 8 2 3" xfId="11732"/>
    <cellStyle name="差 2 8 3" xfId="11734"/>
    <cellStyle name="差 2 9" xfId="11735"/>
    <cellStyle name="差 2 9 2" xfId="11737"/>
    <cellStyle name="常规" xfId="0" builtinId="0"/>
    <cellStyle name="常规 10" xfId="7093"/>
    <cellStyle name="常规 10 10" xfId="11738"/>
    <cellStyle name="常规 10 10 2" xfId="11740"/>
    <cellStyle name="常规 10 2" xfId="7094"/>
    <cellStyle name="常规 10 2 2" xfId="7100"/>
    <cellStyle name="常规 10 2 2 2" xfId="11742"/>
    <cellStyle name="常规 10 2 2 2 2" xfId="11745"/>
    <cellStyle name="常规 10 2 2 2 2 2" xfId="6533"/>
    <cellStyle name="常规 10 2 2 2 2 2 2" xfId="11751"/>
    <cellStyle name="常规 10 2 2 2 2 2 2 2" xfId="11755"/>
    <cellStyle name="常规 10 2 2 2 2 2 2 3" xfId="11701"/>
    <cellStyle name="常规 10 2 2 2 2 2 2 3 2" xfId="11704"/>
    <cellStyle name="常规 10 2 2 2 2 2 3" xfId="1489"/>
    <cellStyle name="常规 10 2 2 2 2 2 4" xfId="1545"/>
    <cellStyle name="常规 10 2 2 2 2 3" xfId="11758"/>
    <cellStyle name="常规 10 2 2 2 3" xfId="11760"/>
    <cellStyle name="常规 10 2 2 2 3 2" xfId="4623"/>
    <cellStyle name="常规 10 2 2 2 3 2 2" xfId="11761"/>
    <cellStyle name="常规 10 2 2 2 3 2 3" xfId="1770"/>
    <cellStyle name="常规 10 2 2 2 3 3" xfId="11764"/>
    <cellStyle name="常规 10 2 2 2 3 3 2" xfId="11766"/>
    <cellStyle name="常规 10 2 2 2 3 3 2 2" xfId="3710"/>
    <cellStyle name="常规 10 2 2 2 3 3 2 3" xfId="11769"/>
    <cellStyle name="常规 10 2 2 2 3 3 2 3 2" xfId="8742"/>
    <cellStyle name="常规 10 2 2 2 3 3 3" xfId="11773"/>
    <cellStyle name="常规 10 2 2 2 3 3 4" xfId="11775"/>
    <cellStyle name="常规 10 2 2 2 3 4" xfId="11779"/>
    <cellStyle name="常规 10 2 2 2 4" xfId="11781"/>
    <cellStyle name="常规 10 2 2 2 4 2" xfId="11784"/>
    <cellStyle name="常规 10 2 2 2 4 2 2" xfId="11787"/>
    <cellStyle name="常规 10 2 2 2 4 2 3" xfId="11790"/>
    <cellStyle name="常规 10 2 2 2 4 2 3 2" xfId="11795"/>
    <cellStyle name="常规 10 2 2 2 4 3" xfId="11800"/>
    <cellStyle name="常规 10 2 2 2 4 4" xfId="11805"/>
    <cellStyle name="常规 10 2 2 2 5" xfId="4930"/>
    <cellStyle name="常规 10 2 2 3" xfId="11807"/>
    <cellStyle name="常规 10 2 2 3 2" xfId="11809"/>
    <cellStyle name="常规 10 2 2 3 2 2" xfId="11810"/>
    <cellStyle name="常规 10 2 2 3 2 2 2" xfId="8494"/>
    <cellStyle name="常规 10 2 2 3 2 2 3" xfId="7901"/>
    <cellStyle name="常规 10 2 2 3 2 3" xfId="11812"/>
    <cellStyle name="常规 10 2 2 3 2 3 2" xfId="10257"/>
    <cellStyle name="常规 10 2 2 3 2 3 2 2" xfId="11816"/>
    <cellStyle name="常规 10 2 2 3 2 3 2 3" xfId="3262"/>
    <cellStyle name="常规 10 2 2 3 2 3 2 3 2" xfId="3487"/>
    <cellStyle name="常规 10 2 2 3 2 3 3" xfId="11818"/>
    <cellStyle name="常规 10 2 2 3 2 3 4" xfId="11824"/>
    <cellStyle name="常规 10 2 2 3 2 4" xfId="9889"/>
    <cellStyle name="常规 10 2 2 3 3" xfId="11831"/>
    <cellStyle name="常规 10 2 2 3 3 2" xfId="11834"/>
    <cellStyle name="常规 10 2 2 3 3 2 2" xfId="11835"/>
    <cellStyle name="常规 10 2 2 3 3 2 3" xfId="11836"/>
    <cellStyle name="常规 10 2 2 3 3 2 3 2" xfId="413"/>
    <cellStyle name="常规 10 2 2 3 3 3" xfId="11840"/>
    <cellStyle name="常规 10 2 2 3 3 4" xfId="9896"/>
    <cellStyle name="常规 10 2 2 3 4" xfId="11843"/>
    <cellStyle name="常规 10 2 2 4" xfId="11844"/>
    <cellStyle name="常规 10 2 2 4 2" xfId="7067"/>
    <cellStyle name="常规 10 2 2 4 2 2" xfId="8128"/>
    <cellStyle name="常规 10 2 2 4 2 3" xfId="8512"/>
    <cellStyle name="常规 10 2 2 4 3" xfId="8521"/>
    <cellStyle name="常规 10 2 2 4 3 2" xfId="8146"/>
    <cellStyle name="常规 10 2 2 4 3 2 2" xfId="11848"/>
    <cellStyle name="常规 10 2 2 4 3 2 3" xfId="11851"/>
    <cellStyle name="常规 10 2 2 4 3 2 3 2" xfId="5036"/>
    <cellStyle name="常规 10 2 2 4 3 3" xfId="11853"/>
    <cellStyle name="常规 10 2 2 4 3 4" xfId="10308"/>
    <cellStyle name="常规 10 2 2 4 4" xfId="11857"/>
    <cellStyle name="常规 10 2 2 5" xfId="11858"/>
    <cellStyle name="常规 10 2 2 5 2" xfId="8528"/>
    <cellStyle name="常规 10 2 2 5 2 2" xfId="890"/>
    <cellStyle name="常规 10 2 2 5 2 3" xfId="9434"/>
    <cellStyle name="常规 10 2 2 5 2 3 2" xfId="10846"/>
    <cellStyle name="常规 10 2 2 5 3" xfId="8532"/>
    <cellStyle name="常规 10 2 2 5 4" xfId="11862"/>
    <cellStyle name="常规 10 2 2 6" xfId="11863"/>
    <cellStyle name="常规 10 2 3" xfId="3304"/>
    <cellStyle name="常规 10 2 3 2" xfId="11867"/>
    <cellStyle name="常规 10 2 3 2 2" xfId="11873"/>
    <cellStyle name="常规 10 2 3 2 2 2" xfId="11874"/>
    <cellStyle name="常规 10 2 3 2 2 3" xfId="11876"/>
    <cellStyle name="常规 10 2 3 2 3" xfId="11879"/>
    <cellStyle name="常规 10 2 3 2 3 2" xfId="11882"/>
    <cellStyle name="常规 10 2 3 2 3 2 2" xfId="11883"/>
    <cellStyle name="常规 10 2 3 2 3 2 3" xfId="2847"/>
    <cellStyle name="常规 10 2 3 2 3 2 3 2" xfId="11723"/>
    <cellStyle name="常规 10 2 3 2 3 3" xfId="11886"/>
    <cellStyle name="常规 10 2 3 2 3 4" xfId="11889"/>
    <cellStyle name="常规 10 2 3 2 4" xfId="11891"/>
    <cellStyle name="常规 10 2 3 3" xfId="11893"/>
    <cellStyle name="常规 10 2 3 3 2" xfId="8571"/>
    <cellStyle name="常规 10 2 3 3 2 2" xfId="9577"/>
    <cellStyle name="常规 10 2 3 3 2 3" xfId="9580"/>
    <cellStyle name="常规 10 2 3 3 2 3 2" xfId="11897"/>
    <cellStyle name="常规 10 2 3 3 3" xfId="8578"/>
    <cellStyle name="常规 10 2 3 3 4" xfId="9030"/>
    <cellStyle name="常规 10 2 3 4" xfId="11900"/>
    <cellStyle name="常规 10 2 4" xfId="11904"/>
    <cellStyle name="常规 10 2 4 2" xfId="3329"/>
    <cellStyle name="常规 10 2 4 2 2" xfId="11907"/>
    <cellStyle name="常规 10 2 4 2 2 2" xfId="11908"/>
    <cellStyle name="常规 10 2 4 2 2 2 2" xfId="5218"/>
    <cellStyle name="常规 10 2 4 2 2 2 3" xfId="3619"/>
    <cellStyle name="常规 10 2 4 2 2 2 3 2" xfId="3631"/>
    <cellStyle name="常规 10 2 4 2 2 3" xfId="11909"/>
    <cellStyle name="常规 10 2 4 2 2 4" xfId="11912"/>
    <cellStyle name="常规 10 2 4 2 3" xfId="11915"/>
    <cellStyle name="常规 10 2 4 3" xfId="3341"/>
    <cellStyle name="常规 10 2 4 3 2" xfId="9696"/>
    <cellStyle name="常规 10 2 4 3 2 2" xfId="9701"/>
    <cellStyle name="常规 10 2 4 3 2 3" xfId="9707"/>
    <cellStyle name="常规 10 2 4 3 3" xfId="9711"/>
    <cellStyle name="常规 10 2 4 3 3 2" xfId="7589"/>
    <cellStyle name="常规 10 2 4 3 3 2 2" xfId="9934"/>
    <cellStyle name="常规 10 2 4 3 3 2 3" xfId="10641"/>
    <cellStyle name="常规 10 2 4 3 3 2 3 2" xfId="8806"/>
    <cellStyle name="常规 10 2 4 3 3 3" xfId="9714"/>
    <cellStyle name="常规 10 2 4 3 3 4" xfId="5382"/>
    <cellStyle name="常规 10 2 4 3 4" xfId="9721"/>
    <cellStyle name="常规 10 2 4 4" xfId="4447"/>
    <cellStyle name="常规 10 2 4 4 2" xfId="2073"/>
    <cellStyle name="常规 10 2 4 4 2 2" xfId="2080"/>
    <cellStyle name="常规 10 2 4 4 2 3" xfId="2087"/>
    <cellStyle name="常规 10 2 4 4 2 3 2" xfId="11283"/>
    <cellStyle name="常规 10 2 4 4 3" xfId="1041"/>
    <cellStyle name="常规 10 2 4 4 4" xfId="11916"/>
    <cellStyle name="常规 10 2 4 5" xfId="11917"/>
    <cellStyle name="常规 10 2 5" xfId="1740"/>
    <cellStyle name="常规 10 2 5 2" xfId="8626"/>
    <cellStyle name="常规 10 2 5 2 2" xfId="11920"/>
    <cellStyle name="常规 10 2 5 2 2 2" xfId="11922"/>
    <cellStyle name="常规 10 2 5 2 2 3" xfId="11924"/>
    <cellStyle name="常规 10 2 5 2 3" xfId="8471"/>
    <cellStyle name="常规 10 2 5 3" xfId="11928"/>
    <cellStyle name="常规 10 2 5 3 2" xfId="9767"/>
    <cellStyle name="常规 10 2 5 3 3" xfId="8947"/>
    <cellStyle name="常规 10 2 5 4" xfId="11930"/>
    <cellStyle name="常规 10 2 6" xfId="958"/>
    <cellStyle name="常规 10 2 6 2" xfId="11932"/>
    <cellStyle name="常规 10 2 6 2 2" xfId="11935"/>
    <cellStyle name="常规 10 2 6 2 3" xfId="11936"/>
    <cellStyle name="常规 10 2 6 3" xfId="5590"/>
    <cellStyle name="常规 10 2 6 3 2" xfId="9831"/>
    <cellStyle name="常规 10 2 6 3 2 2" xfId="7116"/>
    <cellStyle name="常规 10 2 6 3 2 3" xfId="1357"/>
    <cellStyle name="常规 10 2 6 3 2 3 2" xfId="11939"/>
    <cellStyle name="常规 10 2 6 3 3" xfId="9837"/>
    <cellStyle name="常规 10 2 6 3 4" xfId="6007"/>
    <cellStyle name="常规 10 2 6 4" xfId="8479"/>
    <cellStyle name="常规 10 2 7" xfId="11941"/>
    <cellStyle name="常规 10 2 7 2" xfId="11943"/>
    <cellStyle name="常规 10 2 7 2 2" xfId="4333"/>
    <cellStyle name="常规 10 2 7 2 3" xfId="11945"/>
    <cellStyle name="常规 10 2 7 3" xfId="11947"/>
    <cellStyle name="常规 10 2 7 4" xfId="11949"/>
    <cellStyle name="常规 10 2 7 4 2" xfId="2476"/>
    <cellStyle name="常规 10 2 7 4 3" xfId="11951"/>
    <cellStyle name="常规 10 2 8" xfId="11952"/>
    <cellStyle name="常规 10 3" xfId="4818"/>
    <cellStyle name="常规 10 3 2" xfId="4563"/>
    <cellStyle name="常规 10 3 2 2" xfId="2609"/>
    <cellStyle name="常规 10 3 2 2 2" xfId="4566"/>
    <cellStyle name="常规 10 3 2 2 2 2" xfId="4575"/>
    <cellStyle name="常规 10 3 2 2 2 2 2" xfId="11954"/>
    <cellStyle name="常规 10 3 2 2 2 2 3" xfId="11956"/>
    <cellStyle name="常规 10 3 2 2 2 3" xfId="4578"/>
    <cellStyle name="常规 10 3 2 2 3" xfId="4582"/>
    <cellStyle name="常规 10 3 2 2 3 2" xfId="7052"/>
    <cellStyle name="常规 10 3 2 2 3 3" xfId="8109"/>
    <cellStyle name="常规 10 3 2 2 4" xfId="13"/>
    <cellStyle name="常规 10 3 2 3" xfId="2919"/>
    <cellStyle name="常规 10 3 2 3 2" xfId="4588"/>
    <cellStyle name="常规 10 3 2 3 2 2" xfId="9517"/>
    <cellStyle name="常规 10 3 2 3 2 3" xfId="11960"/>
    <cellStyle name="常规 10 3 2 3 3" xfId="4591"/>
    <cellStyle name="常规 10 3 2 4" xfId="2926"/>
    <cellStyle name="常规 10 3 2 4 2" xfId="9666"/>
    <cellStyle name="常规 10 3 2 4 3" xfId="8157"/>
    <cellStyle name="常规 10 3 2 5" xfId="11962"/>
    <cellStyle name="常规 10 3 3" xfId="3360"/>
    <cellStyle name="常规 10 3 3 2" xfId="3366"/>
    <cellStyle name="常规 10 3 3 2 2" xfId="3371"/>
    <cellStyle name="常规 10 3 3 2 2 2" xfId="11966"/>
    <cellStyle name="常规 10 3 3 2 2 3" xfId="11967"/>
    <cellStyle name="常规 10 3 3 2 3" xfId="3377"/>
    <cellStyle name="常规 10 3 3 3" xfId="3389"/>
    <cellStyle name="常规 10 3 3 3 2" xfId="11968"/>
    <cellStyle name="常规 10 3 3 3 3" xfId="8223"/>
    <cellStyle name="常规 10 3 3 4" xfId="11969"/>
    <cellStyle name="常规 10 3 4" xfId="3399"/>
    <cellStyle name="常规 10 3 4 2" xfId="3414"/>
    <cellStyle name="常规 10 3 4 2 2" xfId="11972"/>
    <cellStyle name="常规 10 3 4 2 3" xfId="8266"/>
    <cellStyle name="常规 10 3 4 3" xfId="11973"/>
    <cellStyle name="常规 10 3 5" xfId="11975"/>
    <cellStyle name="常规 10 3 5 2" xfId="11976"/>
    <cellStyle name="常规 10 3 5 3" xfId="11978"/>
    <cellStyle name="常规 10 3 6" xfId="11980"/>
    <cellStyle name="常规 10 3 7" xfId="11981"/>
    <cellStyle name="常规 10 3 7 2" xfId="11982"/>
    <cellStyle name="常规 10 4" xfId="11985"/>
    <cellStyle name="常规 10 4 2" xfId="11987"/>
    <cellStyle name="常规 10 4 2 2" xfId="11990"/>
    <cellStyle name="常规 10 4 2 2 2" xfId="11994"/>
    <cellStyle name="常规 10 4 2 2 2 2" xfId="4486"/>
    <cellStyle name="常规 10 4 2 2 2 2 2" xfId="11997"/>
    <cellStyle name="常规 10 4 2 2 2 2 3" xfId="12001"/>
    <cellStyle name="常规 10 4 2 2 2 2 3 2" xfId="12003"/>
    <cellStyle name="常规 10 4 2 2 2 3" xfId="12004"/>
    <cellStyle name="常规 10 4 2 2 2 4" xfId="12006"/>
    <cellStyle name="常规 10 4 2 2 3" xfId="12011"/>
    <cellStyle name="常规 10 4 2 3" xfId="12014"/>
    <cellStyle name="常规 10 4 2 3 2" xfId="12015"/>
    <cellStyle name="常规 10 4 2 3 2 2" xfId="12017"/>
    <cellStyle name="常规 10 4 2 3 2 3" xfId="12019"/>
    <cellStyle name="常规 10 4 2 3 3" xfId="12021"/>
    <cellStyle name="常规 10 4 2 3 3 2" xfId="12025"/>
    <cellStyle name="常规 10 4 2 3 3 2 2" xfId="12026"/>
    <cellStyle name="常规 10 4 2 3 3 2 3" xfId="12029"/>
    <cellStyle name="常规 10 4 2 3 3 2 3 2" xfId="12033"/>
    <cellStyle name="常规 10 4 2 3 3 3" xfId="12037"/>
    <cellStyle name="常规 10 4 2 3 3 4" xfId="12038"/>
    <cellStyle name="常规 10 4 2 3 4" xfId="12040"/>
    <cellStyle name="常规 10 4 2 4" xfId="12043"/>
    <cellStyle name="常规 10 4 2 4 2" xfId="9947"/>
    <cellStyle name="常规 10 4 2 4 2 2" xfId="9261"/>
    <cellStyle name="常规 10 4 2 4 2 3" xfId="9949"/>
    <cellStyle name="常规 10 4 2 4 2 3 2" xfId="12045"/>
    <cellStyle name="常规 10 4 2 4 3" xfId="9951"/>
    <cellStyle name="常规 10 4 2 4 4" xfId="12047"/>
    <cellStyle name="常规 10 4 2 5" xfId="12049"/>
    <cellStyle name="常规 10 4 3" xfId="12055"/>
    <cellStyle name="常规 10 4 3 2" xfId="12057"/>
    <cellStyle name="常规 10 4 3 2 2" xfId="12058"/>
    <cellStyle name="常规 10 4 3 2 3" xfId="12060"/>
    <cellStyle name="常规 10 4 3 3" xfId="1825"/>
    <cellStyle name="常规 10 4 3 3 2" xfId="12063"/>
    <cellStyle name="常规 10 4 3 3 2 2" xfId="12065"/>
    <cellStyle name="常规 10 4 3 3 2 3" xfId="12067"/>
    <cellStyle name="常规 10 4 3 3 2 3 2" xfId="12069"/>
    <cellStyle name="常规 10 4 3 3 3" xfId="12071"/>
    <cellStyle name="常规 10 4 3 3 4" xfId="12073"/>
    <cellStyle name="常规 10 4 3 4" xfId="1888"/>
    <cellStyle name="常规 10 4 4" xfId="12075"/>
    <cellStyle name="常规 10 4 4 2" xfId="12076"/>
    <cellStyle name="常规 10 4 4 2 2" xfId="12077"/>
    <cellStyle name="常规 10 4 4 2 3" xfId="12078"/>
    <cellStyle name="常规 10 4 4 2 3 2" xfId="12081"/>
    <cellStyle name="常规 10 4 4 3" xfId="12082"/>
    <cellStyle name="常规 10 4 4 4" xfId="12083"/>
    <cellStyle name="常规 10 4 5" xfId="12086"/>
    <cellStyle name="常规 10 5" xfId="12088"/>
    <cellStyle name="常规 10 5 2" xfId="12091"/>
    <cellStyle name="常规 10 5 2 2" xfId="12092"/>
    <cellStyle name="常规 10 5 2 2 2" xfId="12093"/>
    <cellStyle name="常规 10 5 2 2 2 2" xfId="7833"/>
    <cellStyle name="常规 10 5 2 2 2 2 2" xfId="12096"/>
    <cellStyle name="常规 10 5 2 2 2 2 3" xfId="10990"/>
    <cellStyle name="常规 10 5 2 2 2 2 3 2" xfId="12100"/>
    <cellStyle name="常规 10 5 2 2 2 3" xfId="12101"/>
    <cellStyle name="常规 10 5 2 2 2 4" xfId="12102"/>
    <cellStyle name="常规 10 5 2 2 3" xfId="12104"/>
    <cellStyle name="常规 10 5 2 3" xfId="12106"/>
    <cellStyle name="常规 10 5 2 3 2" xfId="12107"/>
    <cellStyle name="常规 10 5 2 3 2 2" xfId="12108"/>
    <cellStyle name="常规 10 5 2 3 2 3" xfId="12109"/>
    <cellStyle name="常规 10 5 2 3 3" xfId="12111"/>
    <cellStyle name="常规 10 5 2 3 3 2" xfId="3061"/>
    <cellStyle name="常规 10 5 2 3 3 2 2" xfId="12116"/>
    <cellStyle name="常规 10 5 2 3 3 2 3" xfId="11093"/>
    <cellStyle name="常规 10 5 2 3 3 2 3 2" xfId="12119"/>
    <cellStyle name="常规 10 5 2 3 3 3" xfId="4179"/>
    <cellStyle name="常规 10 5 2 3 3 4" xfId="2795"/>
    <cellStyle name="常规 10 5 2 3 4" xfId="12122"/>
    <cellStyle name="常规 10 5 2 4" xfId="12124"/>
    <cellStyle name="常规 10 5 2 4 2" xfId="12125"/>
    <cellStyle name="常规 10 5 2 4 2 2" xfId="12128"/>
    <cellStyle name="常规 10 5 2 4 2 3" xfId="12132"/>
    <cellStyle name="常规 10 5 2 4 2 3 2" xfId="12139"/>
    <cellStyle name="常规 10 5 2 4 3" xfId="12141"/>
    <cellStyle name="常规 10 5 2 4 4" xfId="12142"/>
    <cellStyle name="常规 10 5 2 5" xfId="12143"/>
    <cellStyle name="常规 10 5 3" xfId="12149"/>
    <cellStyle name="常规 10 5 3 2" xfId="12150"/>
    <cellStyle name="常规 10 5 3 2 2" xfId="12151"/>
    <cellStyle name="常规 10 5 3 2 2 2" xfId="12152"/>
    <cellStyle name="常规 10 5 3 2 2 3" xfId="12154"/>
    <cellStyle name="常规 10 5 3 2 3" xfId="12157"/>
    <cellStyle name="常规 10 5 3 2 3 2" xfId="821"/>
    <cellStyle name="常规 10 5 3 2 3 2 2" xfId="973"/>
    <cellStyle name="常规 10 5 3 2 3 2 3" xfId="3214"/>
    <cellStyle name="常规 10 5 3 2 3 2 3 2" xfId="4899"/>
    <cellStyle name="常规 10 5 3 2 3 3" xfId="2584"/>
    <cellStyle name="常规 10 5 3 2 3 4" xfId="4360"/>
    <cellStyle name="常规 10 5 3 2 4" xfId="9364"/>
    <cellStyle name="常规 10 5 3 3" xfId="12158"/>
    <cellStyle name="常规 10 5 3 3 2" xfId="12159"/>
    <cellStyle name="常规 10 5 3 3 2 2" xfId="8490"/>
    <cellStyle name="常规 10 5 3 3 2 3" xfId="8509"/>
    <cellStyle name="常规 10 5 3 3 2 3 2" xfId="7069"/>
    <cellStyle name="常规 10 5 3 3 3" xfId="12161"/>
    <cellStyle name="常规 10 5 3 3 4" xfId="10086"/>
    <cellStyle name="常规 10 5 3 4" xfId="12162"/>
    <cellStyle name="常规 10 5 4" xfId="12163"/>
    <cellStyle name="常规 10 5 4 2" xfId="12165"/>
    <cellStyle name="常规 10 5 4 2 2" xfId="12166"/>
    <cellStyle name="常规 10 5 4 2 3" xfId="12167"/>
    <cellStyle name="常规 10 5 4 3" xfId="12169"/>
    <cellStyle name="常规 10 5 4 3 2" xfId="12171"/>
    <cellStyle name="常规 10 5 4 3 2 2" xfId="8902"/>
    <cellStyle name="常规 10 5 4 3 2 3" xfId="8924"/>
    <cellStyle name="常规 10 5 4 3 2 3 2" xfId="7362"/>
    <cellStyle name="常规 10 5 4 3 3" xfId="12173"/>
    <cellStyle name="常规 10 5 4 3 4" xfId="12175"/>
    <cellStyle name="常规 10 5 4 4" xfId="12179"/>
    <cellStyle name="常规 10 5 5" xfId="12180"/>
    <cellStyle name="常规 10 5 5 2" xfId="12183"/>
    <cellStyle name="常规 10 5 5 2 2" xfId="12185"/>
    <cellStyle name="常规 10 5 5 2 3" xfId="12188"/>
    <cellStyle name="常规 10 5 5 2 3 2" xfId="3697"/>
    <cellStyle name="常规 10 5 5 3" xfId="12192"/>
    <cellStyle name="常规 10 5 5 4" xfId="8663"/>
    <cellStyle name="常规 10 5 6" xfId="12193"/>
    <cellStyle name="常规 10 6" xfId="12195"/>
    <cellStyle name="常规 10 6 2" xfId="12197"/>
    <cellStyle name="常规 10 6 2 2" xfId="12200"/>
    <cellStyle name="常规 10 6 2 2 2" xfId="12204"/>
    <cellStyle name="常规 10 6 2 2 3" xfId="12206"/>
    <cellStyle name="常规 10 6 2 3" xfId="12212"/>
    <cellStyle name="常规 10 6 3" xfId="12215"/>
    <cellStyle name="常规 10 6 3 2" xfId="3759"/>
    <cellStyle name="常规 10 6 3 3" xfId="3852"/>
    <cellStyle name="常规 10 6 4" xfId="12216"/>
    <cellStyle name="常规 10 7" xfId="12218"/>
    <cellStyle name="常规 10 7 2" xfId="12219"/>
    <cellStyle name="常规 10 7 2 2" xfId="12221"/>
    <cellStyle name="常规 10 7 2 3" xfId="12223"/>
    <cellStyle name="常规 10 7 3" xfId="12224"/>
    <cellStyle name="常规 10 8" xfId="12226"/>
    <cellStyle name="常规 10 8 2" xfId="12229"/>
    <cellStyle name="常规 10 8 2 2" xfId="12231"/>
    <cellStyle name="常规 10 8 2 3" xfId="12232"/>
    <cellStyle name="常规 10 8 3" xfId="12238"/>
    <cellStyle name="常规 10 8 4" xfId="12243"/>
    <cellStyle name="常规 10 8 4 2" xfId="12245"/>
    <cellStyle name="常规 10 8 4 3" xfId="12247"/>
    <cellStyle name="常规 10 8 5" xfId="12250"/>
    <cellStyle name="常规 10 8 5 2" xfId="12252"/>
    <cellStyle name="常规 10 8 5 3" xfId="12256"/>
    <cellStyle name="常规 10 8 6" xfId="12259"/>
    <cellStyle name="常规 10 9" xfId="12260"/>
    <cellStyle name="常规 11" xfId="1513"/>
    <cellStyle name="常规 11 2" xfId="7103"/>
    <cellStyle name="常规 11 2 2" xfId="7359"/>
    <cellStyle name="常规 11 2 2 2" xfId="12263"/>
    <cellStyle name="常规 11 2 2 2 2" xfId="12267"/>
    <cellStyle name="常规 11 2 2 2 2 2" xfId="3762"/>
    <cellStyle name="常规 11 2 2 2 2 3" xfId="3843"/>
    <cellStyle name="常规 11 2 2 2 3" xfId="5744"/>
    <cellStyle name="常规 11 2 2 3" xfId="8896"/>
    <cellStyle name="常规 11 2 2 3 2" xfId="12269"/>
    <cellStyle name="常规 11 2 2 3 3" xfId="5755"/>
    <cellStyle name="常规 11 2 2 4" xfId="8918"/>
    <cellStyle name="常规 11 2 3" xfId="12271"/>
    <cellStyle name="常规 11 2 3 2" xfId="12274"/>
    <cellStyle name="常规 11 2 3 2 2" xfId="12278"/>
    <cellStyle name="常规 11 2 3 2 3" xfId="12281"/>
    <cellStyle name="常规 11 2 3 3" xfId="12284"/>
    <cellStyle name="常规 11 2 4" xfId="12288"/>
    <cellStyle name="常规 11 2 4 2" xfId="3595"/>
    <cellStyle name="常规 11 2 4 3" xfId="10730"/>
    <cellStyle name="常规 11 2 5" xfId="3606"/>
    <cellStyle name="常规 11 3" xfId="5533"/>
    <cellStyle name="常规 11 3 2" xfId="5221"/>
    <cellStyle name="常规 11 3 2 2" xfId="5224"/>
    <cellStyle name="常规 11 3 2 2 2" xfId="5230"/>
    <cellStyle name="常规 11 3 2 2 3" xfId="5240"/>
    <cellStyle name="常规 11 3 2 3" xfId="5243"/>
    <cellStyle name="常规 11 3 3" xfId="3615"/>
    <cellStyle name="常规 11 3 3 2" xfId="3625"/>
    <cellStyle name="常规 11 3 3 3" xfId="3635"/>
    <cellStyle name="常规 11 3 4" xfId="3644"/>
    <cellStyle name="常规 11 4" xfId="12290"/>
    <cellStyle name="常规 11 4 2" xfId="10282"/>
    <cellStyle name="常规 11 4 2 2" xfId="12291"/>
    <cellStyle name="常规 11 4 2 2 2" xfId="5453"/>
    <cellStyle name="常规 11 4 2 2 3" xfId="12292"/>
    <cellStyle name="常规 11 4 2 3" xfId="12293"/>
    <cellStyle name="常规 11 4 3" xfId="12295"/>
    <cellStyle name="常规 11 4 3 2" xfId="12297"/>
    <cellStyle name="常规 11 4 3 3" xfId="12300"/>
    <cellStyle name="常规 11 4 4" xfId="12304"/>
    <cellStyle name="常规 11 5" xfId="5848"/>
    <cellStyle name="常规 11 5 2" xfId="5855"/>
    <cellStyle name="常规 11 5 2 2" xfId="12306"/>
    <cellStyle name="常规 11 5 2 3" xfId="12307"/>
    <cellStyle name="常规 11 5 3" xfId="1097"/>
    <cellStyle name="常规 11 6" xfId="1299"/>
    <cellStyle name="常规 11 6 2" xfId="12309"/>
    <cellStyle name="常规 11 6 3" xfId="12311"/>
    <cellStyle name="常规 11 7" xfId="1638"/>
    <cellStyle name="常规 12" xfId="1532"/>
    <cellStyle name="常规 12 2" xfId="7535"/>
    <cellStyle name="常规 12 2 2" xfId="7539"/>
    <cellStyle name="常规 12 2 2 2" xfId="12314"/>
    <cellStyle name="常规 12 2 2 2 2" xfId="12316"/>
    <cellStyle name="常规 12 2 2 2 2 2" xfId="11504"/>
    <cellStyle name="常规 12 2 2 2 2 3" xfId="12318"/>
    <cellStyle name="常规 12 2 2 2 3" xfId="12320"/>
    <cellStyle name="常规 12 2 2 2 3 2" xfId="12322"/>
    <cellStyle name="常规 12 2 2 2 3 2 2" xfId="12326"/>
    <cellStyle name="常规 12 2 2 2 3 2 3" xfId="1587"/>
    <cellStyle name="常规 12 2 2 2 3 2 3 2" xfId="8658"/>
    <cellStyle name="常规 12 2 2 2 3 3" xfId="12328"/>
    <cellStyle name="常规 12 2 2 2 3 4" xfId="12333"/>
    <cellStyle name="常规 12 2 2 2 4" xfId="12335"/>
    <cellStyle name="常规 12 2 2 3" xfId="12337"/>
    <cellStyle name="常规 12 2 2 3 2" xfId="12340"/>
    <cellStyle name="常规 12 2 2 3 2 2" xfId="12341"/>
    <cellStyle name="常规 12 2 2 3 2 3" xfId="12342"/>
    <cellStyle name="常规 12 2 2 3 2 3 2" xfId="12343"/>
    <cellStyle name="常规 12 2 2 3 3" xfId="12344"/>
    <cellStyle name="常规 12 2 2 3 4" xfId="12345"/>
    <cellStyle name="常规 12 2 2 4" xfId="12346"/>
    <cellStyle name="常规 12 2 3" xfId="99"/>
    <cellStyle name="常规 12 2 3 2" xfId="12348"/>
    <cellStyle name="常规 12 2 3 2 2" xfId="12351"/>
    <cellStyle name="常规 12 2 3 2 2 2" xfId="3086"/>
    <cellStyle name="常规 12 2 3 2 2 2 2" xfId="996"/>
    <cellStyle name="常规 12 2 3 2 2 2 3" xfId="3129"/>
    <cellStyle name="常规 12 2 3 2 2 2 3 2" xfId="11659"/>
    <cellStyle name="常规 12 2 3 2 2 3" xfId="3133"/>
    <cellStyle name="常规 12 2 3 2 2 4" xfId="12355"/>
    <cellStyle name="常规 12 2 3 2 3" xfId="12359"/>
    <cellStyle name="常规 12 2 3 3" xfId="12362"/>
    <cellStyle name="常规 12 2 3 3 2" xfId="12365"/>
    <cellStyle name="常规 12 2 3 3 2 2" xfId="3358"/>
    <cellStyle name="常规 12 2 3 3 2 3" xfId="3397"/>
    <cellStyle name="常规 12 2 3 3 3" xfId="12367"/>
    <cellStyle name="常规 12 2 3 3 3 2" xfId="12054"/>
    <cellStyle name="常规 12 2 3 3 3 2 2" xfId="12056"/>
    <cellStyle name="常规 12 2 3 3 3 2 3" xfId="1829"/>
    <cellStyle name="常规 12 2 3 3 3 2 3 2" xfId="12062"/>
    <cellStyle name="常规 12 2 3 3 3 3" xfId="12074"/>
    <cellStyle name="常规 12 2 3 3 3 4" xfId="12085"/>
    <cellStyle name="常规 12 2 3 3 4" xfId="12369"/>
    <cellStyle name="常规 12 2 3 4" xfId="12370"/>
    <cellStyle name="常规 12 2 3 4 2" xfId="12373"/>
    <cellStyle name="常规 12 2 3 4 2 2" xfId="3618"/>
    <cellStyle name="常规 12 2 3 4 2 3" xfId="3647"/>
    <cellStyle name="常规 12 2 3 4 2 3 2" xfId="3653"/>
    <cellStyle name="常规 12 2 3 4 3" xfId="12376"/>
    <cellStyle name="常规 12 2 3 4 4" xfId="12379"/>
    <cellStyle name="常规 12 2 3 5" xfId="12380"/>
    <cellStyle name="常规 12 2 4" xfId="12386"/>
    <cellStyle name="常规 12 2 4 2" xfId="8857"/>
    <cellStyle name="常规 12 2 4 2 2" xfId="12387"/>
    <cellStyle name="常规 12 2 4 2 3" xfId="12388"/>
    <cellStyle name="常规 12 2 4 3" xfId="12389"/>
    <cellStyle name="常规 12 2 4 3 2" xfId="12391"/>
    <cellStyle name="常规 12 2 4 3 2 2" xfId="12393"/>
    <cellStyle name="常规 12 2 4 3 2 3" xfId="12395"/>
    <cellStyle name="常规 12 2 4 3 2 3 2" xfId="12398"/>
    <cellStyle name="常规 12 2 4 3 3" xfId="12399"/>
    <cellStyle name="常规 12 2 4 3 4" xfId="12400"/>
    <cellStyle name="常规 12 2 4 4" xfId="12401"/>
    <cellStyle name="常规 12 2 5" xfId="428"/>
    <cellStyle name="常规 12 2 5 2" xfId="6236"/>
    <cellStyle name="常规 12 2 5 2 2" xfId="6245"/>
    <cellStyle name="常规 12 2 5 2 3" xfId="6261"/>
    <cellStyle name="常规 12 2 5 2 3 2" xfId="12404"/>
    <cellStyle name="常规 12 2 5 3" xfId="6271"/>
    <cellStyle name="常规 12 2 5 4" xfId="12405"/>
    <cellStyle name="常规 12 2 6" xfId="447"/>
    <cellStyle name="常规 12 3" xfId="7542"/>
    <cellStyle name="常规 12 3 2" xfId="5686"/>
    <cellStyle name="常规 12 3 2 2" xfId="3464"/>
    <cellStyle name="常规 12 3 2 2 2" xfId="49"/>
    <cellStyle name="常规 12 3 2 2 2 2" xfId="5694"/>
    <cellStyle name="常规 12 3 2 2 2 3" xfId="5699"/>
    <cellStyle name="常规 12 3 2 2 3" xfId="5707"/>
    <cellStyle name="常规 12 3 2 2 3 2" xfId="12408"/>
    <cellStyle name="常规 12 3 2 2 3 2 2" xfId="12411"/>
    <cellStyle name="常规 12 3 2 2 3 2 3" xfId="12413"/>
    <cellStyle name="常规 12 3 2 2 3 2 3 2" xfId="12236"/>
    <cellStyle name="常规 12 3 2 2 3 3" xfId="12415"/>
    <cellStyle name="常规 12 3 2 2 3 4" xfId="12417"/>
    <cellStyle name="常规 12 3 2 2 4" xfId="12419"/>
    <cellStyle name="常规 12 3 2 3" xfId="5712"/>
    <cellStyle name="常规 12 3 2 3 2" xfId="5721"/>
    <cellStyle name="常规 12 3 2 3 2 2" xfId="12422"/>
    <cellStyle name="常规 12 3 2 3 2 3" xfId="12423"/>
    <cellStyle name="常规 12 3 2 3 2 3 2" xfId="12426"/>
    <cellStyle name="常规 12 3 2 3 3" xfId="5730"/>
    <cellStyle name="常规 12 3 2 3 4" xfId="12429"/>
    <cellStyle name="常规 12 3 2 4" xfId="5741"/>
    <cellStyle name="常规 12 3 3" xfId="3739"/>
    <cellStyle name="常规 12 3 3 2" xfId="5745"/>
    <cellStyle name="常规 12 3 3 2 2" xfId="3989"/>
    <cellStyle name="常规 12 3 3 2 2 2" xfId="12431"/>
    <cellStyle name="常规 12 3 3 2 2 2 2" xfId="12433"/>
    <cellStyle name="常规 12 3 3 2 2 2 3" xfId="12436"/>
    <cellStyle name="常规 12 3 3 2 2 2 3 2" xfId="12441"/>
    <cellStyle name="常规 12 3 3 2 2 3" xfId="12442"/>
    <cellStyle name="常规 12 3 3 2 2 4" xfId="12443"/>
    <cellStyle name="常规 12 3 3 2 3" xfId="4024"/>
    <cellStyle name="常规 12 3 3 3" xfId="5750"/>
    <cellStyle name="常规 12 3 3 3 2" xfId="12445"/>
    <cellStyle name="常规 12 3 3 3 2 2" xfId="12446"/>
    <cellStyle name="常规 12 3 3 3 2 3" xfId="12448"/>
    <cellStyle name="常规 12 3 3 3 3" xfId="12450"/>
    <cellStyle name="常规 12 3 3 3 3 2" xfId="12452"/>
    <cellStyle name="常规 12 3 3 3 3 2 2" xfId="12455"/>
    <cellStyle name="常规 12 3 3 3 3 2 3" xfId="4075"/>
    <cellStyle name="常规 12 3 3 3 3 2 3 2" xfId="2000"/>
    <cellStyle name="常规 12 3 3 3 3 3" xfId="12459"/>
    <cellStyle name="常规 12 3 3 3 3 4" xfId="12465"/>
    <cellStyle name="常规 12 3 3 3 4" xfId="12325"/>
    <cellStyle name="常规 12 3 3 4" xfId="12468"/>
    <cellStyle name="常规 12 3 3 4 2" xfId="12469"/>
    <cellStyle name="常规 12 3 3 4 2 2" xfId="12471"/>
    <cellStyle name="常规 12 3 3 4 2 3" xfId="12473"/>
    <cellStyle name="常规 12 3 3 4 2 3 2" xfId="12474"/>
    <cellStyle name="常规 12 3 3 4 3" xfId="12475"/>
    <cellStyle name="常规 12 3 3 4 4" xfId="12478"/>
    <cellStyle name="常规 12 3 3 5" xfId="12479"/>
    <cellStyle name="常规 12 3 4" xfId="1343"/>
    <cellStyle name="常规 12 3 4 2" xfId="5756"/>
    <cellStyle name="常规 12 3 4 2 2" xfId="12482"/>
    <cellStyle name="常规 12 3 4 2 2 2" xfId="12484"/>
    <cellStyle name="常规 12 3 4 2 2 3" xfId="12486"/>
    <cellStyle name="常规 12 3 4 2 3" xfId="11986"/>
    <cellStyle name="常规 12 3 4 2 3 2" xfId="11989"/>
    <cellStyle name="常规 12 3 4 2 3 2 2" xfId="11992"/>
    <cellStyle name="常规 12 3 4 2 3 2 3" xfId="12008"/>
    <cellStyle name="常规 12 3 4 2 3 2 3 2" xfId="7322"/>
    <cellStyle name="常规 12 3 4 2 3 3" xfId="12013"/>
    <cellStyle name="常规 12 3 4 2 3 4" xfId="12042"/>
    <cellStyle name="常规 12 3 4 2 4" xfId="12053"/>
    <cellStyle name="常规 12 3 4 3" xfId="12487"/>
    <cellStyle name="常规 12 3 4 3 2" xfId="12489"/>
    <cellStyle name="常规 12 3 4 3 2 2" xfId="12492"/>
    <cellStyle name="常规 12 3 4 3 2 3" xfId="12495"/>
    <cellStyle name="常规 12 3 4 3 2 3 2" xfId="12498"/>
    <cellStyle name="常规 12 3 4 3 3" xfId="12089"/>
    <cellStyle name="常规 12 3 4 3 4" xfId="12147"/>
    <cellStyle name="常规 12 3 4 4" xfId="12499"/>
    <cellStyle name="常规 12 3 5" xfId="196"/>
    <cellStyle name="常规 12 3 5 2" xfId="8929"/>
    <cellStyle name="常规 12 3 5 2 2" xfId="5631"/>
    <cellStyle name="常规 12 3 5 2 3" xfId="10285"/>
    <cellStyle name="常规 12 3 5 3" xfId="9121"/>
    <cellStyle name="常规 12 3 5 3 2" xfId="12502"/>
    <cellStyle name="常规 12 3 5 3 2 2" xfId="12506"/>
    <cellStyle name="常规 12 3 5 3 2 3" xfId="12508"/>
    <cellStyle name="常规 12 3 5 3 2 3 2" xfId="12510"/>
    <cellStyle name="常规 12 3 5 3 3" xfId="5854"/>
    <cellStyle name="常规 12 3 5 3 4" xfId="1095"/>
    <cellStyle name="常规 12 3 5 4" xfId="12512"/>
    <cellStyle name="常规 12 3 6" xfId="10289"/>
    <cellStyle name="常规 12 3 6 2" xfId="8936"/>
    <cellStyle name="常规 12 3 6 2 2" xfId="12514"/>
    <cellStyle name="常规 12 3 6 2 3" xfId="12518"/>
    <cellStyle name="常规 12 3 6 2 3 2" xfId="12522"/>
    <cellStyle name="常规 12 3 6 3" xfId="9445"/>
    <cellStyle name="常规 12 3 6 4" xfId="12523"/>
    <cellStyle name="常规 12 3 7" xfId="10294"/>
    <cellStyle name="常规 12 4" xfId="12526"/>
    <cellStyle name="常规 12 4 2" xfId="12517"/>
    <cellStyle name="常规 12 4 2 2" xfId="12521"/>
    <cellStyle name="常规 12 4 2 2 2" xfId="12527"/>
    <cellStyle name="常规 12 4 2 2 2 2" xfId="12528"/>
    <cellStyle name="常规 12 4 2 2 2 3" xfId="12530"/>
    <cellStyle name="常规 12 4 2 2 2 3 2" xfId="4353"/>
    <cellStyle name="常规 12 4 2 2 3" xfId="12531"/>
    <cellStyle name="常规 12 4 2 2 4" xfId="12532"/>
    <cellStyle name="常规 12 4 2 3" xfId="12534"/>
    <cellStyle name="常规 12 4 3" xfId="12536"/>
    <cellStyle name="常规 12 4 3 2" xfId="12280"/>
    <cellStyle name="常规 12 4 3 2 2" xfId="11777"/>
    <cellStyle name="常规 12 4 3 2 3" xfId="12537"/>
    <cellStyle name="常规 12 4 3 3" xfId="12538"/>
    <cellStyle name="常规 12 4 3 3 2" xfId="11801"/>
    <cellStyle name="常规 12 4 3 3 2 2" xfId="12540"/>
    <cellStyle name="常规 12 4 3 3 2 3" xfId="12543"/>
    <cellStyle name="常规 12 4 3 3 2 3 2" xfId="12544"/>
    <cellStyle name="常规 12 4 3 3 3" xfId="12545"/>
    <cellStyle name="常规 12 4 3 3 4" xfId="12546"/>
    <cellStyle name="常规 12 4 3 4" xfId="12547"/>
    <cellStyle name="常规 12 4 4" xfId="12549"/>
    <cellStyle name="常规 12 4 4 2" xfId="8967"/>
    <cellStyle name="常规 12 4 4 2 2" xfId="9894"/>
    <cellStyle name="常规 12 4 4 2 3" xfId="9690"/>
    <cellStyle name="常规 12 4 4 2 3 2" xfId="12550"/>
    <cellStyle name="常规 12 4 4 3" xfId="9135"/>
    <cellStyle name="常规 12 4 4 4" xfId="12551"/>
    <cellStyle name="常规 12 4 5" xfId="10305"/>
    <cellStyle name="常规 12 5" xfId="5863"/>
    <cellStyle name="常规 12 5 2" xfId="12554"/>
    <cellStyle name="常规 12 5 2 2" xfId="12555"/>
    <cellStyle name="常规 12 5 2 3" xfId="12556"/>
    <cellStyle name="常规 12 5 3" xfId="12557"/>
    <cellStyle name="常规 12 5 3 2" xfId="12558"/>
    <cellStyle name="常规 12 5 3 2 2" xfId="11888"/>
    <cellStyle name="常规 12 5 3 2 3" xfId="12560"/>
    <cellStyle name="常规 12 5 3 2 3 2" xfId="4809"/>
    <cellStyle name="常规 12 5 3 3" xfId="12561"/>
    <cellStyle name="常规 12 5 3 4" xfId="12562"/>
    <cellStyle name="常规 12 5 4" xfId="12564"/>
    <cellStyle name="常规 12 6" xfId="2783"/>
    <cellStyle name="常规 12 6 2" xfId="8542"/>
    <cellStyle name="常规 12 6 2 2" xfId="5811"/>
    <cellStyle name="常规 12 6 2 3" xfId="5827"/>
    <cellStyle name="常规 12 6 2 3 2" xfId="12565"/>
    <cellStyle name="常规 12 6 3" xfId="8547"/>
    <cellStyle name="常规 12 6 4" xfId="8977"/>
    <cellStyle name="常规 12 7" xfId="2800"/>
    <cellStyle name="常规 13" xfId="7547"/>
    <cellStyle name="常规 13 2" xfId="7551"/>
    <cellStyle name="常规 13 2 2" xfId="12568"/>
    <cellStyle name="常规 13 2 2 2" xfId="12570"/>
    <cellStyle name="常规 13 2 2 2 2" xfId="12572"/>
    <cellStyle name="常规 13 2 2 2 3" xfId="12577"/>
    <cellStyle name="常规 13 2 2 3" xfId="12584"/>
    <cellStyle name="常规 13 2 2 3 2" xfId="12588"/>
    <cellStyle name="常规 13 2 2 3 2 2" xfId="12593"/>
    <cellStyle name="常规 13 2 2 3 2 3" xfId="1143"/>
    <cellStyle name="常规 13 2 2 3 2 3 2" xfId="12596"/>
    <cellStyle name="常规 13 2 2 3 3" xfId="12600"/>
    <cellStyle name="常规 13 2 2 3 4" xfId="2909"/>
    <cellStyle name="常规 13 2 2 4" xfId="12606"/>
    <cellStyle name="常规 13 2 3" xfId="12609"/>
    <cellStyle name="常规 13 2 3 2" xfId="5166"/>
    <cellStyle name="常规 13 2 3 2 2" xfId="12611"/>
    <cellStyle name="常规 13 2 3 2 3" xfId="12615"/>
    <cellStyle name="常规 13 2 3 2 3 2" xfId="12331"/>
    <cellStyle name="常规 13 2 3 3" xfId="12620"/>
    <cellStyle name="常规 13 2 3 4" xfId="12623"/>
    <cellStyle name="常规 13 2 4" xfId="11128"/>
    <cellStyle name="常规 13 3" xfId="7555"/>
    <cellStyle name="常规 13 3 2" xfId="12626"/>
    <cellStyle name="常规 13 3 2 2" xfId="5293"/>
    <cellStyle name="常规 13 3 2 2 2" xfId="7915"/>
    <cellStyle name="常规 13 3 2 2 2 2" xfId="12627"/>
    <cellStyle name="常规 13 3 2 2 2 3" xfId="12629"/>
    <cellStyle name="常规 13 3 2 2 2 3 2" xfId="12631"/>
    <cellStyle name="常规 13 3 2 2 3" xfId="12633"/>
    <cellStyle name="常规 13 3 2 2 4" xfId="3855"/>
    <cellStyle name="常规 13 3 2 3" xfId="12636"/>
    <cellStyle name="常规 13 3 3" xfId="12640"/>
    <cellStyle name="常规 13 3 3 2" xfId="5241"/>
    <cellStyle name="常规 13 3 3 2 2" xfId="12641"/>
    <cellStyle name="常规 13 3 3 2 3" xfId="12642"/>
    <cellStyle name="常规 13 3 3 3" xfId="12644"/>
    <cellStyle name="常规 13 3 3 3 2" xfId="12646"/>
    <cellStyle name="常规 13 3 3 3 2 2" xfId="12647"/>
    <cellStyle name="常规 13 3 3 3 2 3" xfId="12649"/>
    <cellStyle name="常规 13 3 3 3 2 3 2" xfId="12654"/>
    <cellStyle name="常规 13 3 3 3 3" xfId="12656"/>
    <cellStyle name="常规 13 3 3 3 4" xfId="12657"/>
    <cellStyle name="常规 13 3 3 4" xfId="12660"/>
    <cellStyle name="常规 13 3 4" xfId="11134"/>
    <cellStyle name="常规 13 3 4 2" xfId="5258"/>
    <cellStyle name="常规 13 3 4 2 2" xfId="12662"/>
    <cellStyle name="常规 13 3 4 2 3" xfId="12665"/>
    <cellStyle name="常规 13 3 4 2 3 2" xfId="12667"/>
    <cellStyle name="常规 13 3 4 3" xfId="12669"/>
    <cellStyle name="常规 13 3 4 4" xfId="12672"/>
    <cellStyle name="常规 13 3 5" xfId="7491"/>
    <cellStyle name="常规 13 4" xfId="12674"/>
    <cellStyle name="常规 13 4 2" xfId="12678"/>
    <cellStyle name="常规 13 4 2 2" xfId="12679"/>
    <cellStyle name="常规 13 4 2 2 2" xfId="8058"/>
    <cellStyle name="常规 13 4 2 2 3" xfId="12680"/>
    <cellStyle name="常规 13 4 2 3" xfId="12682"/>
    <cellStyle name="常规 13 4 3" xfId="12687"/>
    <cellStyle name="常规 13 4 3 2" xfId="2731"/>
    <cellStyle name="常规 13 4 3 3" xfId="12689"/>
    <cellStyle name="常规 13 4 4" xfId="12693"/>
    <cellStyle name="常规 13 5" xfId="12694"/>
    <cellStyle name="常规 13 5 2" xfId="12699"/>
    <cellStyle name="常规 13 5 2 2" xfId="12701"/>
    <cellStyle name="常规 13 5 2 3" xfId="12703"/>
    <cellStyle name="常规 13 5 3" xfId="12708"/>
    <cellStyle name="常规 13 5 3 2" xfId="12710"/>
    <cellStyle name="常规 13 5 3 2 2" xfId="12711"/>
    <cellStyle name="常规 13 5 3 2 3" xfId="12712"/>
    <cellStyle name="常规 13 5 3 2 3 2" xfId="3229"/>
    <cellStyle name="常规 13 5 3 3" xfId="12714"/>
    <cellStyle name="常规 13 5 3 4" xfId="12716"/>
    <cellStyle name="常规 13 5 4" xfId="12721"/>
    <cellStyle name="常规 13 6" xfId="1997"/>
    <cellStyle name="常规 13 6 2" xfId="8559"/>
    <cellStyle name="常规 13 6 2 2" xfId="12724"/>
    <cellStyle name="常规 13 6 2 3" xfId="12728"/>
    <cellStyle name="常规 13 6 2 3 2" xfId="12731"/>
    <cellStyle name="常规 13 6 3" xfId="8566"/>
    <cellStyle name="常规 13 6 4" xfId="12733"/>
    <cellStyle name="常规 13 7" xfId="3311"/>
    <cellStyle name="常规 14" xfId="7561"/>
    <cellStyle name="常规 14 2" xfId="8178"/>
    <cellStyle name="常规 14 2 2" xfId="8183"/>
    <cellStyle name="常规 14 2 2 2" xfId="12734"/>
    <cellStyle name="常规 14 2 2 3" xfId="12736"/>
    <cellStyle name="常规 14 2 3" xfId="3890"/>
    <cellStyle name="常规 14 3" xfId="8187"/>
    <cellStyle name="常规 14 3 2" xfId="12739"/>
    <cellStyle name="常规 14 3 3" xfId="12138"/>
    <cellStyle name="常规 14 4" xfId="12743"/>
    <cellStyle name="常规 15" xfId="8193"/>
    <cellStyle name="常规 15 2" xfId="8198"/>
    <cellStyle name="常规 15 2 2" xfId="12028"/>
    <cellStyle name="常规 15 2 2 2" xfId="12032"/>
    <cellStyle name="常规 15 2 2 3" xfId="5524"/>
    <cellStyle name="常规 15 2 3" xfId="12745"/>
    <cellStyle name="常规 15 3" xfId="8203"/>
    <cellStyle name="常规 15 3 2" xfId="12747"/>
    <cellStyle name="常规 15 3 3" xfId="4227"/>
    <cellStyle name="常规 15 4" xfId="12749"/>
    <cellStyle name="常规 16" xfId="8209"/>
    <cellStyle name="常规 16 2" xfId="12750"/>
    <cellStyle name="常规 16 2 2" xfId="11462"/>
    <cellStyle name="常规 16 2 3" xfId="11477"/>
    <cellStyle name="常规 16 3" xfId="12751"/>
    <cellStyle name="常规 17" xfId="12753"/>
    <cellStyle name="常规 17 2" xfId="5286"/>
    <cellStyle name="常规 18" xfId="5225"/>
    <cellStyle name="常规 19" xfId="5244"/>
    <cellStyle name="常规 19 10" xfId="12754"/>
    <cellStyle name="常规 19 10 10" xfId="11589"/>
    <cellStyle name="常规 19 10 10 2" xfId="11591"/>
    <cellStyle name="常规 19 10 10 3" xfId="11597"/>
    <cellStyle name="常规 19 10 10 4" xfId="7661"/>
    <cellStyle name="常规 19 10 10 5" xfId="6618"/>
    <cellStyle name="常规 19 10 10 6" xfId="12757"/>
    <cellStyle name="常规 19 10 10 7" xfId="12760"/>
    <cellStyle name="常规 19 10 10 8" xfId="12764"/>
    <cellStyle name="常规 19 10 11" xfId="11598"/>
    <cellStyle name="常规 19 10 11 2" xfId="11604"/>
    <cellStyle name="常规 19 10 11 3" xfId="11612"/>
    <cellStyle name="常规 19 10 11 4" xfId="7678"/>
    <cellStyle name="常规 19 10 11 5" xfId="1958"/>
    <cellStyle name="常规 19 10 11 6" xfId="12769"/>
    <cellStyle name="常规 19 10 11 7" xfId="12773"/>
    <cellStyle name="常规 19 10 11 8" xfId="12779"/>
    <cellStyle name="常规 19 10 12" xfId="9537"/>
    <cellStyle name="常规 19 10 12 2" xfId="9543"/>
    <cellStyle name="常规 19 10 12 3" xfId="9566"/>
    <cellStyle name="常规 19 10 12 4" xfId="9574"/>
    <cellStyle name="常规 19 10 12 5" xfId="9961"/>
    <cellStyle name="常规 19 10 12 6" xfId="9968"/>
    <cellStyle name="常规 19 10 12 7" xfId="10209"/>
    <cellStyle name="常规 19 10 13" xfId="8568"/>
    <cellStyle name="常规 19 10 14" xfId="8573"/>
    <cellStyle name="常规 19 10 15" xfId="9025"/>
    <cellStyle name="常规 19 10 16" xfId="12780"/>
    <cellStyle name="常规 19 10 17" xfId="12782"/>
    <cellStyle name="常规 19 10 18" xfId="12784"/>
    <cellStyle name="常规 19 10 19" xfId="12785"/>
    <cellStyle name="常规 19 10 2" xfId="12786"/>
    <cellStyle name="常规 19 10 2 10" xfId="5774"/>
    <cellStyle name="常规 19 10 2 10 2" xfId="5782"/>
    <cellStyle name="常规 19 10 2 10 3" xfId="5807"/>
    <cellStyle name="常规 19 10 2 10 4" xfId="5831"/>
    <cellStyle name="常规 19 10 2 10 5" xfId="5840"/>
    <cellStyle name="常规 19 10 2 10 6" xfId="12787"/>
    <cellStyle name="常规 19 10 2 10 7" xfId="12789"/>
    <cellStyle name="常规 19 10 2 11" xfId="4645"/>
    <cellStyle name="常规 19 10 2 12" xfId="4658"/>
    <cellStyle name="常规 19 10 2 13" xfId="5871"/>
    <cellStyle name="常规 19 10 2 14" xfId="1724"/>
    <cellStyle name="常规 19 10 2 15" xfId="1752"/>
    <cellStyle name="常规 19 10 2 16" xfId="12790"/>
    <cellStyle name="常规 19 10 2 17" xfId="12791"/>
    <cellStyle name="常规 19 10 2 2" xfId="12794"/>
    <cellStyle name="常规 19 10 2 2 2" xfId="12797"/>
    <cellStyle name="常规 19 10 2 2 3" xfId="7397"/>
    <cellStyle name="常规 19 10 2 2 4" xfId="3940"/>
    <cellStyle name="常规 19 10 2 2 5" xfId="12803"/>
    <cellStyle name="常规 19 10 2 2 6" xfId="12808"/>
    <cellStyle name="常规 19 10 2 2 7" xfId="4812"/>
    <cellStyle name="常规 19 10 2 2 8" xfId="4839"/>
    <cellStyle name="常规 19 10 2 3" xfId="12812"/>
    <cellStyle name="常规 19 10 2 3 2" xfId="76"/>
    <cellStyle name="常规 19 10 2 3 3" xfId="12814"/>
    <cellStyle name="常规 19 10 2 3 4" xfId="11446"/>
    <cellStyle name="常规 19 10 2 3 5" xfId="11449"/>
    <cellStyle name="常规 19 10 2 3 6" xfId="11791"/>
    <cellStyle name="常规 19 10 2 3 7" xfId="4862"/>
    <cellStyle name="常规 19 10 2 3 8" xfId="5422"/>
    <cellStyle name="常规 19 10 2 4" xfId="12818"/>
    <cellStyle name="常规 19 10 2 4 2" xfId="12819"/>
    <cellStyle name="常规 19 10 2 4 3" xfId="9704"/>
    <cellStyle name="常规 19 10 2 4 4" xfId="3960"/>
    <cellStyle name="常规 19 10 2 4 5" xfId="12821"/>
    <cellStyle name="常规 19 10 2 4 6" xfId="1978"/>
    <cellStyle name="常规 19 10 2 4 7" xfId="2023"/>
    <cellStyle name="常规 19 10 2 4 8" xfId="2066"/>
    <cellStyle name="常规 19 10 2 5" xfId="12825"/>
    <cellStyle name="常规 19 10 2 5 2" xfId="12826"/>
    <cellStyle name="常规 19 10 2 5 3" xfId="12828"/>
    <cellStyle name="常规 19 10 2 5 4" xfId="12831"/>
    <cellStyle name="常规 19 10 2 5 5" xfId="12834"/>
    <cellStyle name="常规 19 10 2 5 6" xfId="12838"/>
    <cellStyle name="常规 19 10 2 5 7" xfId="12841"/>
    <cellStyle name="常规 19 10 2 5 8" xfId="12844"/>
    <cellStyle name="常规 19 10 2 6" xfId="12848"/>
    <cellStyle name="常规 19 10 2 6 2" xfId="12849"/>
    <cellStyle name="常规 19 10 2 6 3" xfId="5326"/>
    <cellStyle name="常规 19 10 2 6 4" xfId="5340"/>
    <cellStyle name="常规 19 10 2 6 5" xfId="12850"/>
    <cellStyle name="常规 19 10 2 6 6" xfId="12852"/>
    <cellStyle name="常规 19 10 2 6 7" xfId="12855"/>
    <cellStyle name="常规 19 10 2 6 8" xfId="12858"/>
    <cellStyle name="常规 19 10 2 7" xfId="12862"/>
    <cellStyle name="常规 19 10 2 7 2" xfId="12863"/>
    <cellStyle name="常规 19 10 2 7 3" xfId="12865"/>
    <cellStyle name="常规 19 10 2 7 4" xfId="12868"/>
    <cellStyle name="常规 19 10 2 7 5" xfId="12870"/>
    <cellStyle name="常规 19 10 2 7 6" xfId="12872"/>
    <cellStyle name="常规 19 10 2 7 7" xfId="12875"/>
    <cellStyle name="常规 19 10 2 7 8" xfId="10263"/>
    <cellStyle name="常规 19 10 2 8" xfId="12878"/>
    <cellStyle name="常规 19 10 2 8 2" xfId="12879"/>
    <cellStyle name="常规 19 10 2 8 3" xfId="12881"/>
    <cellStyle name="常规 19 10 2 8 4" xfId="12884"/>
    <cellStyle name="常规 19 10 2 8 5" xfId="12886"/>
    <cellStyle name="常规 19 10 2 8 6" xfId="12888"/>
    <cellStyle name="常规 19 10 2 8 7" xfId="12891"/>
    <cellStyle name="常规 19 10 2 8 8" xfId="12894"/>
    <cellStyle name="常规 19 10 2 9" xfId="12898"/>
    <cellStyle name="常规 19 10 2 9 2" xfId="12899"/>
    <cellStyle name="常规 19 10 2 9 3" xfId="12900"/>
    <cellStyle name="常规 19 10 2 9 4" xfId="12902"/>
    <cellStyle name="常规 19 10 2 9 5" xfId="12904"/>
    <cellStyle name="常规 19 10 2 9 6" xfId="12906"/>
    <cellStyle name="常规 19 10 2 9 7" xfId="12909"/>
    <cellStyle name="常规 19 10 2 9 8" xfId="12912"/>
    <cellStyle name="常规 19 10 3" xfId="12914"/>
    <cellStyle name="常规 19 10 3 2" xfId="7406"/>
    <cellStyle name="常规 19 10 3 3" xfId="6985"/>
    <cellStyle name="常规 19 10 3 4" xfId="9929"/>
    <cellStyle name="常规 19 10 3 5" xfId="12917"/>
    <cellStyle name="常规 19 10 3 6" xfId="9476"/>
    <cellStyle name="常规 19 10 3 7" xfId="9481"/>
    <cellStyle name="常规 19 10 3 8" xfId="12919"/>
    <cellStyle name="常规 19 10 4" xfId="12922"/>
    <cellStyle name="常规 19 10 4 2" xfId="2902"/>
    <cellStyle name="常规 19 10 4 3" xfId="1903"/>
    <cellStyle name="常规 19 10 4 4" xfId="12924"/>
    <cellStyle name="常规 19 10 4 5" xfId="12927"/>
    <cellStyle name="常规 19 10 4 6" xfId="12930"/>
    <cellStyle name="常规 19 10 4 7" xfId="12932"/>
    <cellStyle name="常规 19 10 4 8" xfId="12934"/>
    <cellStyle name="常规 19 10 5" xfId="12937"/>
    <cellStyle name="常规 19 10 5 2" xfId="12421"/>
    <cellStyle name="常规 19 10 5 3" xfId="12941"/>
    <cellStyle name="常规 19 10 5 4" xfId="12943"/>
    <cellStyle name="常规 19 10 5 5" xfId="12946"/>
    <cellStyle name="常规 19 10 5 6" xfId="12949"/>
    <cellStyle name="常规 19 10 5 7" xfId="12952"/>
    <cellStyle name="常规 19 10 5 8" xfId="7577"/>
    <cellStyle name="常规 19 10 6" xfId="11503"/>
    <cellStyle name="常规 19 10 6 2" xfId="12430"/>
    <cellStyle name="常规 19 10 6 3" xfId="12955"/>
    <cellStyle name="常规 19 10 6 4" xfId="12957"/>
    <cellStyle name="常规 19 10 6 5" xfId="12959"/>
    <cellStyle name="常规 19 10 6 6" xfId="11940"/>
    <cellStyle name="常规 19 10 6 7" xfId="12961"/>
    <cellStyle name="常规 19 10 6 8" xfId="7611"/>
    <cellStyle name="常规 19 10 7" xfId="12317"/>
    <cellStyle name="常规 19 10 7 2" xfId="12963"/>
    <cellStyle name="常规 19 10 7 3" xfId="12964"/>
    <cellStyle name="常规 19 10 7 4" xfId="12425"/>
    <cellStyle name="常规 19 10 7 5" xfId="12966"/>
    <cellStyle name="常规 19 10 7 6" xfId="12968"/>
    <cellStyle name="常规 19 10 7 7" xfId="12971"/>
    <cellStyle name="常规 19 10 7 8" xfId="10075"/>
    <cellStyle name="常规 19 10 8" xfId="12972"/>
    <cellStyle name="常规 19 10 8 2" xfId="1381"/>
    <cellStyle name="常规 19 10 8 3" xfId="12973"/>
    <cellStyle name="常规 19 10 8 4" xfId="12975"/>
    <cellStyle name="常规 19 10 8 5" xfId="12977"/>
    <cellStyle name="常规 19 10 8 6" xfId="12978"/>
    <cellStyle name="常规 19 10 8 7" xfId="12979"/>
    <cellStyle name="常规 19 10 8 8" xfId="10724"/>
    <cellStyle name="常规 19 10 9" xfId="12980"/>
    <cellStyle name="常规 19 10 9 2" xfId="8452"/>
    <cellStyle name="常规 19 10 9 3" xfId="12981"/>
    <cellStyle name="常规 19 10 9 4" xfId="12651"/>
    <cellStyle name="常规 19 10 9 5" xfId="12983"/>
    <cellStyle name="常规 19 10 9 6" xfId="7922"/>
    <cellStyle name="常规 19 10 9 7" xfId="7929"/>
    <cellStyle name="常规 19 10 9 8" xfId="10752"/>
    <cellStyle name="常规 19 11" xfId="12984"/>
    <cellStyle name="常规 19 11 10" xfId="5255"/>
    <cellStyle name="常规 19 11 10 2" xfId="12989"/>
    <cellStyle name="常规 19 11 10 3" xfId="12997"/>
    <cellStyle name="常规 19 11 10 4" xfId="4266"/>
    <cellStyle name="常规 19 11 10 5" xfId="4283"/>
    <cellStyle name="常规 19 11 10 6" xfId="13005"/>
    <cellStyle name="常规 19 11 10 7" xfId="6648"/>
    <cellStyle name="常规 19 11 11" xfId="7486"/>
    <cellStyle name="常规 19 11 12" xfId="8163"/>
    <cellStyle name="常规 19 11 13" xfId="8169"/>
    <cellStyle name="常规 19 11 14" xfId="10611"/>
    <cellStyle name="常规 19 11 15" xfId="10615"/>
    <cellStyle name="常规 19 11 16" xfId="12202"/>
    <cellStyle name="常规 19 11 17" xfId="12214"/>
    <cellStyle name="常规 19 11 2" xfId="13008"/>
    <cellStyle name="常规 19 11 2 2" xfId="13012"/>
    <cellStyle name="常规 19 11 2 3" xfId="13013"/>
    <cellStyle name="常规 19 11 2 4" xfId="13014"/>
    <cellStyle name="常规 19 11 2 5" xfId="13015"/>
    <cellStyle name="常规 19 11 2 6" xfId="13016"/>
    <cellStyle name="常规 19 11 2 7" xfId="13017"/>
    <cellStyle name="常规 19 11 2 8" xfId="13018"/>
    <cellStyle name="常规 19 11 3" xfId="13021"/>
    <cellStyle name="常规 19 11 3 2" xfId="13024"/>
    <cellStyle name="常规 19 11 3 3" xfId="13026"/>
    <cellStyle name="常规 19 11 3 4" xfId="13027"/>
    <cellStyle name="常规 19 11 3 5" xfId="13028"/>
    <cellStyle name="常规 19 11 3 6" xfId="13029"/>
    <cellStyle name="常规 19 11 3 7" xfId="13030"/>
    <cellStyle name="常规 19 11 3 8" xfId="13031"/>
    <cellStyle name="常规 19 11 4" xfId="12353"/>
    <cellStyle name="常规 19 11 4 2" xfId="3088"/>
    <cellStyle name="常规 19 11 4 3" xfId="3135"/>
    <cellStyle name="常规 19 11 4 4" xfId="12356"/>
    <cellStyle name="常规 19 11 4 5" xfId="13038"/>
    <cellStyle name="常规 19 11 4 6" xfId="13045"/>
    <cellStyle name="常规 19 11 4 7" xfId="13050"/>
    <cellStyle name="常规 19 11 4 8" xfId="11151"/>
    <cellStyle name="常规 19 11 5" xfId="12360"/>
    <cellStyle name="常规 19 11 5 2" xfId="13052"/>
    <cellStyle name="常规 19 11 5 3" xfId="3166"/>
    <cellStyle name="常规 19 11 5 4" xfId="13054"/>
    <cellStyle name="常规 19 11 5 5" xfId="13056"/>
    <cellStyle name="常规 19 11 5 6" xfId="13058"/>
    <cellStyle name="常规 19 11 5 7" xfId="13060"/>
    <cellStyle name="常规 19 11 5 8" xfId="10779"/>
    <cellStyle name="常规 19 11 6" xfId="12321"/>
    <cellStyle name="常规 19 11 6 2" xfId="12324"/>
    <cellStyle name="常规 19 11 6 3" xfId="1589"/>
    <cellStyle name="常规 19 11 6 4" xfId="13062"/>
    <cellStyle name="常规 19 11 6 5" xfId="13064"/>
    <cellStyle name="常规 19 11 6 6" xfId="13066"/>
    <cellStyle name="常规 19 11 6 7" xfId="13068"/>
    <cellStyle name="常规 19 11 6 8" xfId="10805"/>
    <cellStyle name="常规 19 11 7" xfId="12327"/>
    <cellStyle name="常规 19 11 7 2" xfId="12477"/>
    <cellStyle name="常规 19 11 7 3" xfId="3730"/>
    <cellStyle name="常规 19 11 7 4" xfId="13071"/>
    <cellStyle name="常规 19 11 7 5" xfId="13074"/>
    <cellStyle name="常规 19 11 7 6" xfId="13077"/>
    <cellStyle name="常规 19 11 7 7" xfId="13079"/>
    <cellStyle name="常规 19 11 7 8" xfId="10825"/>
    <cellStyle name="常规 19 11 8" xfId="12329"/>
    <cellStyle name="常规 19 11 8 2" xfId="13080"/>
    <cellStyle name="常规 19 11 8 3" xfId="9267"/>
    <cellStyle name="常规 19 11 8 4" xfId="13082"/>
    <cellStyle name="常规 19 11 8 5" xfId="13084"/>
    <cellStyle name="常规 19 11 8 6" xfId="13085"/>
    <cellStyle name="常规 19 11 8 7" xfId="13086"/>
    <cellStyle name="常规 19 11 8 8" xfId="10850"/>
    <cellStyle name="常规 19 11 9" xfId="13087"/>
    <cellStyle name="常规 19 11 9 2" xfId="13090"/>
    <cellStyle name="常规 19 11 9 3" xfId="9531"/>
    <cellStyle name="常规 19 11 9 4" xfId="13095"/>
    <cellStyle name="常规 19 11 9 5" xfId="13100"/>
    <cellStyle name="常规 19 11 9 6" xfId="13103"/>
    <cellStyle name="常规 19 11 9 7" xfId="13106"/>
    <cellStyle name="常规 19 11 9 8" xfId="10865"/>
    <cellStyle name="常规 19 12" xfId="11813"/>
    <cellStyle name="常规 19 12 2" xfId="13107"/>
    <cellStyle name="常规 19 12 3" xfId="13109"/>
    <cellStyle name="常规 19 12 4" xfId="12364"/>
    <cellStyle name="常规 19 12 5" xfId="12366"/>
    <cellStyle name="常规 19 12 6" xfId="12368"/>
    <cellStyle name="常规 19 12 7" xfId="13111"/>
    <cellStyle name="常规 19 12 8" xfId="12409"/>
    <cellStyle name="常规 19 13" xfId="3259"/>
    <cellStyle name="常规 19 13 2" xfId="3489"/>
    <cellStyle name="常规 19 13 3" xfId="637"/>
    <cellStyle name="常规 19 13 4" xfId="12372"/>
    <cellStyle name="常规 19 13 5" xfId="12374"/>
    <cellStyle name="常规 19 13 6" xfId="12377"/>
    <cellStyle name="常规 19 13 7" xfId="13112"/>
    <cellStyle name="常规 19 13 8" xfId="13115"/>
    <cellStyle name="常规 19 14" xfId="3677"/>
    <cellStyle name="常规 19 14 2" xfId="3688"/>
    <cellStyle name="常规 19 14 3" xfId="677"/>
    <cellStyle name="常规 19 14 4" xfId="13118"/>
    <cellStyle name="常规 19 14 5" xfId="13120"/>
    <cellStyle name="常规 19 14 6" xfId="13121"/>
    <cellStyle name="常规 19 14 7" xfId="13122"/>
    <cellStyle name="常规 19 14 8" xfId="13123"/>
    <cellStyle name="常规 19 15" xfId="3768"/>
    <cellStyle name="常规 19 15 2" xfId="3776"/>
    <cellStyle name="常规 19 15 3" xfId="3821"/>
    <cellStyle name="常规 19 15 4" xfId="13126"/>
    <cellStyle name="常规 19 15 5" xfId="13130"/>
    <cellStyle name="常规 19 15 6" xfId="13133"/>
    <cellStyle name="常规 19 15 7" xfId="13136"/>
    <cellStyle name="常规 19 15 8" xfId="13139"/>
    <cellStyle name="常规 19 16" xfId="3846"/>
    <cellStyle name="常规 19 16 2" xfId="13144"/>
    <cellStyle name="常规 19 16 3" xfId="12127"/>
    <cellStyle name="常规 19 16 4" xfId="12131"/>
    <cellStyle name="常规 19 16 5" xfId="13147"/>
    <cellStyle name="常规 19 16 6" xfId="13149"/>
    <cellStyle name="常规 19 16 7" xfId="13151"/>
    <cellStyle name="常规 19 16 8" xfId="13153"/>
    <cellStyle name="常规 19 17" xfId="3091"/>
    <cellStyle name="常规 19 17 2" xfId="1003"/>
    <cellStyle name="常规 19 17 3" xfId="3124"/>
    <cellStyle name="常规 19 17 4" xfId="4220"/>
    <cellStyle name="常规 19 17 5" xfId="4247"/>
    <cellStyle name="常规 19 17 6" xfId="5064"/>
    <cellStyle name="常规 19 17 7" xfId="5086"/>
    <cellStyle name="常规 19 17 8" xfId="13154"/>
    <cellStyle name="常规 19 18" xfId="3139"/>
    <cellStyle name="常规 19 18 2" xfId="244"/>
    <cellStyle name="常规 19 18 3" xfId="3144"/>
    <cellStyle name="常规 19 18 4" xfId="3977"/>
    <cellStyle name="常规 19 18 5" xfId="4261"/>
    <cellStyle name="常规 19 18 6" xfId="5108"/>
    <cellStyle name="常规 19 18 7" xfId="468"/>
    <cellStyle name="常规 19 18 8" xfId="10352"/>
    <cellStyle name="常规 19 19" xfId="1681"/>
    <cellStyle name="常规 19 19 2" xfId="13156"/>
    <cellStyle name="常规 19 19 3" xfId="13158"/>
    <cellStyle name="常规 19 19 4" xfId="13160"/>
    <cellStyle name="常规 19 19 5" xfId="13161"/>
    <cellStyle name="常规 19 19 6" xfId="10360"/>
    <cellStyle name="常规 19 19 7" xfId="10364"/>
    <cellStyle name="常规 19 19 8" xfId="10371"/>
    <cellStyle name="常规 19 2" xfId="5250"/>
    <cellStyle name="常规 19 2 10" xfId="13162"/>
    <cellStyle name="常规 19 2 10 2" xfId="6974"/>
    <cellStyle name="常规 19 2 10 3" xfId="7167"/>
    <cellStyle name="常规 19 2 10 4" xfId="7711"/>
    <cellStyle name="常规 19 2 10 5" xfId="7723"/>
    <cellStyle name="常规 19 2 10 6" xfId="8265"/>
    <cellStyle name="常规 19 2 10 7" xfId="13163"/>
    <cellStyle name="常规 19 2 10 8" xfId="13164"/>
    <cellStyle name="常规 19 2 11" xfId="13165"/>
    <cellStyle name="常规 19 2 11 2" xfId="7175"/>
    <cellStyle name="常规 19 2 11 3" xfId="7734"/>
    <cellStyle name="常规 19 2 11 4" xfId="7752"/>
    <cellStyle name="常规 19 2 11 5" xfId="178"/>
    <cellStyle name="常规 19 2 11 6" xfId="1206"/>
    <cellStyle name="常规 19 2 11 7" xfId="12730"/>
    <cellStyle name="常规 19 2 11 8" xfId="12266"/>
    <cellStyle name="常规 19 2 12" xfId="13166"/>
    <cellStyle name="常规 19 2 12 2" xfId="7185"/>
    <cellStyle name="常规 19 2 12 3" xfId="7768"/>
    <cellStyle name="常规 19 2 12 4" xfId="7775"/>
    <cellStyle name="常规 19 2 12 5" xfId="13169"/>
    <cellStyle name="常规 19 2 12 6" xfId="13170"/>
    <cellStyle name="常规 19 2 12 7" xfId="13171"/>
    <cellStyle name="常规 19 2 12 8" xfId="12268"/>
    <cellStyle name="常规 19 2 13" xfId="13172"/>
    <cellStyle name="常规 19 2 13 2" xfId="10222"/>
    <cellStyle name="常规 19 2 13 3" xfId="10231"/>
    <cellStyle name="常规 19 2 13 4" xfId="13173"/>
    <cellStyle name="常规 19 2 13 5" xfId="13175"/>
    <cellStyle name="常规 19 2 13 6" xfId="7332"/>
    <cellStyle name="常规 19 2 13 7" xfId="7356"/>
    <cellStyle name="常规 19 2 13 8" xfId="7363"/>
    <cellStyle name="常规 19 2 14" xfId="13176"/>
    <cellStyle name="常规 19 2 14 2" xfId="10237"/>
    <cellStyle name="常规 19 2 14 3" xfId="13177"/>
    <cellStyle name="常规 19 2 14 4" xfId="13178"/>
    <cellStyle name="常规 19 2 14 5" xfId="13180"/>
    <cellStyle name="常规 19 2 14 6" xfId="7370"/>
    <cellStyle name="常规 19 2 14 7" xfId="7377"/>
    <cellStyle name="常规 19 2 14 8" xfId="13181"/>
    <cellStyle name="常规 19 2 15" xfId="13184"/>
    <cellStyle name="常规 19 2 15 2" xfId="1289"/>
    <cellStyle name="常规 19 2 15 3" xfId="13186"/>
    <cellStyle name="常规 19 2 15 4" xfId="13187"/>
    <cellStyle name="常规 19 2 15 5" xfId="1838"/>
    <cellStyle name="常规 19 2 15 6" xfId="1891"/>
    <cellStyle name="常规 19 2 15 7" xfId="1932"/>
    <cellStyle name="常规 19 2 15 8" xfId="13189"/>
    <cellStyle name="常规 19 2 16" xfId="13193"/>
    <cellStyle name="常规 19 2 16 2" xfId="13194"/>
    <cellStyle name="常规 19 2 16 3" xfId="13197"/>
    <cellStyle name="常规 19 2 16 4" xfId="13199"/>
    <cellStyle name="常规 19 2 16 5" xfId="13200"/>
    <cellStyle name="常规 19 2 16 6" xfId="13201"/>
    <cellStyle name="常规 19 2 16 7" xfId="12016"/>
    <cellStyle name="常规 19 2 16 8" xfId="12018"/>
    <cellStyle name="常规 19 2 17" xfId="13204"/>
    <cellStyle name="常规 19 2 17 2" xfId="13206"/>
    <cellStyle name="常规 19 2 17 3" xfId="13209"/>
    <cellStyle name="常规 19 2 17 4" xfId="13211"/>
    <cellStyle name="常规 19 2 17 5" xfId="13214"/>
    <cellStyle name="常规 19 2 17 6" xfId="13217"/>
    <cellStyle name="常规 19 2 17 7" xfId="12023"/>
    <cellStyle name="常规 19 2 17 8" xfId="12035"/>
    <cellStyle name="常规 19 2 18" xfId="13221"/>
    <cellStyle name="常规 19 2 18 2" xfId="13224"/>
    <cellStyle name="常规 19 2 18 3" xfId="13227"/>
    <cellStyle name="常规 19 2 18 4" xfId="13230"/>
    <cellStyle name="常规 19 2 18 5" xfId="13233"/>
    <cellStyle name="常规 19 2 18 6" xfId="13236"/>
    <cellStyle name="常规 19 2 18 7" xfId="13240"/>
    <cellStyle name="常规 19 2 18 8" xfId="13242"/>
    <cellStyle name="常规 19 2 19" xfId="11225"/>
    <cellStyle name="常规 19 2 19 2" xfId="13245"/>
    <cellStyle name="常规 19 2 19 3" xfId="13250"/>
    <cellStyle name="常规 19 2 19 4" xfId="13255"/>
    <cellStyle name="常规 19 2 19 5" xfId="13259"/>
    <cellStyle name="常规 19 2 19 6" xfId="1323"/>
    <cellStyle name="常规 19 2 19 7" xfId="1348"/>
    <cellStyle name="常规 19 2 2" xfId="13261"/>
    <cellStyle name="常规 19 2 2 10" xfId="12685"/>
    <cellStyle name="常规 19 2 2 10 2" xfId="2730"/>
    <cellStyle name="常规 19 2 2 10 3" xfId="12688"/>
    <cellStyle name="常规 19 2 2 10 4" xfId="13262"/>
    <cellStyle name="常规 19 2 2 10 5" xfId="13263"/>
    <cellStyle name="常规 19 2 2 10 6" xfId="13264"/>
    <cellStyle name="常规 19 2 2 10 7" xfId="10789"/>
    <cellStyle name="常规 19 2 2 10 8" xfId="10791"/>
    <cellStyle name="常规 19 2 2 11" xfId="12691"/>
    <cellStyle name="常规 19 2 2 11 2" xfId="13265"/>
    <cellStyle name="常规 19 2 2 11 3" xfId="13266"/>
    <cellStyle name="常规 19 2 2 11 4" xfId="13267"/>
    <cellStyle name="常规 19 2 2 11 5" xfId="13268"/>
    <cellStyle name="常规 19 2 2 11 6" xfId="13269"/>
    <cellStyle name="常规 19 2 2 11 7" xfId="13270"/>
    <cellStyle name="常规 19 2 2 11 8" xfId="13272"/>
    <cellStyle name="常规 19 2 2 12" xfId="7503"/>
    <cellStyle name="常规 19 2 2 12 2" xfId="10605"/>
    <cellStyle name="常规 19 2 2 12 3" xfId="10616"/>
    <cellStyle name="常规 19 2 2 12 4" xfId="13274"/>
    <cellStyle name="常规 19 2 2 12 5" xfId="11618"/>
    <cellStyle name="常规 19 2 2 12 6" xfId="11623"/>
    <cellStyle name="常规 19 2 2 12 7" xfId="11629"/>
    <cellStyle name="常规 19 2 2 12 8" xfId="13276"/>
    <cellStyle name="常规 19 2 2 13" xfId="10619"/>
    <cellStyle name="常规 19 2 2 13 2" xfId="10621"/>
    <cellStyle name="常规 19 2 2 13 3" xfId="10624"/>
    <cellStyle name="常规 19 2 2 13 4" xfId="13278"/>
    <cellStyle name="常规 19 2 2 13 5" xfId="11633"/>
    <cellStyle name="常规 19 2 2 13 6" xfId="11640"/>
    <cellStyle name="常规 19 2 2 13 7" xfId="13280"/>
    <cellStyle name="常规 19 2 2 13 8" xfId="13282"/>
    <cellStyle name="常规 19 2 2 14" xfId="10627"/>
    <cellStyle name="常规 19 2 2 14 2" xfId="6676"/>
    <cellStyle name="常规 19 2 2 14 3" xfId="6684"/>
    <cellStyle name="常规 19 2 2 14 4" xfId="6977"/>
    <cellStyle name="常规 19 2 2 14 5" xfId="7171"/>
    <cellStyle name="常规 19 2 2 14 6" xfId="7714"/>
    <cellStyle name="常规 19 2 2 14 7" xfId="7726"/>
    <cellStyle name="常规 19 2 2 14 8" xfId="8262"/>
    <cellStyle name="常规 19 2 2 15" xfId="13284"/>
    <cellStyle name="常规 19 2 2 15 2" xfId="6715"/>
    <cellStyle name="常规 19 2 2 15 3" xfId="7001"/>
    <cellStyle name="常规 19 2 2 15 4" xfId="7178"/>
    <cellStyle name="常规 19 2 2 15 5" xfId="7738"/>
    <cellStyle name="常规 19 2 2 15 6" xfId="7755"/>
    <cellStyle name="常规 19 2 2 15 7" xfId="180"/>
    <cellStyle name="常规 19 2 2 15 8" xfId="1208"/>
    <cellStyle name="常规 19 2 2 16" xfId="10957"/>
    <cellStyle name="常规 19 2 2 16 2" xfId="6724"/>
    <cellStyle name="常规 19 2 2 16 3" xfId="7040"/>
    <cellStyle name="常规 19 2 2 16 4" xfId="7188"/>
    <cellStyle name="常规 19 2 2 16 5" xfId="7770"/>
    <cellStyle name="常规 19 2 2 16 6" xfId="7777"/>
    <cellStyle name="常规 19 2 2 16 7" xfId="13168"/>
    <cellStyle name="常规 19 2 2 17" xfId="10961"/>
    <cellStyle name="常规 19 2 2 18" xfId="13286"/>
    <cellStyle name="常规 19 2 2 19" xfId="11684"/>
    <cellStyle name="常规 19 2 2 2" xfId="3839"/>
    <cellStyle name="常规 19 2 2 2 10" xfId="13289"/>
    <cellStyle name="常规 19 2 2 2 10 2" xfId="13293"/>
    <cellStyle name="常规 19 2 2 2 10 3" xfId="13298"/>
    <cellStyle name="常规 19 2 2 2 10 4" xfId="13302"/>
    <cellStyle name="常规 19 2 2 2 10 5" xfId="2317"/>
    <cellStyle name="常规 19 2 2 2 10 6" xfId="8398"/>
    <cellStyle name="常规 19 2 2 2 10 7" xfId="13305"/>
    <cellStyle name="常规 19 2 2 2 10 8" xfId="4305"/>
    <cellStyle name="常规 19 2 2 2 11" xfId="13308"/>
    <cellStyle name="常规 19 2 2 2 11 2" xfId="13311"/>
    <cellStyle name="常规 19 2 2 2 11 3" xfId="13318"/>
    <cellStyle name="常规 19 2 2 2 11 4" xfId="990"/>
    <cellStyle name="常规 19 2 2 2 11 5" xfId="5928"/>
    <cellStyle name="常规 19 2 2 2 11 6" xfId="13320"/>
    <cellStyle name="常规 19 2 2 2 11 7" xfId="13321"/>
    <cellStyle name="常规 19 2 2 2 11 8" xfId="13322"/>
    <cellStyle name="常规 19 2 2 2 12" xfId="13325"/>
    <cellStyle name="常规 19 2 2 2 12 2" xfId="4969"/>
    <cellStyle name="常规 19 2 2 2 12 3" xfId="4985"/>
    <cellStyle name="常规 19 2 2 2 12 4" xfId="5001"/>
    <cellStyle name="常规 19 2 2 2 12 5" xfId="13327"/>
    <cellStyle name="常规 19 2 2 2 12 6" xfId="13329"/>
    <cellStyle name="常规 19 2 2 2 12 7" xfId="13330"/>
    <cellStyle name="常规 19 2 2 2 12 8" xfId="2538"/>
    <cellStyle name="常规 19 2 2 2 13" xfId="13333"/>
    <cellStyle name="常规 19 2 2 2 13 2" xfId="1440"/>
    <cellStyle name="常规 19 2 2 2 13 3" xfId="5039"/>
    <cellStyle name="常规 19 2 2 2 13 4" xfId="6441"/>
    <cellStyle name="常规 19 2 2 2 13 5" xfId="6447"/>
    <cellStyle name="常规 19 2 2 2 13 6" xfId="13334"/>
    <cellStyle name="常规 19 2 2 2 13 7" xfId="13335"/>
    <cellStyle name="常规 19 2 2 2 13 8" xfId="13338"/>
    <cellStyle name="常规 19 2 2 2 14" xfId="6084"/>
    <cellStyle name="常规 19 2 2 2 14 2" xfId="5095"/>
    <cellStyle name="常规 19 2 2 2 14 3" xfId="5121"/>
    <cellStyle name="常规 19 2 2 2 14 4" xfId="8062"/>
    <cellStyle name="常规 19 2 2 2 14 5" xfId="8082"/>
    <cellStyle name="常规 19 2 2 2 14 6" xfId="293"/>
    <cellStyle name="常规 19 2 2 2 14 7" xfId="366"/>
    <cellStyle name="常规 19 2 2 2 14 8" xfId="3362"/>
    <cellStyle name="常规 19 2 2 2 15" xfId="6095"/>
    <cellStyle name="常规 19 2 2 2 15 2" xfId="5134"/>
    <cellStyle name="常规 19 2 2 2 15 3" xfId="7445"/>
    <cellStyle name="常规 19 2 2 2 15 4" xfId="8091"/>
    <cellStyle name="常规 19 2 2 2 15 5" xfId="8099"/>
    <cellStyle name="常规 19 2 2 2 15 6" xfId="2233"/>
    <cellStyle name="常规 19 2 2 2 15 7" xfId="2245"/>
    <cellStyle name="常规 19 2 2 2 16" xfId="7451"/>
    <cellStyle name="常规 19 2 2 2 17" xfId="10441"/>
    <cellStyle name="常规 19 2 2 2 18" xfId="10449"/>
    <cellStyle name="常规 19 2 2 2 19" xfId="10456"/>
    <cellStyle name="常规 19 2 2 2 2" xfId="11414"/>
    <cellStyle name="常规 19 2 2 2 2 10" xfId="7745"/>
    <cellStyle name="常规 19 2 2 2 2 10 2" xfId="12384"/>
    <cellStyle name="常规 19 2 2 2 2 10 3" xfId="427"/>
    <cellStyle name="常规 19 2 2 2 2 10 4" xfId="446"/>
    <cellStyle name="常规 19 2 2 2 2 10 5" xfId="5466"/>
    <cellStyle name="常规 19 2 2 2 2 10 6" xfId="5470"/>
    <cellStyle name="常规 19 2 2 2 2 10 7" xfId="13341"/>
    <cellStyle name="常规 19 2 2 2 2 10 8" xfId="13344"/>
    <cellStyle name="常规 19 2 2 2 2 11" xfId="7749"/>
    <cellStyle name="常规 19 2 2 2 2 11 2" xfId="1342"/>
    <cellStyle name="常规 19 2 2 2 2 11 3" xfId="197"/>
    <cellStyle name="常规 19 2 2 2 2 11 4" xfId="10290"/>
    <cellStyle name="常规 19 2 2 2 2 11 5" xfId="10295"/>
    <cellStyle name="常规 19 2 2 2 2 11 6" xfId="13347"/>
    <cellStyle name="常规 19 2 2 2 2 11 7" xfId="13349"/>
    <cellStyle name="常规 19 2 2 2 2 11 8" xfId="13353"/>
    <cellStyle name="常规 19 2 2 2 2 12" xfId="13358"/>
    <cellStyle name="常规 19 2 2 2 2 12 2" xfId="12548"/>
    <cellStyle name="常规 19 2 2 2 2 12 3" xfId="10304"/>
    <cellStyle name="常规 19 2 2 2 2 12 4" xfId="10314"/>
    <cellStyle name="常规 19 2 2 2 2 12 5" xfId="10317"/>
    <cellStyle name="常规 19 2 2 2 2 12 6" xfId="13361"/>
    <cellStyle name="常规 19 2 2 2 2 12 7" xfId="10925"/>
    <cellStyle name="常规 19 2 2 2 2 12 8" xfId="10933"/>
    <cellStyle name="常规 19 2 2 2 2 13" xfId="13362"/>
    <cellStyle name="常规 19 2 2 2 2 13 2" xfId="12563"/>
    <cellStyle name="常规 19 2 2 2 2 13 3" xfId="10322"/>
    <cellStyle name="常规 19 2 2 2 2 13 4" xfId="10327"/>
    <cellStyle name="常规 19 2 2 2 2 13 5" xfId="13366"/>
    <cellStyle name="常规 19 2 2 2 2 13 6" xfId="13368"/>
    <cellStyle name="常规 19 2 2 2 2 13 7" xfId="10937"/>
    <cellStyle name="常规 19 2 2 2 2 14" xfId="8973"/>
    <cellStyle name="常规 19 2 2 2 2 15" xfId="8985"/>
    <cellStyle name="常规 19 2 2 2 2 16" xfId="13370"/>
    <cellStyle name="常规 19 2 2 2 2 17" xfId="13374"/>
    <cellStyle name="常规 19 2 2 2 2 18" xfId="13377"/>
    <cellStyle name="常规 19 2 2 2 2 19" xfId="13379"/>
    <cellStyle name="常规 19 2 2 2 2 2" xfId="13380"/>
    <cellStyle name="常规 19 2 2 2 2 2 10" xfId="13388"/>
    <cellStyle name="常规 19 2 2 2 2 2 10 2" xfId="13390"/>
    <cellStyle name="常规 19 2 2 2 2 2 10 3" xfId="12164"/>
    <cellStyle name="常规 19 2 2 2 2 2 10 4" xfId="12168"/>
    <cellStyle name="常规 19 2 2 2 2 2 10 5" xfId="12178"/>
    <cellStyle name="常规 19 2 2 2 2 2 10 6" xfId="13392"/>
    <cellStyle name="常规 19 2 2 2 2 2 10 7" xfId="13393"/>
    <cellStyle name="常规 19 2 2 2 2 2 10 8" xfId="13394"/>
    <cellStyle name="常规 19 2 2 2 2 2 11" xfId="13401"/>
    <cellStyle name="常规 19 2 2 2 2 2 11 2" xfId="13403"/>
    <cellStyle name="常规 19 2 2 2 2 2 11 3" xfId="12181"/>
    <cellStyle name="常规 19 2 2 2 2 2 11 4" xfId="12190"/>
    <cellStyle name="常规 19 2 2 2 2 2 11 5" xfId="8662"/>
    <cellStyle name="常规 19 2 2 2 2 2 11 6" xfId="8676"/>
    <cellStyle name="常规 19 2 2 2 2 2 11 7" xfId="8695"/>
    <cellStyle name="常规 19 2 2 2 2 2 11 8" xfId="8704"/>
    <cellStyle name="常规 19 2 2 2 2 2 12" xfId="940"/>
    <cellStyle name="常规 19 2 2 2 2 2 12 2" xfId="944"/>
    <cellStyle name="常规 19 2 2 2 2 2 12 3" xfId="1010"/>
    <cellStyle name="常规 19 2 2 2 2 2 12 4" xfId="494"/>
    <cellStyle name="常规 19 2 2 2 2 2 12 5" xfId="560"/>
    <cellStyle name="常规 19 2 2 2 2 2 12 6" xfId="1552"/>
    <cellStyle name="常规 19 2 2 2 2 2 12 7" xfId="3693"/>
    <cellStyle name="常规 19 2 2 2 2 2 13" xfId="1022"/>
    <cellStyle name="常规 19 2 2 2 2 2 14" xfId="1055"/>
    <cellStyle name="常规 19 2 2 2 2 2 15" xfId="1083"/>
    <cellStyle name="常规 19 2 2 2 2 2 16" xfId="2880"/>
    <cellStyle name="常规 19 2 2 2 2 2 17" xfId="13404"/>
    <cellStyle name="常规 19 2 2 2 2 2 18" xfId="13407"/>
    <cellStyle name="常规 19 2 2 2 2 2 19" xfId="13410"/>
    <cellStyle name="常规 19 2 2 2 2 2 2" xfId="13414"/>
    <cellStyle name="常规 19 2 2 2 2 2 2 10" xfId="13415"/>
    <cellStyle name="常规 19 2 2 2 2 2 2 10 2" xfId="13417"/>
    <cellStyle name="常规 19 2 2 2 2 2 2 10 3" xfId="13420"/>
    <cellStyle name="常规 19 2 2 2 2 2 2 10 4" xfId="4806"/>
    <cellStyle name="常规 19 2 2 2 2 2 2 10 5" xfId="4850"/>
    <cellStyle name="常规 19 2 2 2 2 2 2 10 6" xfId="1688"/>
    <cellStyle name="常规 19 2 2 2 2 2 2 10 7" xfId="2102"/>
    <cellStyle name="常规 19 2 2 2 2 2 2 11" xfId="42"/>
    <cellStyle name="常规 19 2 2 2 2 2 2 12" xfId="396"/>
    <cellStyle name="常规 19 2 2 2 2 2 2 13" xfId="7666"/>
    <cellStyle name="常规 19 2 2 2 2 2 2 14" xfId="7671"/>
    <cellStyle name="常规 19 2 2 2 2 2 2 15" xfId="8239"/>
    <cellStyle name="常规 19 2 2 2 2 2 2 16" xfId="8243"/>
    <cellStyle name="常规 19 2 2 2 2 2 2 17" xfId="13423"/>
    <cellStyle name="常规 19 2 2 2 2 2 2 2" xfId="13424"/>
    <cellStyle name="常规 19 2 2 2 2 2 2 2 2" xfId="13425"/>
    <cellStyle name="常规 19 2 2 2 2 2 2 2 3" xfId="13426"/>
    <cellStyle name="常规 19 2 2 2 2 2 2 2 4" xfId="13427"/>
    <cellStyle name="常规 19 2 2 2 2 2 2 2 5" xfId="13428"/>
    <cellStyle name="常规 19 2 2 2 2 2 2 2 6" xfId="13429"/>
    <cellStyle name="常规 19 2 2 2 2 2 2 2 7" xfId="12170"/>
    <cellStyle name="常规 19 2 2 2 2 2 2 2 8" xfId="12172"/>
    <cellStyle name="常规 19 2 2 2 2 2 2 3" xfId="13430"/>
    <cellStyle name="常规 19 2 2 2 2 2 2 3 2" xfId="13431"/>
    <cellStyle name="常规 19 2 2 2 2 2 2 3 3" xfId="13432"/>
    <cellStyle name="常规 19 2 2 2 2 2 2 3 4" xfId="13433"/>
    <cellStyle name="常规 19 2 2 2 2 2 2 3 5" xfId="13434"/>
    <cellStyle name="常规 19 2 2 2 2 2 2 3 6" xfId="13435"/>
    <cellStyle name="常规 19 2 2 2 2 2 2 3 7" xfId="13436"/>
    <cellStyle name="常规 19 2 2 2 2 2 2 3 8" xfId="13437"/>
    <cellStyle name="常规 19 2 2 2 2 2 2 4" xfId="13439"/>
    <cellStyle name="常规 19 2 2 2 2 2 2 4 2" xfId="13441"/>
    <cellStyle name="常规 19 2 2 2 2 2 2 4 3" xfId="13443"/>
    <cellStyle name="常规 19 2 2 2 2 2 2 4 4" xfId="13444"/>
    <cellStyle name="常规 19 2 2 2 2 2 2 4 5" xfId="13445"/>
    <cellStyle name="常规 19 2 2 2 2 2 2 4 6" xfId="13446"/>
    <cellStyle name="常规 19 2 2 2 2 2 2 4 7" xfId="13447"/>
    <cellStyle name="常规 19 2 2 2 2 2 2 4 8" xfId="13448"/>
    <cellStyle name="常规 19 2 2 2 2 2 2 5" xfId="13450"/>
    <cellStyle name="常规 19 2 2 2 2 2 2 5 2" xfId="13451"/>
    <cellStyle name="常规 19 2 2 2 2 2 2 5 3" xfId="13452"/>
    <cellStyle name="常规 19 2 2 2 2 2 2 5 4" xfId="13453"/>
    <cellStyle name="常规 19 2 2 2 2 2 2 5 5" xfId="13455"/>
    <cellStyle name="常规 19 2 2 2 2 2 2 5 6" xfId="13457"/>
    <cellStyle name="常规 19 2 2 2 2 2 2 5 7" xfId="13458"/>
    <cellStyle name="常规 19 2 2 2 2 2 2 5 8" xfId="13459"/>
    <cellStyle name="常规 19 2 2 2 2 2 2 6" xfId="12440"/>
    <cellStyle name="常规 19 2 2 2 2 2 2 6 2" xfId="13460"/>
    <cellStyle name="常规 19 2 2 2 2 2 2 6 3" xfId="13462"/>
    <cellStyle name="常规 19 2 2 2 2 2 2 6 4" xfId="13464"/>
    <cellStyle name="常规 19 2 2 2 2 2 2 6 5" xfId="13467"/>
    <cellStyle name="常规 19 2 2 2 2 2 2 6 6" xfId="13470"/>
    <cellStyle name="常规 19 2 2 2 2 2 2 6 7" xfId="13472"/>
    <cellStyle name="常规 19 2 2 2 2 2 2 6 8" xfId="13474"/>
    <cellStyle name="常规 19 2 2 2 2 2 2 7" xfId="7319"/>
    <cellStyle name="常规 19 2 2 2 2 2 2 7 2" xfId="13476"/>
    <cellStyle name="常规 19 2 2 2 2 2 2 7 3" xfId="13478"/>
    <cellStyle name="常规 19 2 2 2 2 2 2 7 4" xfId="1465"/>
    <cellStyle name="常规 19 2 2 2 2 2 2 7 5" xfId="3057"/>
    <cellStyle name="常规 19 2 2 2 2 2 2 7 6" xfId="11082"/>
    <cellStyle name="常规 19 2 2 2 2 2 2 7 7" xfId="13481"/>
    <cellStyle name="常规 19 2 2 2 2 2 2 7 8" xfId="13484"/>
    <cellStyle name="常规 19 2 2 2 2 2 2 8" xfId="7323"/>
    <cellStyle name="常规 19 2 2 2 2 2 2 8 2" xfId="13487"/>
    <cellStyle name="常规 19 2 2 2 2 2 2 8 3" xfId="13488"/>
    <cellStyle name="常规 19 2 2 2 2 2 2 8 4" xfId="12112"/>
    <cellStyle name="常规 19 2 2 2 2 2 2 8 5" xfId="11089"/>
    <cellStyle name="常规 19 2 2 2 2 2 2 8 6" xfId="11097"/>
    <cellStyle name="常规 19 2 2 2 2 2 2 8 7" xfId="13494"/>
    <cellStyle name="常规 19 2 2 2 2 2 2 8 8" xfId="13500"/>
    <cellStyle name="常规 19 2 2 2 2 2 2 9" xfId="13503"/>
    <cellStyle name="常规 19 2 2 2 2 2 2 9 2" xfId="13505"/>
    <cellStyle name="常规 19 2 2 2 2 2 2 9 3" xfId="13508"/>
    <cellStyle name="常规 19 2 2 2 2 2 2 9 4" xfId="4186"/>
    <cellStyle name="常规 19 2 2 2 2 2 2 9 5" xfId="4193"/>
    <cellStyle name="常规 19 2 2 2 2 2 2 9 6" xfId="13512"/>
    <cellStyle name="常规 19 2 2 2 2 2 2 9 7" xfId="13517"/>
    <cellStyle name="常规 19 2 2 2 2 2 2 9 8" xfId="13522"/>
    <cellStyle name="常规 19 2 2 2 2 2 3" xfId="13528"/>
    <cellStyle name="常规 19 2 2 2 2 2 3 2" xfId="13533"/>
    <cellStyle name="常规 19 2 2 2 2 2 3 3" xfId="13538"/>
    <cellStyle name="常规 19 2 2 2 2 2 3 4" xfId="13542"/>
    <cellStyle name="常规 19 2 2 2 2 2 3 5" xfId="13546"/>
    <cellStyle name="常规 19 2 2 2 2 2 3 6" xfId="13550"/>
    <cellStyle name="常规 19 2 2 2 2 2 3 7" xfId="13555"/>
    <cellStyle name="常规 19 2 2 2 2 2 3 8" xfId="13558"/>
    <cellStyle name="常规 19 2 2 2 2 2 4" xfId="4035"/>
    <cellStyle name="常规 19 2 2 2 2 2 4 2" xfId="4042"/>
    <cellStyle name="常规 19 2 2 2 2 2 4 3" xfId="4045"/>
    <cellStyle name="常规 19 2 2 2 2 2 4 4" xfId="4910"/>
    <cellStyle name="常规 19 2 2 2 2 2 4 5" xfId="4327"/>
    <cellStyle name="常规 19 2 2 2 2 2 4 6" xfId="4338"/>
    <cellStyle name="常规 19 2 2 2 2 2 4 7" xfId="5606"/>
    <cellStyle name="常规 19 2 2 2 2 2 4 8" xfId="13562"/>
    <cellStyle name="常规 19 2 2 2 2 2 5" xfId="1863"/>
    <cellStyle name="常规 19 2 2 2 2 2 5 2" xfId="13568"/>
    <cellStyle name="常规 19 2 2 2 2 2 5 3" xfId="13573"/>
    <cellStyle name="常规 19 2 2 2 2 2 5 4" xfId="13578"/>
    <cellStyle name="常规 19 2 2 2 2 2 5 5" xfId="13583"/>
    <cellStyle name="常规 19 2 2 2 2 2 5 6" xfId="13588"/>
    <cellStyle name="常规 19 2 2 2 2 2 5 7" xfId="13593"/>
    <cellStyle name="常规 19 2 2 2 2 2 5 8" xfId="13599"/>
    <cellStyle name="常规 19 2 2 2 2 2 6" xfId="13604"/>
    <cellStyle name="常规 19 2 2 2 2 2 6 2" xfId="13612"/>
    <cellStyle name="常规 19 2 2 2 2 2 6 3" xfId="13618"/>
    <cellStyle name="常规 19 2 2 2 2 2 6 4" xfId="13623"/>
    <cellStyle name="常规 19 2 2 2 2 2 6 5" xfId="13628"/>
    <cellStyle name="常规 19 2 2 2 2 2 6 6" xfId="13633"/>
    <cellStyle name="常规 19 2 2 2 2 2 6 7" xfId="13637"/>
    <cellStyle name="常规 19 2 2 2 2 2 6 8" xfId="13641"/>
    <cellStyle name="常规 19 2 2 2 2 2 7" xfId="13646"/>
    <cellStyle name="常规 19 2 2 2 2 2 7 2" xfId="13654"/>
    <cellStyle name="常规 19 2 2 2 2 2 7 3" xfId="13659"/>
    <cellStyle name="常规 19 2 2 2 2 2 7 4" xfId="9346"/>
    <cellStyle name="常规 19 2 2 2 2 2 7 5" xfId="9354"/>
    <cellStyle name="常规 19 2 2 2 2 2 7 6" xfId="13664"/>
    <cellStyle name="常规 19 2 2 2 2 2 7 7" xfId="13668"/>
    <cellStyle name="常规 19 2 2 2 2 2 7 8" xfId="11278"/>
    <cellStyle name="常规 19 2 2 2 2 2 8" xfId="13673"/>
    <cellStyle name="常规 19 2 2 2 2 2 8 2" xfId="13681"/>
    <cellStyle name="常规 19 2 2 2 2 2 8 3" xfId="13686"/>
    <cellStyle name="常规 19 2 2 2 2 2 8 4" xfId="13691"/>
    <cellStyle name="常规 19 2 2 2 2 2 8 5" xfId="13696"/>
    <cellStyle name="常规 19 2 2 2 2 2 8 6" xfId="13701"/>
    <cellStyle name="常规 19 2 2 2 2 2 8 7" xfId="11531"/>
    <cellStyle name="常规 19 2 2 2 2 2 8 8" xfId="11536"/>
    <cellStyle name="常规 19 2 2 2 2 2 9" xfId="13707"/>
    <cellStyle name="常规 19 2 2 2 2 2 9 2" xfId="13715"/>
    <cellStyle name="常规 19 2 2 2 2 2 9 3" xfId="5317"/>
    <cellStyle name="常规 19 2 2 2 2 2 9 4" xfId="5353"/>
    <cellStyle name="常规 19 2 2 2 2 2 9 5" xfId="5368"/>
    <cellStyle name="常规 19 2 2 2 2 2 9 6" xfId="6398"/>
    <cellStyle name="常规 19 2 2 2 2 2 9 7" xfId="7016"/>
    <cellStyle name="常规 19 2 2 2 2 2 9 8" xfId="7031"/>
    <cellStyle name="常规 19 2 2 2 2 20" xfId="8984"/>
    <cellStyle name="常规 19 2 2 2 2 3" xfId="13719"/>
    <cellStyle name="常规 19 2 2 2 2 3 10" xfId="13720"/>
    <cellStyle name="常规 19 2 2 2 2 3 10 2" xfId="13723"/>
    <cellStyle name="常规 19 2 2 2 2 3 10 3" xfId="13730"/>
    <cellStyle name="常规 19 2 2 2 2 3 10 4" xfId="13732"/>
    <cellStyle name="常规 19 2 2 2 2 3 10 5" xfId="13734"/>
    <cellStyle name="常规 19 2 2 2 2 3 10 6" xfId="13736"/>
    <cellStyle name="常规 19 2 2 2 2 3 10 7" xfId="13738"/>
    <cellStyle name="常规 19 2 2 2 2 3 11" xfId="13740"/>
    <cellStyle name="常规 19 2 2 2 2 3 12" xfId="13741"/>
    <cellStyle name="常规 19 2 2 2 2 3 13" xfId="13743"/>
    <cellStyle name="常规 19 2 2 2 2 3 14" xfId="13745"/>
    <cellStyle name="常规 19 2 2 2 2 3 15" xfId="7098"/>
    <cellStyle name="常规 19 2 2 2 2 3 16" xfId="4821"/>
    <cellStyle name="常规 19 2 2 2 2 3 17" xfId="11983"/>
    <cellStyle name="常规 19 2 2 2 2 3 2" xfId="13746"/>
    <cellStyle name="常规 19 2 2 2 2 3 2 2" xfId="13747"/>
    <cellStyle name="常规 19 2 2 2 2 3 2 3" xfId="13205"/>
    <cellStyle name="常规 19 2 2 2 2 3 2 4" xfId="13208"/>
    <cellStyle name="常规 19 2 2 2 2 3 2 5" xfId="13210"/>
    <cellStyle name="常规 19 2 2 2 2 3 2 6" xfId="13213"/>
    <cellStyle name="常规 19 2 2 2 2 3 2 7" xfId="13216"/>
    <cellStyle name="常规 19 2 2 2 2 3 2 8" xfId="12022"/>
    <cellStyle name="常规 19 2 2 2 2 3 3" xfId="13749"/>
    <cellStyle name="常规 19 2 2 2 2 3 3 2" xfId="13754"/>
    <cellStyle name="常规 19 2 2 2 2 3 3 3" xfId="13223"/>
    <cellStyle name="常规 19 2 2 2 2 3 3 4" xfId="13226"/>
    <cellStyle name="常规 19 2 2 2 2 3 3 5" xfId="13229"/>
    <cellStyle name="常规 19 2 2 2 2 3 3 6" xfId="13232"/>
    <cellStyle name="常规 19 2 2 2 2 3 3 7" xfId="13235"/>
    <cellStyle name="常规 19 2 2 2 2 3 3 8" xfId="13239"/>
    <cellStyle name="常规 19 2 2 2 2 3 4" xfId="509"/>
    <cellStyle name="常规 19 2 2 2 2 3 4 2" xfId="13757"/>
    <cellStyle name="常规 19 2 2 2 2 3 4 3" xfId="13244"/>
    <cellStyle name="常规 19 2 2 2 2 3 4 4" xfId="13249"/>
    <cellStyle name="常规 19 2 2 2 2 3 4 5" xfId="13254"/>
    <cellStyle name="常规 19 2 2 2 2 3 4 6" xfId="13258"/>
    <cellStyle name="常规 19 2 2 2 2 3 4 7" xfId="1324"/>
    <cellStyle name="常规 19 2 2 2 2 3 4 8" xfId="1349"/>
    <cellStyle name="常规 19 2 2 2 2 3 5" xfId="3161"/>
    <cellStyle name="常规 19 2 2 2 2 3 5 2" xfId="13761"/>
    <cellStyle name="常规 19 2 2 2 2 3 5 3" xfId="13764"/>
    <cellStyle name="常规 19 2 2 2 2 3 5 4" xfId="13767"/>
    <cellStyle name="常规 19 2 2 2 2 3 5 5" xfId="13770"/>
    <cellStyle name="常规 19 2 2 2 2 3 5 6" xfId="13772"/>
    <cellStyle name="常规 19 2 2 2 2 3 5 7" xfId="1352"/>
    <cellStyle name="常规 19 2 2 2 2 3 5 8" xfId="1366"/>
    <cellStyle name="常规 19 2 2 2 2 3 6" xfId="4279"/>
    <cellStyle name="常规 19 2 2 2 2 3 6 2" xfId="13774"/>
    <cellStyle name="常规 19 2 2 2 2 3 6 3" xfId="13779"/>
    <cellStyle name="常规 19 2 2 2 2 3 6 4" xfId="13784"/>
    <cellStyle name="常规 19 2 2 2 2 3 6 5" xfId="13787"/>
    <cellStyle name="常规 19 2 2 2 2 3 6 6" xfId="13789"/>
    <cellStyle name="常规 19 2 2 2 2 3 6 7" xfId="1198"/>
    <cellStyle name="常规 19 2 2 2 2 3 6 8" xfId="2828"/>
    <cellStyle name="常规 19 2 2 2 2 3 7" xfId="4067"/>
    <cellStyle name="常规 19 2 2 2 2 3 7 2" xfId="13791"/>
    <cellStyle name="常规 19 2 2 2 2 3 7 3" xfId="13794"/>
    <cellStyle name="常规 19 2 2 2 2 3 7 4" xfId="13797"/>
    <cellStyle name="常规 19 2 2 2 2 3 7 5" xfId="13800"/>
    <cellStyle name="常规 19 2 2 2 2 3 7 6" xfId="13802"/>
    <cellStyle name="常规 19 2 2 2 2 3 7 7" xfId="13804"/>
    <cellStyle name="常规 19 2 2 2 2 3 7 8" xfId="13806"/>
    <cellStyle name="常规 19 2 2 2 2 3 8" xfId="4081"/>
    <cellStyle name="常规 19 2 2 2 2 3 8 2" xfId="13807"/>
    <cellStyle name="常规 19 2 2 2 2 3 8 3" xfId="13810"/>
    <cellStyle name="常规 19 2 2 2 2 3 8 4" xfId="13812"/>
    <cellStyle name="常规 19 2 2 2 2 3 8 5" xfId="11483"/>
    <cellStyle name="常规 19 2 2 2 2 3 8 6" xfId="11486"/>
    <cellStyle name="常规 19 2 2 2 2 3 8 7" xfId="13814"/>
    <cellStyle name="常规 19 2 2 2 2 3 8 8" xfId="13815"/>
    <cellStyle name="常规 19 2 2 2 2 3 9" xfId="2939"/>
    <cellStyle name="常规 19 2 2 2 2 3 9 2" xfId="13817"/>
    <cellStyle name="常规 19 2 2 2 2 3 9 3" xfId="1856"/>
    <cellStyle name="常规 19 2 2 2 2 3 9 4" xfId="3268"/>
    <cellStyle name="常规 19 2 2 2 2 3 9 5" xfId="3664"/>
    <cellStyle name="常规 19 2 2 2 2 3 9 6" xfId="3751"/>
    <cellStyle name="常规 19 2 2 2 2 3 9 7" xfId="6549"/>
    <cellStyle name="常规 19 2 2 2 2 3 9 8" xfId="7045"/>
    <cellStyle name="常规 19 2 2 2 2 4" xfId="9669"/>
    <cellStyle name="常规 19 2 2 2 2 4 2" xfId="7904"/>
    <cellStyle name="常规 19 2 2 2 2 4 3" xfId="13819"/>
    <cellStyle name="常规 19 2 2 2 2 4 4" xfId="13823"/>
    <cellStyle name="常规 19 2 2 2 2 4 5" xfId="13827"/>
    <cellStyle name="常规 19 2 2 2 2 4 6" xfId="13832"/>
    <cellStyle name="常规 19 2 2 2 2 4 7" xfId="13839"/>
    <cellStyle name="常规 19 2 2 2 2 4 8" xfId="8583"/>
    <cellStyle name="常规 19 2 2 2 2 5" xfId="9671"/>
    <cellStyle name="常规 19 2 2 2 2 5 2" xfId="11822"/>
    <cellStyle name="常规 19 2 2 2 2 5 3" xfId="13844"/>
    <cellStyle name="常规 19 2 2 2 2 5 4" xfId="13849"/>
    <cellStyle name="常规 19 2 2 2 2 5 5" xfId="13854"/>
    <cellStyle name="常规 19 2 2 2 2 5 6" xfId="13860"/>
    <cellStyle name="常规 19 2 2 2 2 5 7" xfId="13867"/>
    <cellStyle name="常规 19 2 2 2 2 5 8" xfId="10391"/>
    <cellStyle name="常规 19 2 2 2 2 6" xfId="13872"/>
    <cellStyle name="常规 19 2 2 2 2 6 2" xfId="13873"/>
    <cellStyle name="常规 19 2 2 2 2 6 3" xfId="13874"/>
    <cellStyle name="常规 19 2 2 2 2 6 4" xfId="13880"/>
    <cellStyle name="常规 19 2 2 2 2 6 5" xfId="13886"/>
    <cellStyle name="常规 19 2 2 2 2 6 6" xfId="6941"/>
    <cellStyle name="常规 19 2 2 2 2 6 7" xfId="6951"/>
    <cellStyle name="常规 19 2 2 2 2 6 8" xfId="10407"/>
    <cellStyle name="常规 19 2 2 2 2 7" xfId="13889"/>
    <cellStyle name="常规 19 2 2 2 2 7 2" xfId="13890"/>
    <cellStyle name="常规 19 2 2 2 2 7 3" xfId="13892"/>
    <cellStyle name="常规 19 2 2 2 2 7 4" xfId="13898"/>
    <cellStyle name="常规 19 2 2 2 2 7 5" xfId="13904"/>
    <cellStyle name="常规 19 2 2 2 2 7 6" xfId="13909"/>
    <cellStyle name="常规 19 2 2 2 2 7 7" xfId="13916"/>
    <cellStyle name="常规 19 2 2 2 2 7 8" xfId="13383"/>
    <cellStyle name="常规 19 2 2 2 2 8" xfId="13921"/>
    <cellStyle name="常规 19 2 2 2 2 8 2" xfId="13922"/>
    <cellStyle name="常规 19 2 2 2 2 8 3" xfId="13923"/>
    <cellStyle name="常规 19 2 2 2 2 8 4" xfId="13929"/>
    <cellStyle name="常规 19 2 2 2 2 8 5" xfId="13934"/>
    <cellStyle name="常规 19 2 2 2 2 8 6" xfId="13939"/>
    <cellStyle name="常规 19 2 2 2 2 8 7" xfId="5974"/>
    <cellStyle name="常规 19 2 2 2 2 8 8" xfId="5986"/>
    <cellStyle name="常规 19 2 2 2 2 9" xfId="13944"/>
    <cellStyle name="常规 19 2 2 2 2 9 2" xfId="13945"/>
    <cellStyle name="常规 19 2 2 2 2 9 3" xfId="13946"/>
    <cellStyle name="常规 19 2 2 2 2 9 4" xfId="13951"/>
    <cellStyle name="常规 19 2 2 2 2 9 5" xfId="13955"/>
    <cellStyle name="常规 19 2 2 2 2 9 6" xfId="13959"/>
    <cellStyle name="常规 19 2 2 2 2 9 7" xfId="5996"/>
    <cellStyle name="常规 19 2 2 2 2 9 8" xfId="6003"/>
    <cellStyle name="常规 19 2 2 2 20" xfId="6096"/>
    <cellStyle name="常规 19 2 2 2 21" xfId="7452"/>
    <cellStyle name="常规 19 2 2 2 22" xfId="10440"/>
    <cellStyle name="常规 19 2 2 2 3" xfId="7484"/>
    <cellStyle name="常规 19 2 2 2 3 10" xfId="3761"/>
    <cellStyle name="常规 19 2 2 2 3 10 2" xfId="3771"/>
    <cellStyle name="常规 19 2 2 2 3 10 3" xfId="3816"/>
    <cellStyle name="常规 19 2 2 2 3 10 4" xfId="3838"/>
    <cellStyle name="常规 19 2 2 2 3 10 5" xfId="11420"/>
    <cellStyle name="常规 19 2 2 2 3 10 6" xfId="13965"/>
    <cellStyle name="常规 19 2 2 2 3 10 7" xfId="13967"/>
    <cellStyle name="常规 19 2 2 2 3 10 8" xfId="13971"/>
    <cellStyle name="常规 19 2 2 2 3 11" xfId="3842"/>
    <cellStyle name="常规 19 2 2 2 3 11 2" xfId="3854"/>
    <cellStyle name="常规 19 2 2 2 3 11 3" xfId="3878"/>
    <cellStyle name="常规 19 2 2 2 3 11 4" xfId="3902"/>
    <cellStyle name="常规 19 2 2 2 3 11 5" xfId="13975"/>
    <cellStyle name="常规 19 2 2 2 3 11 6" xfId="13978"/>
    <cellStyle name="常规 19 2 2 2 3 11 7" xfId="13981"/>
    <cellStyle name="常规 19 2 2 2 3 11 8" xfId="13986"/>
    <cellStyle name="常规 19 2 2 2 3 12" xfId="3085"/>
    <cellStyle name="常规 19 2 2 2 3 12 2" xfId="997"/>
    <cellStyle name="常规 19 2 2 2 3 12 3" xfId="3128"/>
    <cellStyle name="常规 19 2 2 2 3 12 4" xfId="11434"/>
    <cellStyle name="常规 19 2 2 2 3 12 5" xfId="13990"/>
    <cellStyle name="常规 19 2 2 2 3 12 6" xfId="13992"/>
    <cellStyle name="常规 19 2 2 2 3 12 7" xfId="13995"/>
    <cellStyle name="常规 19 2 2 2 3 13" xfId="3132"/>
    <cellStyle name="常规 19 2 2 2 3 14" xfId="12354"/>
    <cellStyle name="常规 19 2 2 2 3 15" xfId="13033"/>
    <cellStyle name="常规 19 2 2 2 3 16" xfId="13040"/>
    <cellStyle name="常规 19 2 2 2 3 17" xfId="13047"/>
    <cellStyle name="常规 19 2 2 2 3 18" xfId="11149"/>
    <cellStyle name="常规 19 2 2 2 3 19" xfId="11154"/>
    <cellStyle name="常规 19 2 2 2 3 2" xfId="5256"/>
    <cellStyle name="常规 19 2 2 2 3 2 10" xfId="13998"/>
    <cellStyle name="常规 19 2 2 2 3 2 10 2" xfId="13999"/>
    <cellStyle name="常规 19 2 2 2 3 2 10 3" xfId="14000"/>
    <cellStyle name="常规 19 2 2 2 3 2 10 4" xfId="14001"/>
    <cellStyle name="常规 19 2 2 2 3 2 10 5" xfId="14002"/>
    <cellStyle name="常规 19 2 2 2 3 2 10 6" xfId="14004"/>
    <cellStyle name="常规 19 2 2 2 3 2 10 7" xfId="14006"/>
    <cellStyle name="常规 19 2 2 2 3 2 11" xfId="14007"/>
    <cellStyle name="常规 19 2 2 2 3 2 12" xfId="1907"/>
    <cellStyle name="常规 19 2 2 2 3 2 13" xfId="1919"/>
    <cellStyle name="常规 19 2 2 2 3 2 14" xfId="6711"/>
    <cellStyle name="常规 19 2 2 2 3 2 15" xfId="7010"/>
    <cellStyle name="常规 19 2 2 2 3 2 16" xfId="14009"/>
    <cellStyle name="常规 19 2 2 2 3 2 17" xfId="14013"/>
    <cellStyle name="常规 19 2 2 2 3 2 2" xfId="12986"/>
    <cellStyle name="常规 19 2 2 2 3 2 2 2" xfId="4022"/>
    <cellStyle name="常规 19 2 2 2 3 2 2 3" xfId="14017"/>
    <cellStyle name="常规 19 2 2 2 3 2 2 4" xfId="14019"/>
    <cellStyle name="常规 19 2 2 2 3 2 2 5" xfId="14021"/>
    <cellStyle name="常规 19 2 2 2 3 2 2 6" xfId="14024"/>
    <cellStyle name="常规 19 2 2 2 3 2 2 7" xfId="14026"/>
    <cellStyle name="常规 19 2 2 2 3 2 2 8" xfId="14027"/>
    <cellStyle name="常规 19 2 2 2 3 2 3" xfId="12993"/>
    <cellStyle name="常规 19 2 2 2 3 2 3 2" xfId="13603"/>
    <cellStyle name="常规 19 2 2 2 3 2 3 3" xfId="13645"/>
    <cellStyle name="常规 19 2 2 2 3 2 3 4" xfId="13672"/>
    <cellStyle name="常规 19 2 2 2 3 2 3 5" xfId="13706"/>
    <cellStyle name="常规 19 2 2 2 3 2 3 6" xfId="14030"/>
    <cellStyle name="常规 19 2 2 2 3 2 3 7" xfId="14036"/>
    <cellStyle name="常规 19 2 2 2 3 2 3 8" xfId="14039"/>
    <cellStyle name="常规 19 2 2 2 3 2 4" xfId="4270"/>
    <cellStyle name="常规 19 2 2 2 3 2 4 2" xfId="4280"/>
    <cellStyle name="常规 19 2 2 2 3 2 4 3" xfId="4068"/>
    <cellStyle name="常规 19 2 2 2 3 2 4 4" xfId="4082"/>
    <cellStyle name="常规 19 2 2 2 3 2 4 5" xfId="2938"/>
    <cellStyle name="常规 19 2 2 2 3 2 4 6" xfId="14043"/>
    <cellStyle name="常规 19 2 2 2 3 2 4 7" xfId="14046"/>
    <cellStyle name="常规 19 2 2 2 3 2 4 8" xfId="14049"/>
    <cellStyle name="常规 19 2 2 2 3 2 5" xfId="4288"/>
    <cellStyle name="常规 19 2 2 2 3 2 5 2" xfId="13831"/>
    <cellStyle name="常规 19 2 2 2 3 2 5 3" xfId="13838"/>
    <cellStyle name="常规 19 2 2 2 3 2 5 4" xfId="8582"/>
    <cellStyle name="常规 19 2 2 2 3 2 5 5" xfId="8603"/>
    <cellStyle name="常规 19 2 2 2 3 2 5 6" xfId="8641"/>
    <cellStyle name="常规 19 2 2 2 3 2 5 7" xfId="14052"/>
    <cellStyle name="常规 19 2 2 2 3 2 5 8" xfId="10349"/>
    <cellStyle name="常规 19 2 2 2 3 2 6" xfId="13001"/>
    <cellStyle name="常规 19 2 2 2 3 2 6 2" xfId="13859"/>
    <cellStyle name="常规 19 2 2 2 3 2 6 3" xfId="13866"/>
    <cellStyle name="常规 19 2 2 2 3 2 6 4" xfId="10390"/>
    <cellStyle name="常规 19 2 2 2 3 2 6 5" xfId="10398"/>
    <cellStyle name="常规 19 2 2 2 3 2 6 6" xfId="14057"/>
    <cellStyle name="常规 19 2 2 2 3 2 6 7" xfId="14060"/>
    <cellStyle name="常规 19 2 2 2 3 2 6 8" xfId="14063"/>
    <cellStyle name="常规 19 2 2 2 3 2 7" xfId="6652"/>
    <cellStyle name="常规 19 2 2 2 3 2 7 2" xfId="6942"/>
    <cellStyle name="常规 19 2 2 2 3 2 7 3" xfId="6952"/>
    <cellStyle name="常规 19 2 2 2 3 2 7 4" xfId="10406"/>
    <cellStyle name="常规 19 2 2 2 3 2 7 5" xfId="10414"/>
    <cellStyle name="常规 19 2 2 2 3 2 7 6" xfId="14069"/>
    <cellStyle name="常规 19 2 2 2 3 2 7 7" xfId="9441"/>
    <cellStyle name="常规 19 2 2 2 3 2 7 8" xfId="9468"/>
    <cellStyle name="常规 19 2 2 2 3 2 8" xfId="6664"/>
    <cellStyle name="常规 19 2 2 2 3 2 8 2" xfId="13908"/>
    <cellStyle name="常规 19 2 2 2 3 2 8 3" xfId="13915"/>
    <cellStyle name="常规 19 2 2 2 3 2 8 4" xfId="13382"/>
    <cellStyle name="常规 19 2 2 2 3 2 8 5" xfId="13396"/>
    <cellStyle name="常规 19 2 2 2 3 2 8 6" xfId="936"/>
    <cellStyle name="常规 19 2 2 2 3 2 8 7" xfId="1028"/>
    <cellStyle name="常规 19 2 2 2 3 2 8 8" xfId="1061"/>
    <cellStyle name="常规 19 2 2 2 3 2 9" xfId="14074"/>
    <cellStyle name="常规 19 2 2 2 3 2 9 2" xfId="13938"/>
    <cellStyle name="常规 19 2 2 2 3 2 9 3" xfId="5975"/>
    <cellStyle name="常规 19 2 2 2 3 2 9 4" xfId="5987"/>
    <cellStyle name="常规 19 2 2 2 3 2 9 5" xfId="6505"/>
    <cellStyle name="常规 19 2 2 2 3 2 9 6" xfId="1110"/>
    <cellStyle name="常规 19 2 2 2 3 2 9 7" xfId="1129"/>
    <cellStyle name="常规 19 2 2 2 3 2 9 8" xfId="1162"/>
    <cellStyle name="常规 19 2 2 2 3 3" xfId="7488"/>
    <cellStyle name="常规 19 2 2 2 3 3 2" xfId="14077"/>
    <cellStyle name="常规 19 2 2 2 3 3 3" xfId="14080"/>
    <cellStyle name="常规 19 2 2 2 3 3 4" xfId="4294"/>
    <cellStyle name="常规 19 2 2 2 3 3 5" xfId="2952"/>
    <cellStyle name="常规 19 2 2 2 3 3 6" xfId="14085"/>
    <cellStyle name="常规 19 2 2 2 3 3 7" xfId="6958"/>
    <cellStyle name="常规 19 2 2 2 3 3 8" xfId="6964"/>
    <cellStyle name="常规 19 2 2 2 3 4" xfId="8161"/>
    <cellStyle name="常规 19 2 2 2 3 4 2" xfId="14088"/>
    <cellStyle name="常规 19 2 2 2 3 4 3" xfId="14091"/>
    <cellStyle name="常规 19 2 2 2 3 4 4" xfId="14097"/>
    <cellStyle name="常规 19 2 2 2 3 4 5" xfId="14102"/>
    <cellStyle name="常规 19 2 2 2 3 4 6" xfId="14107"/>
    <cellStyle name="常规 19 2 2 2 3 4 7" xfId="7339"/>
    <cellStyle name="常规 19 2 2 2 3 4 8" xfId="7348"/>
    <cellStyle name="常规 19 2 2 2 3 5" xfId="8166"/>
    <cellStyle name="常规 19 2 2 2 3 5 2" xfId="14111"/>
    <cellStyle name="常规 19 2 2 2 3 5 3" xfId="14113"/>
    <cellStyle name="常规 19 2 2 2 3 5 4" xfId="14119"/>
    <cellStyle name="常规 19 2 2 2 3 5 5" xfId="14126"/>
    <cellStyle name="常规 19 2 2 2 3 5 6" xfId="14132"/>
    <cellStyle name="常规 19 2 2 2 3 5 7" xfId="14138"/>
    <cellStyle name="常规 19 2 2 2 3 5 8" xfId="10425"/>
    <cellStyle name="常规 19 2 2 2 3 6" xfId="10607"/>
    <cellStyle name="常规 19 2 2 2 3 6 2" xfId="14141"/>
    <cellStyle name="常规 19 2 2 2 3 6 3" xfId="14142"/>
    <cellStyle name="常规 19 2 2 2 3 6 4" xfId="14148"/>
    <cellStyle name="常规 19 2 2 2 3 6 5" xfId="14154"/>
    <cellStyle name="常规 19 2 2 2 3 6 6" xfId="14159"/>
    <cellStyle name="常规 19 2 2 2 3 6 7" xfId="14164"/>
    <cellStyle name="常规 19 2 2 2 3 6 8" xfId="14169"/>
    <cellStyle name="常规 19 2 2 2 3 7" xfId="10612"/>
    <cellStyle name="常规 19 2 2 2 3 7 2" xfId="14172"/>
    <cellStyle name="常规 19 2 2 2 3 7 3" xfId="14173"/>
    <cellStyle name="常规 19 2 2 2 3 7 4" xfId="14179"/>
    <cellStyle name="常规 19 2 2 2 3 7 5" xfId="14185"/>
    <cellStyle name="常规 19 2 2 2 3 7 6" xfId="14189"/>
    <cellStyle name="常规 19 2 2 2 3 7 7" xfId="14193"/>
    <cellStyle name="常规 19 2 2 2 3 7 8" xfId="14197"/>
    <cellStyle name="常规 19 2 2 2 3 8" xfId="12199"/>
    <cellStyle name="常规 19 2 2 2 3 8 2" xfId="12203"/>
    <cellStyle name="常规 19 2 2 2 3 8 3" xfId="12208"/>
    <cellStyle name="常规 19 2 2 2 3 8 4" xfId="14204"/>
    <cellStyle name="常规 19 2 2 2 3 8 5" xfId="14210"/>
    <cellStyle name="常规 19 2 2 2 3 8 6" xfId="14215"/>
    <cellStyle name="常规 19 2 2 2 3 8 7" xfId="3543"/>
    <cellStyle name="常规 19 2 2 2 3 8 8" xfId="3559"/>
    <cellStyle name="常规 19 2 2 2 3 9" xfId="12211"/>
    <cellStyle name="常规 19 2 2 2 3 9 2" xfId="14219"/>
    <cellStyle name="常规 19 2 2 2 3 9 3" xfId="14223"/>
    <cellStyle name="常规 19 2 2 2 3 9 4" xfId="14230"/>
    <cellStyle name="常规 19 2 2 2 3 9 5" xfId="14237"/>
    <cellStyle name="常规 19 2 2 2 3 9 6" xfId="14243"/>
    <cellStyle name="常规 19 2 2 2 3 9 7" xfId="4635"/>
    <cellStyle name="常规 19 2 2 2 3 9 8" xfId="4611"/>
    <cellStyle name="常规 19 2 2 2 4" xfId="7495"/>
    <cellStyle name="常规 19 2 2 2 4 10" xfId="14246"/>
    <cellStyle name="常规 19 2 2 2 4 10 2" xfId="14247"/>
    <cellStyle name="常规 19 2 2 2 4 10 3" xfId="14248"/>
    <cellStyle name="常规 19 2 2 2 4 10 4" xfId="14249"/>
    <cellStyle name="常规 19 2 2 2 4 10 5" xfId="14250"/>
    <cellStyle name="常规 19 2 2 2 4 10 6" xfId="14251"/>
    <cellStyle name="常规 19 2 2 2 4 10 7" xfId="14252"/>
    <cellStyle name="常规 19 2 2 2 4 10 8" xfId="14255"/>
    <cellStyle name="常规 19 2 2 2 4 11" xfId="14258"/>
    <cellStyle name="常规 19 2 2 2 4 11 2" xfId="14259"/>
    <cellStyle name="常规 19 2 2 2 4 11 3" xfId="14260"/>
    <cellStyle name="常规 19 2 2 2 4 11 4" xfId="479"/>
    <cellStyle name="常规 19 2 2 2 4 11 5" xfId="558"/>
    <cellStyle name="常规 19 2 2 2 4 11 6" xfId="14261"/>
    <cellStyle name="常规 19 2 2 2 4 11 7" xfId="14263"/>
    <cellStyle name="常规 19 2 2 2 4 11 8" xfId="14265"/>
    <cellStyle name="常规 19 2 2 2 4 12" xfId="13089"/>
    <cellStyle name="常规 19 2 2 2 4 12 2" xfId="14268"/>
    <cellStyle name="常规 19 2 2 2 4 12 3" xfId="14269"/>
    <cellStyle name="常规 19 2 2 2 4 12 4" xfId="484"/>
    <cellStyle name="常规 19 2 2 2 4 12 5" xfId="570"/>
    <cellStyle name="常规 19 2 2 2 4 12 6" xfId="14270"/>
    <cellStyle name="常规 19 2 2 2 4 12 7" xfId="14271"/>
    <cellStyle name="常规 19 2 2 2 4 13" xfId="9530"/>
    <cellStyle name="常规 19 2 2 2 4 14" xfId="13092"/>
    <cellStyle name="常规 19 2 2 2 4 15" xfId="13097"/>
    <cellStyle name="常规 19 2 2 2 4 16" xfId="13101"/>
    <cellStyle name="常规 19 2 2 2 4 17" xfId="13104"/>
    <cellStyle name="常规 19 2 2 2 4 18" xfId="10863"/>
    <cellStyle name="常规 19 2 2 2 4 19" xfId="10868"/>
    <cellStyle name="常规 19 2 2 2 4 2" xfId="14272"/>
    <cellStyle name="常规 19 2 2 2 4 2 10" xfId="3804"/>
    <cellStyle name="常规 19 2 2 2 4 2 10 2" xfId="3851"/>
    <cellStyle name="常规 19 2 2 2 4 2 10 3" xfId="3097"/>
    <cellStyle name="常规 19 2 2 2 4 2 10 4" xfId="9050"/>
    <cellStyle name="常规 19 2 2 2 4 2 10 5" xfId="9064"/>
    <cellStyle name="常规 19 2 2 2 4 2 10 6" xfId="9092"/>
    <cellStyle name="常规 19 2 2 2 4 2 10 7" xfId="9096"/>
    <cellStyle name="常规 19 2 2 2 4 2 11" xfId="4570"/>
    <cellStyle name="常规 19 2 2 2 4 2 12" xfId="14274"/>
    <cellStyle name="常规 19 2 2 2 4 2 13" xfId="325"/>
    <cellStyle name="常规 19 2 2 2 4 2 14" xfId="284"/>
    <cellStyle name="常规 19 2 2 2 4 2 15" xfId="2409"/>
    <cellStyle name="常规 19 2 2 2 4 2 16" xfId="14275"/>
    <cellStyle name="常规 19 2 2 2 4 2 17" xfId="6022"/>
    <cellStyle name="常规 19 2 2 2 4 2 2" xfId="14279"/>
    <cellStyle name="常规 19 2 2 2 4 2 2 2" xfId="14281"/>
    <cellStyle name="常规 19 2 2 2 4 2 2 3" xfId="12227"/>
    <cellStyle name="常规 19 2 2 2 4 2 2 4" xfId="12234"/>
    <cellStyle name="常规 19 2 2 2 4 2 2 5" xfId="12240"/>
    <cellStyle name="常规 19 2 2 2 4 2 2 6" xfId="12248"/>
    <cellStyle name="常规 19 2 2 2 4 2 2 7" xfId="12257"/>
    <cellStyle name="常规 19 2 2 2 4 2 2 8" xfId="12079"/>
    <cellStyle name="常规 19 2 2 2 4 2 3" xfId="14285"/>
    <cellStyle name="常规 19 2 2 2 4 2 3 2" xfId="14292"/>
    <cellStyle name="常规 19 2 2 2 4 2 3 3" xfId="14299"/>
    <cellStyle name="常规 19 2 2 2 4 2 3 4" xfId="14306"/>
    <cellStyle name="常规 19 2 2 2 4 2 3 5" xfId="14312"/>
    <cellStyle name="常规 19 2 2 2 4 2 3 6" xfId="14317"/>
    <cellStyle name="常规 19 2 2 2 4 2 3 7" xfId="14320"/>
    <cellStyle name="常规 19 2 2 2 4 2 3 8" xfId="14323"/>
    <cellStyle name="常规 19 2 2 2 4 2 4" xfId="2700"/>
    <cellStyle name="常规 19 2 2 2 4 2 4 2" xfId="1879"/>
    <cellStyle name="常规 19 2 2 2 4 2 4 3" xfId="1924"/>
    <cellStyle name="常规 19 2 2 2 4 2 4 4" xfId="14329"/>
    <cellStyle name="常规 19 2 2 2 4 2 4 5" xfId="14335"/>
    <cellStyle name="常规 19 2 2 2 4 2 4 6" xfId="14338"/>
    <cellStyle name="常规 19 2 2 2 4 2 4 7" xfId="14342"/>
    <cellStyle name="常规 19 2 2 2 4 2 4 8" xfId="14345"/>
    <cellStyle name="常规 19 2 2 2 4 2 5" xfId="2720"/>
    <cellStyle name="常规 19 2 2 2 4 2 5 2" xfId="14350"/>
    <cellStyle name="常规 19 2 2 2 4 2 5 3" xfId="14357"/>
    <cellStyle name="常规 19 2 2 2 4 2 5 4" xfId="10523"/>
    <cellStyle name="常规 19 2 2 2 4 2 5 5" xfId="10538"/>
    <cellStyle name="常规 19 2 2 2 4 2 5 6" xfId="14360"/>
    <cellStyle name="常规 19 2 2 2 4 2 5 7" xfId="11702"/>
    <cellStyle name="常规 19 2 2 2 4 2 5 8" xfId="11708"/>
    <cellStyle name="常规 19 2 2 2 4 2 6" xfId="14365"/>
    <cellStyle name="常规 19 2 2 2 4 2 6 2" xfId="14372"/>
    <cellStyle name="常规 19 2 2 2 4 2 6 3" xfId="14377"/>
    <cellStyle name="常规 19 2 2 2 4 2 6 4" xfId="10552"/>
    <cellStyle name="常规 19 2 2 2 4 2 6 5" xfId="10561"/>
    <cellStyle name="常规 19 2 2 2 4 2 6 6" xfId="14380"/>
    <cellStyle name="常规 19 2 2 2 4 2 6 7" xfId="11712"/>
    <cellStyle name="常规 19 2 2 2 4 2 6 8" xfId="11714"/>
    <cellStyle name="常规 19 2 2 2 4 2 7" xfId="6971"/>
    <cellStyle name="常规 19 2 2 2 4 2 7 2" xfId="14386"/>
    <cellStyle name="常规 19 2 2 2 4 2 7 3" xfId="14392"/>
    <cellStyle name="常规 19 2 2 2 4 2 7 4" xfId="14400"/>
    <cellStyle name="常规 19 2 2 2 4 2 7 5" xfId="14405"/>
    <cellStyle name="常规 19 2 2 2 4 2 7 6" xfId="14408"/>
    <cellStyle name="常规 19 2 2 2 4 2 7 7" xfId="14411"/>
    <cellStyle name="常规 19 2 2 2 4 2 7 8" xfId="14412"/>
    <cellStyle name="常规 19 2 2 2 4 2 8" xfId="1319"/>
    <cellStyle name="常规 19 2 2 2 4 2 8 2" xfId="14416"/>
    <cellStyle name="常规 19 2 2 2 4 2 8 3" xfId="14422"/>
    <cellStyle name="常规 19 2 2 2 4 2 8 4" xfId="14428"/>
    <cellStyle name="常规 19 2 2 2 4 2 8 5" xfId="14433"/>
    <cellStyle name="常规 19 2 2 2 4 2 8 6" xfId="14436"/>
    <cellStyle name="常规 19 2 2 2 4 2 8 7" xfId="14439"/>
    <cellStyle name="常规 19 2 2 2 4 2 8 8" xfId="14441"/>
    <cellStyle name="常规 19 2 2 2 4 2 9" xfId="14446"/>
    <cellStyle name="常规 19 2 2 2 4 2 9 2" xfId="1361"/>
    <cellStyle name="常规 19 2 2 2 4 2 9 3" xfId="1372"/>
    <cellStyle name="常规 19 2 2 2 4 2 9 4" xfId="6047"/>
    <cellStyle name="常规 19 2 2 2 4 2 9 5" xfId="255"/>
    <cellStyle name="常规 19 2 2 2 4 2 9 6" xfId="7937"/>
    <cellStyle name="常规 19 2 2 2 4 2 9 7" xfId="10141"/>
    <cellStyle name="常规 19 2 2 2 4 2 9 8" xfId="10151"/>
    <cellStyle name="常规 19 2 2 2 4 3" xfId="14449"/>
    <cellStyle name="常规 19 2 2 2 4 3 2" xfId="14452"/>
    <cellStyle name="常规 19 2 2 2 4 3 3" xfId="14455"/>
    <cellStyle name="常规 19 2 2 2 4 3 4" xfId="4155"/>
    <cellStyle name="常规 19 2 2 2 4 3 5" xfId="4503"/>
    <cellStyle name="常规 19 2 2 2 4 3 6" xfId="14461"/>
    <cellStyle name="常规 19 2 2 2 4 3 7" xfId="14464"/>
    <cellStyle name="常规 19 2 2 2 4 3 8" xfId="14467"/>
    <cellStyle name="常规 19 2 2 2 4 4" xfId="14470"/>
    <cellStyle name="常规 19 2 2 2 4 4 2" xfId="14471"/>
    <cellStyle name="常规 19 2 2 2 4 4 3" xfId="14473"/>
    <cellStyle name="常规 19 2 2 2 4 4 4" xfId="14477"/>
    <cellStyle name="常规 19 2 2 2 4 4 5" xfId="14481"/>
    <cellStyle name="常规 19 2 2 2 4 4 6" xfId="14484"/>
    <cellStyle name="常规 19 2 2 2 4 4 7" xfId="14487"/>
    <cellStyle name="常规 19 2 2 2 4 4 8" xfId="8836"/>
    <cellStyle name="常规 19 2 2 2 4 5" xfId="14490"/>
    <cellStyle name="常规 19 2 2 2 4 5 2" xfId="14491"/>
    <cellStyle name="常规 19 2 2 2 4 5 3" xfId="14494"/>
    <cellStyle name="常规 19 2 2 2 4 5 4" xfId="14499"/>
    <cellStyle name="常规 19 2 2 2 4 5 5" xfId="14503"/>
    <cellStyle name="常规 19 2 2 2 4 5 6" xfId="14506"/>
    <cellStyle name="常规 19 2 2 2 4 5 7" xfId="12262"/>
    <cellStyle name="常规 19 2 2 2 4 5 8" xfId="8895"/>
    <cellStyle name="常规 19 2 2 2 4 6" xfId="14509"/>
    <cellStyle name="常规 19 2 2 2 4 6 2" xfId="14510"/>
    <cellStyle name="常规 19 2 2 2 4 6 3" xfId="14513"/>
    <cellStyle name="常规 19 2 2 2 4 6 4" xfId="14518"/>
    <cellStyle name="常规 19 2 2 2 4 6 5" xfId="14522"/>
    <cellStyle name="常规 19 2 2 2 4 6 6" xfId="14525"/>
    <cellStyle name="常规 19 2 2 2 4 6 7" xfId="12273"/>
    <cellStyle name="常规 19 2 2 2 4 6 8" xfId="12283"/>
    <cellStyle name="常规 19 2 2 2 4 7" xfId="3671"/>
    <cellStyle name="常规 19 2 2 2 4 7 2" xfId="14528"/>
    <cellStyle name="常规 19 2 2 2 4 7 3" xfId="14532"/>
    <cellStyle name="常规 19 2 2 2 4 7 4" xfId="688"/>
    <cellStyle name="常规 19 2 2 2 4 7 5" xfId="2511"/>
    <cellStyle name="常规 19 2 2 2 4 7 6" xfId="2531"/>
    <cellStyle name="常规 19 2 2 2 4 7 7" xfId="3594"/>
    <cellStyle name="常规 19 2 2 2 4 7 8" xfId="10729"/>
    <cellStyle name="常规 19 2 2 2 4 8" xfId="3758"/>
    <cellStyle name="常规 19 2 2 2 4 8 2" xfId="14536"/>
    <cellStyle name="常规 19 2 2 2 4 8 3" xfId="14539"/>
    <cellStyle name="常规 19 2 2 2 4 8 4" xfId="9420"/>
    <cellStyle name="常规 19 2 2 2 4 8 5" xfId="9804"/>
    <cellStyle name="常规 19 2 2 2 4 8 6" xfId="14543"/>
    <cellStyle name="常规 19 2 2 2 4 8 7" xfId="4650"/>
    <cellStyle name="常规 19 2 2 2 4 8 8" xfId="4663"/>
    <cellStyle name="常规 19 2 2 2 4 9" xfId="3850"/>
    <cellStyle name="常规 19 2 2 2 4 9 2" xfId="14547"/>
    <cellStyle name="常规 19 2 2 2 4 9 3" xfId="10334"/>
    <cellStyle name="常规 19 2 2 2 4 9 4" xfId="10340"/>
    <cellStyle name="常规 19 2 2 2 4 9 5" xfId="14548"/>
    <cellStyle name="常规 19 2 2 2 4 9 6" xfId="14551"/>
    <cellStyle name="常规 19 2 2 2 4 9 7" xfId="14554"/>
    <cellStyle name="常规 19 2 2 2 4 9 8" xfId="14557"/>
    <cellStyle name="常规 19 2 2 2 5" xfId="14560"/>
    <cellStyle name="常规 19 2 2 2 5 10" xfId="14562"/>
    <cellStyle name="常规 19 2 2 2 5 10 2" xfId="14567"/>
    <cellStyle name="常规 19 2 2 2 5 10 3" xfId="14571"/>
    <cellStyle name="常规 19 2 2 2 5 10 4" xfId="14572"/>
    <cellStyle name="常规 19 2 2 2 5 10 5" xfId="14573"/>
    <cellStyle name="常规 19 2 2 2 5 10 6" xfId="14575"/>
    <cellStyle name="常规 19 2 2 2 5 10 7" xfId="14577"/>
    <cellStyle name="常规 19 2 2 2 5 11" xfId="14581"/>
    <cellStyle name="常规 19 2 2 2 5 12" xfId="10503"/>
    <cellStyle name="常规 19 2 2 2 5 13" xfId="10509"/>
    <cellStyle name="常规 19 2 2 2 5 14" xfId="14584"/>
    <cellStyle name="常规 19 2 2 2 5 15" xfId="11690"/>
    <cellStyle name="常规 19 2 2 2 5 16" xfId="11692"/>
    <cellStyle name="常规 19 2 2 2 5 17" xfId="7873"/>
    <cellStyle name="常规 19 2 2 2 5 2" xfId="398"/>
    <cellStyle name="常规 19 2 2 2 5 2 2" xfId="7075"/>
    <cellStyle name="常规 19 2 2 2 5 2 3" xfId="14585"/>
    <cellStyle name="常规 19 2 2 2 5 2 4" xfId="14589"/>
    <cellStyle name="常规 19 2 2 2 5 2 5" xfId="14594"/>
    <cellStyle name="常规 19 2 2 2 5 2 6" xfId="14600"/>
    <cellStyle name="常规 19 2 2 2 5 2 7" xfId="4940"/>
    <cellStyle name="常规 19 2 2 2 5 2 8" xfId="1420"/>
    <cellStyle name="常规 19 2 2 2 5 3" xfId="417"/>
    <cellStyle name="常规 19 2 2 2 5 3 2" xfId="7413"/>
    <cellStyle name="常规 19 2 2 2 5 3 3" xfId="11561"/>
    <cellStyle name="常规 19 2 2 2 5 3 4" xfId="14605"/>
    <cellStyle name="常规 19 2 2 2 5 3 5" xfId="5392"/>
    <cellStyle name="常规 19 2 2 2 5 3 6" xfId="5397"/>
    <cellStyle name="常规 19 2 2 2 5 3 7" xfId="5171"/>
    <cellStyle name="常规 19 2 2 2 5 3 8" xfId="1452"/>
    <cellStyle name="常规 19 2 2 2 5 4" xfId="439"/>
    <cellStyle name="常规 19 2 2 2 5 4 2" xfId="7882"/>
    <cellStyle name="常规 19 2 2 2 5 4 3" xfId="14608"/>
    <cellStyle name="常规 19 2 2 2 5 4 4" xfId="14609"/>
    <cellStyle name="常规 19 2 2 2 5 4 5" xfId="14610"/>
    <cellStyle name="常规 19 2 2 2 5 4 6" xfId="14611"/>
    <cellStyle name="常规 19 2 2 2 5 4 7" xfId="5196"/>
    <cellStyle name="常规 19 2 2 2 5 4 8" xfId="5199"/>
    <cellStyle name="常规 19 2 2 2 5 5" xfId="14613"/>
    <cellStyle name="常规 19 2 2 2 5 5 2" xfId="7548"/>
    <cellStyle name="常规 19 2 2 2 5 5 3" xfId="7562"/>
    <cellStyle name="常规 19 2 2 2 5 5 4" xfId="8192"/>
    <cellStyle name="常规 19 2 2 2 5 5 5" xfId="8208"/>
    <cellStyle name="常规 19 2 2 2 5 5 6" xfId="12752"/>
    <cellStyle name="常规 19 2 2 2 5 5 7" xfId="5226"/>
    <cellStyle name="常规 19 2 2 2 5 5 8" xfId="5245"/>
    <cellStyle name="常规 19 2 2 2 5 6" xfId="14615"/>
    <cellStyle name="常规 19 2 2 2 5 6 2" xfId="7599"/>
    <cellStyle name="常规 19 2 2 2 5 6 3" xfId="730"/>
    <cellStyle name="常规 19 2 2 2 5 6 4" xfId="772"/>
    <cellStyle name="常规 19 2 2 2 5 6 5" xfId="14616"/>
    <cellStyle name="常规 19 2 2 2 5 6 6" xfId="14618"/>
    <cellStyle name="常规 19 2 2 2 5 6 7" xfId="3624"/>
    <cellStyle name="常规 19 2 2 2 5 6 8" xfId="3634"/>
    <cellStyle name="常规 19 2 2 2 5 7" xfId="14619"/>
    <cellStyle name="常规 19 2 2 2 5 7 2" xfId="7621"/>
    <cellStyle name="常规 19 2 2 2 5 7 3" xfId="807"/>
    <cellStyle name="常规 19 2 2 2 5 7 4" xfId="827"/>
    <cellStyle name="常规 19 2 2 2 5 7 5" xfId="2597"/>
    <cellStyle name="常规 19 2 2 2 5 7 6" xfId="14620"/>
    <cellStyle name="常规 19 2 2 2 5 7 7" xfId="3651"/>
    <cellStyle name="常规 19 2 2 2 5 7 8" xfId="14621"/>
    <cellStyle name="常规 19 2 2 2 5 8" xfId="14622"/>
    <cellStyle name="常规 19 2 2 2 5 8 2" xfId="10105"/>
    <cellStyle name="常规 19 2 2 2 5 8 3" xfId="14624"/>
    <cellStyle name="常规 19 2 2 2 5 8 4" xfId="14627"/>
    <cellStyle name="常规 19 2 2 2 5 8 5" xfId="14632"/>
    <cellStyle name="常规 19 2 2 2 5 8 6" xfId="14637"/>
    <cellStyle name="常规 19 2 2 2 5 8 7" xfId="14640"/>
    <cellStyle name="常规 19 2 2 2 5 8 8" xfId="14642"/>
    <cellStyle name="常规 19 2 2 2 5 9" xfId="14644"/>
    <cellStyle name="常规 19 2 2 2 5 9 2" xfId="14646"/>
    <cellStyle name="常规 19 2 2 2 5 9 3" xfId="14648"/>
    <cellStyle name="常规 19 2 2 2 5 9 4" xfId="14651"/>
    <cellStyle name="常规 19 2 2 2 5 9 5" xfId="14654"/>
    <cellStyle name="常规 19 2 2 2 5 9 6" xfId="14657"/>
    <cellStyle name="常规 19 2 2 2 5 9 7" xfId="14658"/>
    <cellStyle name="常规 19 2 2 2 5 9 8" xfId="14659"/>
    <cellStyle name="常规 19 2 2 2 6" xfId="14660"/>
    <cellStyle name="常规 19 2 2 2 6 2" xfId="14661"/>
    <cellStyle name="常规 19 2 2 2 6 3" xfId="14662"/>
    <cellStyle name="常规 19 2 2 2 6 4" xfId="14663"/>
    <cellStyle name="常规 19 2 2 2 6 5" xfId="14664"/>
    <cellStyle name="常规 19 2 2 2 6 6" xfId="11620"/>
    <cellStyle name="常规 19 2 2 2 6 7" xfId="4168"/>
    <cellStyle name="常规 19 2 2 2 6 8" xfId="4211"/>
    <cellStyle name="常规 19 2 2 2 7" xfId="14665"/>
    <cellStyle name="常规 19 2 2 2 7 2" xfId="14666"/>
    <cellStyle name="常规 19 2 2 2 7 3" xfId="2322"/>
    <cellStyle name="常规 19 2 2 2 7 4" xfId="2327"/>
    <cellStyle name="常规 19 2 2 2 7 5" xfId="14668"/>
    <cellStyle name="常规 19 2 2 2 7 6" xfId="11625"/>
    <cellStyle name="常规 19 2 2 2 7 7" xfId="72"/>
    <cellStyle name="常规 19 2 2 2 7 8" xfId="1117"/>
    <cellStyle name="常规 19 2 2 2 8" xfId="9954"/>
    <cellStyle name="常规 19 2 2 2 8 2" xfId="9956"/>
    <cellStyle name="常规 19 2 2 2 8 3" xfId="8715"/>
    <cellStyle name="常规 19 2 2 2 8 4" xfId="8720"/>
    <cellStyle name="常规 19 2 2 2 8 5" xfId="9174"/>
    <cellStyle name="常规 19 2 2 2 8 6" xfId="9176"/>
    <cellStyle name="常规 19 2 2 2 8 7" xfId="1134"/>
    <cellStyle name="常规 19 2 2 2 8 8" xfId="1149"/>
    <cellStyle name="常规 19 2 2 2 9" xfId="9958"/>
    <cellStyle name="常规 19 2 2 2 9 2" xfId="14670"/>
    <cellStyle name="常规 19 2 2 2 9 3" xfId="8726"/>
    <cellStyle name="常规 19 2 2 2 9 4" xfId="8731"/>
    <cellStyle name="常规 19 2 2 2 9 5" xfId="9183"/>
    <cellStyle name="常规 19 2 2 2 9 6" xfId="9187"/>
    <cellStyle name="常规 19 2 2 2 9 7" xfId="9490"/>
    <cellStyle name="常规 19 2 2 2 9 8" xfId="3004"/>
    <cellStyle name="常规 19 2 2 20" xfId="13283"/>
    <cellStyle name="常规 19 2 2 21" xfId="10956"/>
    <cellStyle name="常规 19 2 2 22" xfId="10960"/>
    <cellStyle name="常规 19 2 2 23" xfId="13285"/>
    <cellStyle name="常规 19 2 2 3" xfId="11419"/>
    <cellStyle name="常规 19 2 2 3 10" xfId="14675"/>
    <cellStyle name="常规 19 2 2 3 10 2" xfId="14676"/>
    <cellStyle name="常规 19 2 2 3 10 3" xfId="14677"/>
    <cellStyle name="常规 19 2 2 3 10 4" xfId="14678"/>
    <cellStyle name="常规 19 2 2 3 10 5" xfId="14679"/>
    <cellStyle name="常规 19 2 2 3 10 6" xfId="14680"/>
    <cellStyle name="常规 19 2 2 3 10 7" xfId="14681"/>
    <cellStyle name="常规 19 2 2 3 10 8" xfId="14682"/>
    <cellStyle name="常规 19 2 2 3 11" xfId="12698"/>
    <cellStyle name="常规 19 2 2 3 11 2" xfId="12700"/>
    <cellStyle name="常规 19 2 2 3 11 3" xfId="12702"/>
    <cellStyle name="常规 19 2 2 3 11 4" xfId="14683"/>
    <cellStyle name="常规 19 2 2 3 11 5" xfId="14685"/>
    <cellStyle name="常规 19 2 2 3 11 6" xfId="14687"/>
    <cellStyle name="常规 19 2 2 3 11 7" xfId="10795"/>
    <cellStyle name="常规 19 2 2 3 11 8" xfId="10798"/>
    <cellStyle name="常规 19 2 2 3 12" xfId="12707"/>
    <cellStyle name="常规 19 2 2 3 12 2" xfId="12709"/>
    <cellStyle name="常规 19 2 2 3 12 3" xfId="12713"/>
    <cellStyle name="常规 19 2 2 3 12 4" xfId="12715"/>
    <cellStyle name="常规 19 2 2 3 12 5" xfId="14690"/>
    <cellStyle name="常规 19 2 2 3 12 6" xfId="14693"/>
    <cellStyle name="常规 19 2 2 3 12 7" xfId="14695"/>
    <cellStyle name="常规 19 2 2 3 12 8" xfId="14697"/>
    <cellStyle name="常规 19 2 2 3 13" xfId="12720"/>
    <cellStyle name="常规 19 2 2 3 13 2" xfId="14699"/>
    <cellStyle name="常规 19 2 2 3 13 3" xfId="14700"/>
    <cellStyle name="常规 19 2 2 3 13 4" xfId="14701"/>
    <cellStyle name="常规 19 2 2 3 13 5" xfId="14703"/>
    <cellStyle name="常规 19 2 2 3 13 6" xfId="14705"/>
    <cellStyle name="常规 19 2 2 3 13 7" xfId="14708"/>
    <cellStyle name="常规 19 2 2 3 14" xfId="10631"/>
    <cellStyle name="常规 19 2 2 3 15" xfId="10637"/>
    <cellStyle name="常规 19 2 2 3 16" xfId="14711"/>
    <cellStyle name="常规 19 2 2 3 17" xfId="1869"/>
    <cellStyle name="常规 19 2 2 3 18" xfId="1872"/>
    <cellStyle name="常规 19 2 2 3 19" xfId="14713"/>
    <cellStyle name="常规 19 2 2 3 2" xfId="11551"/>
    <cellStyle name="常规 19 2 2 3 2 10" xfId="14715"/>
    <cellStyle name="常规 19 2 2 3 2 10 2" xfId="7994"/>
    <cellStyle name="常规 19 2 2 3 2 10 3" xfId="12661"/>
    <cellStyle name="常规 19 2 2 3 2 10 4" xfId="12664"/>
    <cellStyle name="常规 19 2 2 3 2 10 5" xfId="12451"/>
    <cellStyle name="常规 19 2 2 3 2 10 6" xfId="12458"/>
    <cellStyle name="常规 19 2 2 3 2 10 7" xfId="12462"/>
    <cellStyle name="常规 19 2 2 3 2 10 8" xfId="14716"/>
    <cellStyle name="常规 19 2 2 3 2 11" xfId="14719"/>
    <cellStyle name="常规 19 2 2 3 2 11 2" xfId="6305"/>
    <cellStyle name="常规 19 2 2 3 2 11 3" xfId="6314"/>
    <cellStyle name="常规 19 2 2 3 2 11 4" xfId="14721"/>
    <cellStyle name="常规 19 2 2 3 2 11 5" xfId="14725"/>
    <cellStyle name="常规 19 2 2 3 2 11 6" xfId="14728"/>
    <cellStyle name="常规 19 2 2 3 2 11 7" xfId="14731"/>
    <cellStyle name="常规 19 2 2 3 2 11 8" xfId="14735"/>
    <cellStyle name="常规 19 2 2 3 2 12" xfId="14740"/>
    <cellStyle name="常规 19 2 2 3 2 12 2" xfId="6407"/>
    <cellStyle name="常规 19 2 2 3 2 12 3" xfId="6411"/>
    <cellStyle name="常规 19 2 2 3 2 12 4" xfId="10385"/>
    <cellStyle name="常规 19 2 2 3 2 12 5" xfId="8656"/>
    <cellStyle name="常规 19 2 2 3 2 12 6" xfId="8747"/>
    <cellStyle name="常规 19 2 2 3 2 12 7" xfId="8879"/>
    <cellStyle name="常规 19 2 2 3 2 13" xfId="14742"/>
    <cellStyle name="常规 19 2 2 3 2 14" xfId="6106"/>
    <cellStyle name="常规 19 2 2 3 2 15" xfId="246"/>
    <cellStyle name="常规 19 2 2 3 2 16" xfId="3151"/>
    <cellStyle name="常规 19 2 2 3 2 17" xfId="3975"/>
    <cellStyle name="常规 19 2 2 3 2 18" xfId="14743"/>
    <cellStyle name="常规 19 2 2 3 2 19" xfId="14744"/>
    <cellStyle name="常规 19 2 2 3 2 2" xfId="2733"/>
    <cellStyle name="常规 19 2 2 3 2 2 10" xfId="14746"/>
    <cellStyle name="常规 19 2 2 3 2 2 10 2" xfId="14319"/>
    <cellStyle name="常规 19 2 2 3 2 2 10 3" xfId="14322"/>
    <cellStyle name="常规 19 2 2 3 2 2 10 4" xfId="13006"/>
    <cellStyle name="常规 19 2 2 3 2 2 10 5" xfId="13019"/>
    <cellStyle name="常规 19 2 2 3 2 2 10 6" xfId="12350"/>
    <cellStyle name="常规 19 2 2 3 2 2 10 7" xfId="12358"/>
    <cellStyle name="常规 19 2 2 3 2 2 11" xfId="11754"/>
    <cellStyle name="常规 19 2 2 3 2 2 12" xfId="11699"/>
    <cellStyle name="常规 19 2 2 3 2 2 13" xfId="11710"/>
    <cellStyle name="常规 19 2 2 3 2 2 14" xfId="11716"/>
    <cellStyle name="常规 19 2 2 3 2 2 15" xfId="11544"/>
    <cellStyle name="常规 19 2 2 3 2 2 16" xfId="8707"/>
    <cellStyle name="常规 19 2 2 3 2 2 17" xfId="8711"/>
    <cellStyle name="常规 19 2 2 3 2 2 2" xfId="14747"/>
    <cellStyle name="常规 19 2 2 3 2 2 2 2" xfId="6011"/>
    <cellStyle name="常规 19 2 2 3 2 2 2 3" xfId="6016"/>
    <cellStyle name="常规 19 2 2 3 2 2 2 4" xfId="6553"/>
    <cellStyle name="常规 19 2 2 3 2 2 2 5" xfId="60"/>
    <cellStyle name="常规 19 2 2 3 2 2 2 6" xfId="6787"/>
    <cellStyle name="常规 19 2 2 3 2 2 2 7" xfId="2973"/>
    <cellStyle name="常规 19 2 2 3 2 2 2 8" xfId="2993"/>
    <cellStyle name="常规 19 2 2 3 2 2 3" xfId="14749"/>
    <cellStyle name="常规 19 2 2 3 2 2 3 2" xfId="2765"/>
    <cellStyle name="常规 19 2 2 3 2 2 3 3" xfId="6559"/>
    <cellStyle name="常规 19 2 2 3 2 2 3 4" xfId="6564"/>
    <cellStyle name="常规 19 2 2 3 2 2 3 5" xfId="9592"/>
    <cellStyle name="常规 19 2 2 3 2 2 3 6" xfId="5068"/>
    <cellStyle name="常规 19 2 2 3 2 2 3 7" xfId="3030"/>
    <cellStyle name="常规 19 2 2 3 2 2 3 8" xfId="3037"/>
    <cellStyle name="常规 19 2 2 3 2 2 4" xfId="14755"/>
    <cellStyle name="常规 19 2 2 3 2 2 4 2" xfId="6026"/>
    <cellStyle name="常规 19 2 2 3 2 2 4 3" xfId="14761"/>
    <cellStyle name="常规 19 2 2 3 2 2 4 4" xfId="14765"/>
    <cellStyle name="常规 19 2 2 3 2 2 4 5" xfId="9609"/>
    <cellStyle name="常规 19 2 2 3 2 2 4 6" xfId="9616"/>
    <cellStyle name="常规 19 2 2 3 2 2 4 7" xfId="1796"/>
    <cellStyle name="常规 19 2 2 3 2 2 4 8" xfId="1805"/>
    <cellStyle name="常规 19 2 2 3 2 2 5" xfId="14769"/>
    <cellStyle name="常规 19 2 2 3 2 2 5 2" xfId="14774"/>
    <cellStyle name="常规 19 2 2 3 2 2 5 3" xfId="14778"/>
    <cellStyle name="常规 19 2 2 3 2 2 5 4" xfId="9073"/>
    <cellStyle name="常规 19 2 2 3 2 2 5 5" xfId="144"/>
    <cellStyle name="常规 19 2 2 3 2 2 5 6" xfId="14784"/>
    <cellStyle name="常规 19 2 2 3 2 2 5 7" xfId="14789"/>
    <cellStyle name="常规 19 2 2 3 2 2 5 8" xfId="14793"/>
    <cellStyle name="常规 19 2 2 3 2 2 6" xfId="14291"/>
    <cellStyle name="常规 19 2 2 3 2 2 6 2" xfId="14798"/>
    <cellStyle name="常规 19 2 2 3 2 2 6 3" xfId="14803"/>
    <cellStyle name="常规 19 2 2 3 2 2 6 4" xfId="14807"/>
    <cellStyle name="常规 19 2 2 3 2 2 6 5" xfId="14812"/>
    <cellStyle name="常规 19 2 2 3 2 2 6 6" xfId="14818"/>
    <cellStyle name="常规 19 2 2 3 2 2 6 7" xfId="14822"/>
    <cellStyle name="常规 19 2 2 3 2 2 6 8" xfId="14826"/>
    <cellStyle name="常规 19 2 2 3 2 2 7" xfId="14298"/>
    <cellStyle name="常规 19 2 2 3 2 2 7 2" xfId="212"/>
    <cellStyle name="常规 19 2 2 3 2 2 7 3" xfId="163"/>
    <cellStyle name="常规 19 2 2 3 2 2 7 4" xfId="108"/>
    <cellStyle name="常规 19 2 2 3 2 2 7 5" xfId="226"/>
    <cellStyle name="常规 19 2 2 3 2 2 7 6" xfId="425"/>
    <cellStyle name="常规 19 2 2 3 2 2 7 7" xfId="444"/>
    <cellStyle name="常规 19 2 2 3 2 2 7 8" xfId="14830"/>
    <cellStyle name="常规 19 2 2 3 2 2 8" xfId="14305"/>
    <cellStyle name="常规 19 2 2 3 2 2 8 2" xfId="14835"/>
    <cellStyle name="常规 19 2 2 3 2 2 8 3" xfId="14838"/>
    <cellStyle name="常规 19 2 2 3 2 2 8 4" xfId="14841"/>
    <cellStyle name="常规 19 2 2 3 2 2 8 5" xfId="14845"/>
    <cellStyle name="常规 19 2 2 3 2 2 8 6" xfId="14850"/>
    <cellStyle name="常规 19 2 2 3 2 2 8 7" xfId="11578"/>
    <cellStyle name="常规 19 2 2 3 2 2 8 8" xfId="11583"/>
    <cellStyle name="常规 19 2 2 3 2 2 9" xfId="14311"/>
    <cellStyle name="常规 19 2 2 3 2 2 9 2" xfId="14854"/>
    <cellStyle name="常规 19 2 2 3 2 2 9 3" xfId="14857"/>
    <cellStyle name="常规 19 2 2 3 2 2 9 4" xfId="9795"/>
    <cellStyle name="常规 19 2 2 3 2 2 9 5" xfId="9800"/>
    <cellStyle name="常规 19 2 2 3 2 2 9 6" xfId="14861"/>
    <cellStyle name="常规 19 2 2 3 2 2 9 7" xfId="14863"/>
    <cellStyle name="常规 19 2 2 3 2 2 9 8" xfId="14865"/>
    <cellStyle name="常规 19 2 2 3 2 3" xfId="2126"/>
    <cellStyle name="常规 19 2 2 3 2 3 2" xfId="1286"/>
    <cellStyle name="常规 19 2 2 3 2 3 3" xfId="1628"/>
    <cellStyle name="常规 19 2 2 3 2 3 4" xfId="1785"/>
    <cellStyle name="常规 19 2 2 3 2 3 5" xfId="1833"/>
    <cellStyle name="常规 19 2 2 3 2 3 6" xfId="1880"/>
    <cellStyle name="常规 19 2 2 3 2 3 7" xfId="1925"/>
    <cellStyle name="常规 19 2 2 3 2 3 8" xfId="14328"/>
    <cellStyle name="常规 19 2 2 3 2 4" xfId="2132"/>
    <cellStyle name="常规 19 2 2 3 2 4 2" xfId="14867"/>
    <cellStyle name="常规 19 2 2 3 2 4 3" xfId="14868"/>
    <cellStyle name="常规 19 2 2 3 2 4 4" xfId="14874"/>
    <cellStyle name="常规 19 2 2 3 2 4 5" xfId="14879"/>
    <cellStyle name="常规 19 2 2 3 2 4 6" xfId="14349"/>
    <cellStyle name="常规 19 2 2 3 2 4 7" xfId="14356"/>
    <cellStyle name="常规 19 2 2 3 2 4 8" xfId="10522"/>
    <cellStyle name="常规 19 2 2 3 2 5" xfId="9740"/>
    <cellStyle name="常规 19 2 2 3 2 5 2" xfId="14882"/>
    <cellStyle name="常规 19 2 2 3 2 5 3" xfId="14883"/>
    <cellStyle name="常规 19 2 2 3 2 5 4" xfId="14888"/>
    <cellStyle name="常规 19 2 2 3 2 5 5" xfId="14893"/>
    <cellStyle name="常规 19 2 2 3 2 5 6" xfId="14371"/>
    <cellStyle name="常规 19 2 2 3 2 5 7" xfId="14376"/>
    <cellStyle name="常规 19 2 2 3 2 5 8" xfId="10551"/>
    <cellStyle name="常规 19 2 2 3 2 6" xfId="14896"/>
    <cellStyle name="常规 19 2 2 3 2 6 2" xfId="10758"/>
    <cellStyle name="常规 19 2 2 3 2 6 3" xfId="14897"/>
    <cellStyle name="常规 19 2 2 3 2 6 4" xfId="6818"/>
    <cellStyle name="常规 19 2 2 3 2 6 5" xfId="6825"/>
    <cellStyle name="常规 19 2 2 3 2 6 6" xfId="14385"/>
    <cellStyle name="常规 19 2 2 3 2 6 7" xfId="14391"/>
    <cellStyle name="常规 19 2 2 3 2 6 8" xfId="14399"/>
    <cellStyle name="常规 19 2 2 3 2 7" xfId="14900"/>
    <cellStyle name="常规 19 2 2 3 2 7 2" xfId="14901"/>
    <cellStyle name="常规 19 2 2 3 2 7 3" xfId="14905"/>
    <cellStyle name="常规 19 2 2 3 2 7 4" xfId="14912"/>
    <cellStyle name="常规 19 2 2 3 2 7 5" xfId="14919"/>
    <cellStyle name="常规 19 2 2 3 2 7 6" xfId="14415"/>
    <cellStyle name="常规 19 2 2 3 2 7 7" xfId="14421"/>
    <cellStyle name="常规 19 2 2 3 2 7 8" xfId="14427"/>
    <cellStyle name="常规 19 2 2 3 2 8" xfId="14922"/>
    <cellStyle name="常规 19 2 2 3 2 8 2" xfId="14923"/>
    <cellStyle name="常规 19 2 2 3 2 8 3" xfId="14928"/>
    <cellStyle name="常规 19 2 2 3 2 8 4" xfId="7084"/>
    <cellStyle name="常规 19 2 2 3 2 8 5" xfId="7108"/>
    <cellStyle name="常规 19 2 2 3 2 8 6" xfId="1362"/>
    <cellStyle name="常规 19 2 2 3 2 8 7" xfId="1373"/>
    <cellStyle name="常规 19 2 2 3 2 8 8" xfId="6048"/>
    <cellStyle name="常规 19 2 2 3 2 9" xfId="14931"/>
    <cellStyle name="常规 19 2 2 3 2 9 2" xfId="14932"/>
    <cellStyle name="常规 19 2 2 3 2 9 3" xfId="763"/>
    <cellStyle name="常规 19 2 2 3 2 9 4" xfId="2559"/>
    <cellStyle name="常规 19 2 2 3 2 9 5" xfId="7151"/>
    <cellStyle name="常规 19 2 2 3 2 9 6" xfId="1203"/>
    <cellStyle name="常规 19 2 2 3 2 9 7" xfId="2822"/>
    <cellStyle name="常规 19 2 2 3 2 9 8" xfId="6059"/>
    <cellStyle name="常规 19 2 2 3 20" xfId="10636"/>
    <cellStyle name="常规 19 2 2 3 3" xfId="7501"/>
    <cellStyle name="常规 19 2 2 3 3 10" xfId="14934"/>
    <cellStyle name="常规 19 2 2 3 3 10 2" xfId="14935"/>
    <cellStyle name="常规 19 2 2 3 3 10 3" xfId="14936"/>
    <cellStyle name="常规 19 2 2 3 3 10 4" xfId="14937"/>
    <cellStyle name="常规 19 2 2 3 3 10 5" xfId="14938"/>
    <cellStyle name="常规 19 2 2 3 3 10 6" xfId="14940"/>
    <cellStyle name="常规 19 2 2 3 3 10 7" xfId="14942"/>
    <cellStyle name="常规 19 2 2 3 3 11" xfId="12737"/>
    <cellStyle name="常规 19 2 2 3 3 12" xfId="12134"/>
    <cellStyle name="常规 19 2 2 3 3 13" xfId="14944"/>
    <cellStyle name="常规 19 2 2 3 3 14" xfId="10895"/>
    <cellStyle name="常规 19 2 2 3 3 15" xfId="10905"/>
    <cellStyle name="常规 19 2 2 3 3 16" xfId="10917"/>
    <cellStyle name="常规 19 2 2 3 3 17" xfId="14948"/>
    <cellStyle name="常规 19 2 2 3 3 2" xfId="14954"/>
    <cellStyle name="常规 19 2 2 3 3 2 2" xfId="14957"/>
    <cellStyle name="常规 19 2 2 3 3 2 3" xfId="9755"/>
    <cellStyle name="常规 19 2 2 3 3 2 4" xfId="9760"/>
    <cellStyle name="常规 19 2 2 3 3 2 5" xfId="14959"/>
    <cellStyle name="常规 19 2 2 3 3 2 6" xfId="14962"/>
    <cellStyle name="常规 19 2 2 3 3 2 7" xfId="6993"/>
    <cellStyle name="常规 19 2 2 3 3 2 8" xfId="6996"/>
    <cellStyle name="常规 19 2 2 3 3 3" xfId="2153"/>
    <cellStyle name="常规 19 2 2 3 3 3 2" xfId="14965"/>
    <cellStyle name="常规 19 2 2 3 3 3 3" xfId="10047"/>
    <cellStyle name="常规 19 2 2 3 3 3 4" xfId="10050"/>
    <cellStyle name="常规 19 2 2 3 3 3 5" xfId="14966"/>
    <cellStyle name="常规 19 2 2 3 3 3 6" xfId="14968"/>
    <cellStyle name="常规 19 2 2 3 3 3 7" xfId="14970"/>
    <cellStyle name="常规 19 2 2 3 3 3 8" xfId="14972"/>
    <cellStyle name="常规 19 2 2 3 3 4" xfId="2166"/>
    <cellStyle name="常规 19 2 2 3 3 4 2" xfId="14975"/>
    <cellStyle name="常规 19 2 2 3 3 4 3" xfId="14976"/>
    <cellStyle name="常规 19 2 2 3 3 4 4" xfId="14978"/>
    <cellStyle name="常规 19 2 2 3 3 4 5" xfId="14980"/>
    <cellStyle name="常规 19 2 2 3 3 4 6" xfId="14982"/>
    <cellStyle name="常规 19 2 2 3 3 4 7" xfId="14984"/>
    <cellStyle name="常规 19 2 2 3 3 4 8" xfId="10571"/>
    <cellStyle name="常规 19 2 2 3 3 5" xfId="14986"/>
    <cellStyle name="常规 19 2 2 3 3 5 2" xfId="14990"/>
    <cellStyle name="常规 19 2 2 3 3 5 3" xfId="14992"/>
    <cellStyle name="常规 19 2 2 3 3 5 4" xfId="14995"/>
    <cellStyle name="常规 19 2 2 3 3 5 5" xfId="14998"/>
    <cellStyle name="常规 19 2 2 3 3 5 6" xfId="15000"/>
    <cellStyle name="常规 19 2 2 3 3 5 7" xfId="15002"/>
    <cellStyle name="常规 19 2 2 3 3 5 8" xfId="8690"/>
    <cellStyle name="常规 19 2 2 3 3 6" xfId="15004"/>
    <cellStyle name="常规 19 2 2 3 3 6 2" xfId="15007"/>
    <cellStyle name="常规 19 2 2 3 3 6 3" xfId="15008"/>
    <cellStyle name="常规 19 2 2 3 3 6 4" xfId="15010"/>
    <cellStyle name="常规 19 2 2 3 3 6 5" xfId="15012"/>
    <cellStyle name="常规 19 2 2 3 3 6 6" xfId="15014"/>
    <cellStyle name="常规 19 2 2 3 3 6 7" xfId="15016"/>
    <cellStyle name="常规 19 2 2 3 3 6 8" xfId="15018"/>
    <cellStyle name="常规 19 2 2 3 3 7" xfId="15020"/>
    <cellStyle name="常规 19 2 2 3 3 7 2" xfId="15021"/>
    <cellStyle name="常规 19 2 2 3 3 7 3" xfId="15022"/>
    <cellStyle name="常规 19 2 2 3 3 7 4" xfId="15024"/>
    <cellStyle name="常规 19 2 2 3 3 7 5" xfId="15026"/>
    <cellStyle name="常规 19 2 2 3 3 7 6" xfId="15028"/>
    <cellStyle name="常规 19 2 2 3 3 7 7" xfId="15030"/>
    <cellStyle name="常规 19 2 2 3 3 7 8" xfId="15032"/>
    <cellStyle name="常规 19 2 2 3 3 8" xfId="12220"/>
    <cellStyle name="常规 19 2 2 3 3 8 2" xfId="15034"/>
    <cellStyle name="常规 19 2 2 3 3 8 3" xfId="15036"/>
    <cellStyle name="常规 19 2 2 3 3 8 4" xfId="1068"/>
    <cellStyle name="常规 19 2 2 3 3 8 5" xfId="2352"/>
    <cellStyle name="常规 19 2 2 3 3 8 6" xfId="529"/>
    <cellStyle name="常规 19 2 2 3 3 8 7" xfId="4689"/>
    <cellStyle name="常规 19 2 2 3 3 8 8" xfId="4699"/>
    <cellStyle name="常规 19 2 2 3 3 9" xfId="12222"/>
    <cellStyle name="常规 19 2 2 3 3 9 2" xfId="15038"/>
    <cellStyle name="常规 19 2 2 3 3 9 3" xfId="139"/>
    <cellStyle name="常规 19 2 2 3 3 9 4" xfId="2193"/>
    <cellStyle name="常规 19 2 2 3 3 9 5" xfId="7195"/>
    <cellStyle name="常规 19 2 2 3 3 9 6" xfId="7203"/>
    <cellStyle name="常规 19 2 2 3 3 9 7" xfId="8738"/>
    <cellStyle name="常规 19 2 2 3 3 9 8" xfId="10249"/>
    <cellStyle name="常规 19 2 2 3 4" xfId="7510"/>
    <cellStyle name="常规 19 2 2 3 4 2" xfId="15040"/>
    <cellStyle name="常规 19 2 2 3 4 3" xfId="15042"/>
    <cellStyle name="常规 19 2 2 3 4 4" xfId="15045"/>
    <cellStyle name="常规 19 2 2 3 4 5" xfId="15047"/>
    <cellStyle name="常规 19 2 2 3 4 6" xfId="15049"/>
    <cellStyle name="常规 19 2 2 3 4 7" xfId="15050"/>
    <cellStyle name="常规 19 2 2 3 4 8" xfId="15051"/>
    <cellStyle name="常规 19 2 2 3 5" xfId="15052"/>
    <cellStyle name="常规 19 2 2 3 5 2" xfId="15053"/>
    <cellStyle name="常规 19 2 2 3 5 3" xfId="15054"/>
    <cellStyle name="常规 19 2 2 3 5 4" xfId="15055"/>
    <cellStyle name="常规 19 2 2 3 5 5" xfId="15056"/>
    <cellStyle name="常规 19 2 2 3 5 6" xfId="15057"/>
    <cellStyle name="常规 19 2 2 3 5 7" xfId="15058"/>
    <cellStyle name="常规 19 2 2 3 5 8" xfId="15060"/>
    <cellStyle name="常规 19 2 2 3 6" xfId="15062"/>
    <cellStyle name="常规 19 2 2 3 6 2" xfId="15064"/>
    <cellStyle name="常规 19 2 2 3 6 3" xfId="15066"/>
    <cellStyle name="常规 19 2 2 3 6 4" xfId="15068"/>
    <cellStyle name="常规 19 2 2 3 6 5" xfId="15069"/>
    <cellStyle name="常规 19 2 2 3 6 6" xfId="11635"/>
    <cellStyle name="常规 19 2 2 3 6 7" xfId="11637"/>
    <cellStyle name="常规 19 2 2 3 6 8" xfId="15071"/>
    <cellStyle name="常规 19 2 2 3 7" xfId="15073"/>
    <cellStyle name="常规 19 2 2 3 7 2" xfId="15074"/>
    <cellStyle name="常规 19 2 2 3 7 3" xfId="15075"/>
    <cellStyle name="常规 19 2 2 3 7 4" xfId="15076"/>
    <cellStyle name="常规 19 2 2 3 7 5" xfId="10973"/>
    <cellStyle name="常规 19 2 2 3 7 6" xfId="10979"/>
    <cellStyle name="常规 19 2 2 3 7 7" xfId="186"/>
    <cellStyle name="常规 19 2 2 3 7 8" xfId="1214"/>
    <cellStyle name="常规 19 2 2 3 8" xfId="9963"/>
    <cellStyle name="常规 19 2 2 3 8 2" xfId="15077"/>
    <cellStyle name="常规 19 2 2 3 8 3" xfId="7037"/>
    <cellStyle name="常规 19 2 2 3 8 4" xfId="7182"/>
    <cellStyle name="常规 19 2 2 3 8 5" xfId="7766"/>
    <cellStyle name="常规 19 2 2 3 8 6" xfId="7774"/>
    <cellStyle name="常规 19 2 2 3 8 7" xfId="1224"/>
    <cellStyle name="常规 19 2 2 3 8 8" xfId="1234"/>
    <cellStyle name="常规 19 2 2 3 9" xfId="9965"/>
    <cellStyle name="常规 19 2 2 3 9 2" xfId="15081"/>
    <cellStyle name="常规 19 2 2 3 9 3" xfId="15083"/>
    <cellStyle name="常规 19 2 2 3 9 4" xfId="15085"/>
    <cellStyle name="常规 19 2 2 3 9 5" xfId="11000"/>
    <cellStyle name="常规 19 2 2 3 9 6" xfId="11009"/>
    <cellStyle name="常规 19 2 2 3 9 7" xfId="11015"/>
    <cellStyle name="常规 19 2 2 3 9 8" xfId="15086"/>
    <cellStyle name="常规 19 2 2 4" xfId="13964"/>
    <cellStyle name="常规 19 2 2 4 10" xfId="15088"/>
    <cellStyle name="常规 19 2 2 4 10 2" xfId="15090"/>
    <cellStyle name="常规 19 2 2 4 10 3" xfId="15091"/>
    <cellStyle name="常规 19 2 2 4 10 4" xfId="15092"/>
    <cellStyle name="常规 19 2 2 4 10 5" xfId="15093"/>
    <cellStyle name="常规 19 2 2 4 10 6" xfId="6417"/>
    <cellStyle name="常规 19 2 2 4 10 7" xfId="6470"/>
    <cellStyle name="常规 19 2 2 4 10 8" xfId="6496"/>
    <cellStyle name="常规 19 2 2 4 11" xfId="3393"/>
    <cellStyle name="常规 19 2 2 4 11 2" xfId="3406"/>
    <cellStyle name="常规 19 2 2 4 11 3" xfId="3418"/>
    <cellStyle name="常规 19 2 2 4 11 4" xfId="4006"/>
    <cellStyle name="常规 19 2 2 4 11 5" xfId="15095"/>
    <cellStyle name="常规 19 2 2 4 11 6" xfId="6543"/>
    <cellStyle name="常规 19 2 2 4 11 7" xfId="6573"/>
    <cellStyle name="常规 19 2 2 4 11 8" xfId="6582"/>
    <cellStyle name="常规 19 2 2 4 12" xfId="3429"/>
    <cellStyle name="常规 19 2 2 4 12 2" xfId="5649"/>
    <cellStyle name="常规 19 2 2 4 12 3" xfId="5655"/>
    <cellStyle name="常规 19 2 2 4 12 4" xfId="11205"/>
    <cellStyle name="常规 19 2 2 4 12 5" xfId="15097"/>
    <cellStyle name="常规 19 2 2 4 12 6" xfId="6597"/>
    <cellStyle name="常规 19 2 2 4 12 7" xfId="6607"/>
    <cellStyle name="常规 19 2 2 4 13" xfId="5662"/>
    <cellStyle name="常规 19 2 2 4 14" xfId="3110"/>
    <cellStyle name="常规 19 2 2 4 15" xfId="4350"/>
    <cellStyle name="常规 19 2 2 4 16" xfId="15099"/>
    <cellStyle name="常规 19 2 2 4 17" xfId="15101"/>
    <cellStyle name="常规 19 2 2 4 18" xfId="15103"/>
    <cellStyle name="常规 19 2 2 4 19" xfId="15104"/>
    <cellStyle name="常规 19 2 2 4 2" xfId="15105"/>
    <cellStyle name="常规 19 2 2 4 2 10" xfId="15106"/>
    <cellStyle name="常规 19 2 2 4 2 10 2" xfId="1516"/>
    <cellStyle name="常规 19 2 2 4 2 10 3" xfId="5473"/>
    <cellStyle name="常规 19 2 2 4 2 10 4" xfId="5489"/>
    <cellStyle name="常规 19 2 2 4 2 10 5" xfId="9546"/>
    <cellStyle name="常规 19 2 2 4 2 10 6" xfId="9559"/>
    <cellStyle name="常规 19 2 2 4 2 10 7" xfId="15110"/>
    <cellStyle name="常规 19 2 2 4 2 11" xfId="15113"/>
    <cellStyle name="常规 19 2 2 4 2 12" xfId="15117"/>
    <cellStyle name="常规 19 2 2 4 2 13" xfId="15120"/>
    <cellStyle name="常规 19 2 2 4 2 14" xfId="15125"/>
    <cellStyle name="常规 19 2 2 4 2 15" xfId="6248"/>
    <cellStyle name="常规 19 2 2 4 2 16" xfId="6264"/>
    <cellStyle name="常规 19 2 2 4 2 17" xfId="2291"/>
    <cellStyle name="常规 19 2 2 4 2 2" xfId="15126"/>
    <cellStyle name="常规 19 2 2 4 2 2 2" xfId="15128"/>
    <cellStyle name="常规 19 2 2 4 2 2 3" xfId="2363"/>
    <cellStyle name="常规 19 2 2 4 2 2 4" xfId="536"/>
    <cellStyle name="常规 19 2 2 4 2 2 5" xfId="15130"/>
    <cellStyle name="常规 19 2 2 4 2 2 6" xfId="15133"/>
    <cellStyle name="常规 19 2 2 4 2 2 7" xfId="15137"/>
    <cellStyle name="常规 19 2 2 4 2 2 8" xfId="15141"/>
    <cellStyle name="常规 19 2 2 4 2 3" xfId="298"/>
    <cellStyle name="常规 19 2 2 4 2 3 2" xfId="2203"/>
    <cellStyle name="常规 19 2 2 4 2 3 3" xfId="2216"/>
    <cellStyle name="常规 19 2 2 4 2 3 4" xfId="624"/>
    <cellStyle name="常规 19 2 2 4 2 3 5" xfId="663"/>
    <cellStyle name="常规 19 2 2 4 2 3 6" xfId="15144"/>
    <cellStyle name="常规 19 2 2 4 2 3 7" xfId="15147"/>
    <cellStyle name="常规 19 2 2 4 2 3 8" xfId="15150"/>
    <cellStyle name="常规 19 2 2 4 2 4" xfId="369"/>
    <cellStyle name="常规 19 2 2 4 2 4 2" xfId="15152"/>
    <cellStyle name="常规 19 2 2 4 2 4 3" xfId="3504"/>
    <cellStyle name="常规 19 2 2 4 2 4 4" xfId="726"/>
    <cellStyle name="常规 19 2 2 4 2 4 5" xfId="15154"/>
    <cellStyle name="常规 19 2 2 4 2 4 6" xfId="15157"/>
    <cellStyle name="常规 19 2 2 4 2 4 7" xfId="13292"/>
    <cellStyle name="常规 19 2 2 4 2 4 8" xfId="13297"/>
    <cellStyle name="常规 19 2 2 4 2 5" xfId="9816"/>
    <cellStyle name="常规 19 2 2 4 2 5 2" xfId="15159"/>
    <cellStyle name="常规 19 2 2 4 2 5 3" xfId="3381"/>
    <cellStyle name="常规 19 2 2 4 2 5 4" xfId="864"/>
    <cellStyle name="常规 19 2 2 4 2 5 5" xfId="15161"/>
    <cellStyle name="常规 19 2 2 4 2 5 6" xfId="15165"/>
    <cellStyle name="常规 19 2 2 4 2 5 7" xfId="13310"/>
    <cellStyle name="常规 19 2 2 4 2 5 8" xfId="13317"/>
    <cellStyle name="常规 19 2 2 4 2 6" xfId="6341"/>
    <cellStyle name="常规 19 2 2 4 2 6 2" xfId="6661"/>
    <cellStyle name="常规 19 2 2 4 2 6 3" xfId="6670"/>
    <cellStyle name="常规 19 2 2 4 2 6 4" xfId="15169"/>
    <cellStyle name="常规 19 2 2 4 2 6 5" xfId="15173"/>
    <cellStyle name="常规 19 2 2 4 2 6 6" xfId="4949"/>
    <cellStyle name="常规 19 2 2 4 2 6 7" xfId="4970"/>
    <cellStyle name="常规 19 2 2 4 2 6 8" xfId="4986"/>
    <cellStyle name="常规 19 2 2 4 2 7" xfId="4111"/>
    <cellStyle name="常规 19 2 2 4 2 7 2" xfId="15177"/>
    <cellStyle name="常规 19 2 2 4 2 7 3" xfId="15178"/>
    <cellStyle name="常规 19 2 2 4 2 7 4" xfId="15179"/>
    <cellStyle name="常规 19 2 2 4 2 7 5" xfId="15183"/>
    <cellStyle name="常规 19 2 2 4 2 7 6" xfId="1430"/>
    <cellStyle name="常规 19 2 2 4 2 7 7" xfId="1441"/>
    <cellStyle name="常规 19 2 2 4 2 7 8" xfId="5040"/>
    <cellStyle name="常规 19 2 2 4 2 8" xfId="15188"/>
    <cellStyle name="常规 19 2 2 4 2 8 2" xfId="15189"/>
    <cellStyle name="常规 19 2 2 4 2 8 3" xfId="15190"/>
    <cellStyle name="常规 19 2 2 4 2 8 4" xfId="15191"/>
    <cellStyle name="常规 19 2 2 4 2 8 5" xfId="15195"/>
    <cellStyle name="常规 19 2 2 4 2 8 6" xfId="5051"/>
    <cellStyle name="常规 19 2 2 4 2 8 7" xfId="5096"/>
    <cellStyle name="常规 19 2 2 4 2 8 8" xfId="5122"/>
    <cellStyle name="常规 19 2 2 4 2 9" xfId="15199"/>
    <cellStyle name="常规 19 2 2 4 2 9 2" xfId="15200"/>
    <cellStyle name="常规 19 2 2 4 2 9 3" xfId="15201"/>
    <cellStyle name="常规 19 2 2 4 2 9 4" xfId="15202"/>
    <cellStyle name="常规 19 2 2 4 2 9 5" xfId="15205"/>
    <cellStyle name="常规 19 2 2 4 2 9 6" xfId="5129"/>
    <cellStyle name="常规 19 2 2 4 2 9 7" xfId="5135"/>
    <cellStyle name="常规 19 2 2 4 2 9 8" xfId="7446"/>
    <cellStyle name="常规 19 2 2 4 3" xfId="15208"/>
    <cellStyle name="常规 19 2 2 4 3 2" xfId="15209"/>
    <cellStyle name="常规 19 2 2 4 3 3" xfId="2243"/>
    <cellStyle name="常规 19 2 2 4 3 4" xfId="2255"/>
    <cellStyle name="常规 19 2 2 4 3 5" xfId="15210"/>
    <cellStyle name="常规 19 2 2 4 3 6" xfId="6681"/>
    <cellStyle name="常规 19 2 2 4 3 7" xfId="4003"/>
    <cellStyle name="常规 19 2 2 4 3 8" xfId="12230"/>
    <cellStyle name="常规 19 2 2 4 4" xfId="15211"/>
    <cellStyle name="常规 19 2 2 4 4 2" xfId="15212"/>
    <cellStyle name="常规 19 2 2 4 4 3" xfId="15213"/>
    <cellStyle name="常规 19 2 2 4 4 4" xfId="15214"/>
    <cellStyle name="常规 19 2 2 4 4 5" xfId="15215"/>
    <cellStyle name="常规 19 2 2 4 4 6" xfId="4928"/>
    <cellStyle name="常规 19 2 2 4 4 7" xfId="4954"/>
    <cellStyle name="常规 19 2 2 4 4 8" xfId="15216"/>
    <cellStyle name="常规 19 2 2 4 5" xfId="15218"/>
    <cellStyle name="常规 19 2 2 4 5 2" xfId="15220"/>
    <cellStyle name="常规 19 2 2 4 5 3" xfId="2874"/>
    <cellStyle name="常规 19 2 2 4 5 4" xfId="15221"/>
    <cellStyle name="常规 19 2 2 4 5 5" xfId="15222"/>
    <cellStyle name="常规 19 2 2 4 5 6" xfId="7165"/>
    <cellStyle name="常规 19 2 2 4 5 7" xfId="5623"/>
    <cellStyle name="常规 19 2 2 4 5 8" xfId="12244"/>
    <cellStyle name="常规 19 2 2 4 6" xfId="15224"/>
    <cellStyle name="常规 19 2 2 4 6 2" xfId="15226"/>
    <cellStyle name="常规 19 2 2 4 6 3" xfId="15228"/>
    <cellStyle name="常规 19 2 2 4 6 4" xfId="15229"/>
    <cellStyle name="常规 19 2 2 4 6 5" xfId="11171"/>
    <cellStyle name="常规 19 2 2 4 6 6" xfId="7705"/>
    <cellStyle name="常规 19 2 2 4 6 7" xfId="7709"/>
    <cellStyle name="常规 19 2 2 4 6 8" xfId="12251"/>
    <cellStyle name="常规 19 2 2 4 7" xfId="15231"/>
    <cellStyle name="常规 19 2 2 4 7 2" xfId="15233"/>
    <cellStyle name="常规 19 2 2 4 7 3" xfId="44"/>
    <cellStyle name="常规 19 2 2 4 7 4" xfId="15235"/>
    <cellStyle name="常规 19 2 2 4 7 5" xfId="11045"/>
    <cellStyle name="常规 19 2 2 4 7 6" xfId="7722"/>
    <cellStyle name="常规 19 2 2 4 7 7" xfId="1263"/>
    <cellStyle name="常规 19 2 2 4 7 8" xfId="1268"/>
    <cellStyle name="常规 19 2 2 4 8" xfId="15238"/>
    <cellStyle name="常规 19 2 2 4 8 2" xfId="15240"/>
    <cellStyle name="常规 19 2 2 4 8 3" xfId="15242"/>
    <cellStyle name="常规 19 2 2 4 8 4" xfId="15243"/>
    <cellStyle name="常规 19 2 2 4 8 5" xfId="11059"/>
    <cellStyle name="常规 19 2 2 4 8 6" xfId="8254"/>
    <cellStyle name="常规 19 2 2 4 8 7" xfId="8257"/>
    <cellStyle name="常规 19 2 2 4 8 8" xfId="15244"/>
    <cellStyle name="常规 19 2 2 4 9" xfId="15246"/>
    <cellStyle name="常规 19 2 2 4 9 2" xfId="15248"/>
    <cellStyle name="常规 19 2 2 4 9 3" xfId="15250"/>
    <cellStyle name="常规 19 2 2 4 9 4" xfId="15252"/>
    <cellStyle name="常规 19 2 2 4 9 5" xfId="11078"/>
    <cellStyle name="常规 19 2 2 4 9 6" xfId="11085"/>
    <cellStyle name="常规 19 2 2 4 9 7" xfId="11099"/>
    <cellStyle name="常规 19 2 2 4 9 8" xfId="12792"/>
    <cellStyle name="常规 19 2 2 5" xfId="13966"/>
    <cellStyle name="常规 19 2 2 5 10" xfId="7366"/>
    <cellStyle name="常规 19 2 2 5 10 2" xfId="4964"/>
    <cellStyle name="常规 19 2 2 5 10 3" xfId="5220"/>
    <cellStyle name="常规 19 2 2 5 10 4" xfId="3616"/>
    <cellStyle name="常规 19 2 2 5 10 5" xfId="3645"/>
    <cellStyle name="常规 19 2 2 5 10 6" xfId="339"/>
    <cellStyle name="常规 19 2 2 5 10 7" xfId="350"/>
    <cellStyle name="常规 19 2 2 5 10 8" xfId="38"/>
    <cellStyle name="常规 19 2 2 5 11" xfId="8926"/>
    <cellStyle name="常规 19 2 2 5 11 2" xfId="5633"/>
    <cellStyle name="常规 19 2 2 5 11 3" xfId="10283"/>
    <cellStyle name="常规 19 2 2 5 11 4" xfId="12294"/>
    <cellStyle name="常规 19 2 2 5 11 5" xfId="12303"/>
    <cellStyle name="常规 19 2 2 5 11 6" xfId="15253"/>
    <cellStyle name="常规 19 2 2 5 11 7" xfId="15255"/>
    <cellStyle name="常规 19 2 2 5 11 8" xfId="15257"/>
    <cellStyle name="常规 19 2 2 5 12" xfId="9119"/>
    <cellStyle name="常规 19 2 2 5 12 2" xfId="12501"/>
    <cellStyle name="常规 19 2 2 5 12 3" xfId="5856"/>
    <cellStyle name="常规 19 2 2 5 12 4" xfId="1098"/>
    <cellStyle name="常规 19 2 2 5 12 5" xfId="15259"/>
    <cellStyle name="常规 19 2 2 5 12 6" xfId="15261"/>
    <cellStyle name="常规 19 2 2 5 12 7" xfId="15263"/>
    <cellStyle name="常规 19 2 2 5 13" xfId="12511"/>
    <cellStyle name="常规 19 2 2 5 14" xfId="11501"/>
    <cellStyle name="常规 19 2 2 5 15" xfId="14451"/>
    <cellStyle name="常规 19 2 2 5 16" xfId="14454"/>
    <cellStyle name="常规 19 2 2 5 17" xfId="4158"/>
    <cellStyle name="常规 19 2 2 5 18" xfId="4506"/>
    <cellStyle name="常规 19 2 2 5 19" xfId="14460"/>
    <cellStyle name="常规 19 2 2 5 2" xfId="11875"/>
    <cellStyle name="常规 19 2 2 5 2 10" xfId="15265"/>
    <cellStyle name="常规 19 2 2 5 2 10 2" xfId="15266"/>
    <cellStyle name="常规 19 2 2 5 2 10 3" xfId="12470"/>
    <cellStyle name="常规 19 2 2 5 2 10 4" xfId="12472"/>
    <cellStyle name="常规 19 2 2 5 2 10 5" xfId="15268"/>
    <cellStyle name="常规 19 2 2 5 2 10 6" xfId="15269"/>
    <cellStyle name="常规 19 2 2 5 2 10 7" xfId="15270"/>
    <cellStyle name="常规 19 2 2 5 2 11" xfId="15271"/>
    <cellStyle name="常规 19 2 2 5 2 12" xfId="5946"/>
    <cellStyle name="常规 19 2 2 5 2 13" xfId="2207"/>
    <cellStyle name="常规 19 2 2 5 2 14" xfId="2218"/>
    <cellStyle name="常规 19 2 2 5 2 15" xfId="618"/>
    <cellStyle name="常规 19 2 2 5 2 16" xfId="656"/>
    <cellStyle name="常规 19 2 2 5 2 17" xfId="696"/>
    <cellStyle name="常规 19 2 2 5 2 2" xfId="15273"/>
    <cellStyle name="常规 19 2 2 5 2 2 2" xfId="12254"/>
    <cellStyle name="常规 19 2 2 5 2 2 3" xfId="8945"/>
    <cellStyle name="常规 19 2 2 5 2 2 4" xfId="8956"/>
    <cellStyle name="常规 19 2 2 5 2 2 5" xfId="8680"/>
    <cellStyle name="常规 19 2 2 5 2 2 6" xfId="8684"/>
    <cellStyle name="常规 19 2 2 5 2 2 7" xfId="15274"/>
    <cellStyle name="常规 19 2 2 5 2 2 8" xfId="15275"/>
    <cellStyle name="常规 19 2 2 5 2 3" xfId="1296"/>
    <cellStyle name="常规 19 2 2 5 2 3 2" xfId="1308"/>
    <cellStyle name="常规 19 2 2 5 2 3 3" xfId="1402"/>
    <cellStyle name="常规 19 2 2 5 2 3 4" xfId="1469"/>
    <cellStyle name="常规 19 2 2 5 2 3 5" xfId="15276"/>
    <cellStyle name="常规 19 2 2 5 2 3 6" xfId="15277"/>
    <cellStyle name="常规 19 2 2 5 2 3 7" xfId="15278"/>
    <cellStyle name="常规 19 2 2 5 2 3 8" xfId="15279"/>
    <cellStyle name="常规 19 2 2 5 2 4" xfId="1634"/>
    <cellStyle name="常规 19 2 2 5 2 4 2" xfId="15280"/>
    <cellStyle name="常规 19 2 2 5 2 4 3" xfId="8965"/>
    <cellStyle name="常规 19 2 2 5 2 4 4" xfId="8969"/>
    <cellStyle name="常规 19 2 2 5 2 4 5" xfId="9139"/>
    <cellStyle name="常规 19 2 2 5 2 4 6" xfId="9142"/>
    <cellStyle name="常规 19 2 2 5 2 4 7" xfId="15281"/>
    <cellStyle name="常规 19 2 2 5 2 4 8" xfId="15282"/>
    <cellStyle name="常规 19 2 2 5 2 5" xfId="15283"/>
    <cellStyle name="常规 19 2 2 5 2 5 2" xfId="12810"/>
    <cellStyle name="常规 19 2 2 5 2 5 3" xfId="12816"/>
    <cellStyle name="常规 19 2 2 5 2 5 4" xfId="12824"/>
    <cellStyle name="常规 19 2 2 5 2 5 5" xfId="12847"/>
    <cellStyle name="常规 19 2 2 5 2 5 6" xfId="12861"/>
    <cellStyle name="常规 19 2 2 5 2 5 7" xfId="12877"/>
    <cellStyle name="常规 19 2 2 5 2 5 8" xfId="12897"/>
    <cellStyle name="常规 19 2 2 5 2 6" xfId="6703"/>
    <cellStyle name="常规 19 2 2 5 2 6 2" xfId="6988"/>
    <cellStyle name="常规 19 2 2 5 2 6 3" xfId="9927"/>
    <cellStyle name="常规 19 2 2 5 2 6 4" xfId="12916"/>
    <cellStyle name="常规 19 2 2 5 2 6 5" xfId="9475"/>
    <cellStyle name="常规 19 2 2 5 2 6 6" xfId="9479"/>
    <cellStyle name="常规 19 2 2 5 2 6 7" xfId="12918"/>
    <cellStyle name="常规 19 2 2 5 2 6 8" xfId="15284"/>
    <cellStyle name="常规 19 2 2 5 2 7" xfId="6709"/>
    <cellStyle name="常规 19 2 2 5 2 7 2" xfId="1905"/>
    <cellStyle name="常规 19 2 2 5 2 7 3" xfId="12923"/>
    <cellStyle name="常规 19 2 2 5 2 7 4" xfId="12925"/>
    <cellStyle name="常规 19 2 2 5 2 7 5" xfId="12928"/>
    <cellStyle name="常规 19 2 2 5 2 7 6" xfId="12931"/>
    <cellStyle name="常规 19 2 2 5 2 7 7" xfId="12933"/>
    <cellStyle name="常规 19 2 2 5 2 7 8" xfId="15285"/>
    <cellStyle name="常规 19 2 2 5 2 8" xfId="14795"/>
    <cellStyle name="常规 19 2 2 5 2 8 2" xfId="12939"/>
    <cellStyle name="常规 19 2 2 5 2 8 3" xfId="12942"/>
    <cellStyle name="常规 19 2 2 5 2 8 4" xfId="12944"/>
    <cellStyle name="常规 19 2 2 5 2 8 5" xfId="12947"/>
    <cellStyle name="常规 19 2 2 5 2 8 6" xfId="12950"/>
    <cellStyle name="常规 19 2 2 5 2 8 7" xfId="7578"/>
    <cellStyle name="常规 19 2 2 5 2 8 8" xfId="7595"/>
    <cellStyle name="常规 19 2 2 5 2 9" xfId="14800"/>
    <cellStyle name="常规 19 2 2 5 2 9 2" xfId="12954"/>
    <cellStyle name="常规 19 2 2 5 2 9 3" xfId="12956"/>
    <cellStyle name="常规 19 2 2 5 2 9 4" xfId="12958"/>
    <cellStyle name="常规 19 2 2 5 2 9 5" xfId="11937"/>
    <cellStyle name="常规 19 2 2 5 2 9 6" xfId="12960"/>
    <cellStyle name="常规 19 2 2 5 2 9 7" xfId="7612"/>
    <cellStyle name="常规 19 2 2 5 2 9 8" xfId="7618"/>
    <cellStyle name="常规 19 2 2 5 3" xfId="15286"/>
    <cellStyle name="常规 19 2 2 5 3 2" xfId="15287"/>
    <cellStyle name="常规 19 2 2 5 3 3" xfId="2787"/>
    <cellStyle name="常规 19 2 2 5 3 4" xfId="2805"/>
    <cellStyle name="常规 19 2 2 5 3 5" xfId="15288"/>
    <cellStyle name="常规 19 2 2 5 3 6" xfId="15289"/>
    <cellStyle name="常规 19 2 2 5 3 7" xfId="15290"/>
    <cellStyle name="常规 19 2 2 5 3 8" xfId="213"/>
    <cellStyle name="常规 19 2 2 5 4" xfId="15291"/>
    <cellStyle name="常规 19 2 2 5 4 2" xfId="15292"/>
    <cellStyle name="常规 19 2 2 5 4 3" xfId="15293"/>
    <cellStyle name="常规 19 2 2 5 4 4" xfId="15294"/>
    <cellStyle name="常规 19 2 2 5 4 5" xfId="12030"/>
    <cellStyle name="常规 19 2 2 5 4 6" xfId="5528"/>
    <cellStyle name="常规 19 2 2 5 4 7" xfId="5617"/>
    <cellStyle name="常规 19 2 2 5 4 8" xfId="14833"/>
    <cellStyle name="常规 19 2 2 5 5" xfId="15295"/>
    <cellStyle name="常规 19 2 2 5 5 2" xfId="15296"/>
    <cellStyle name="常规 19 2 2 5 5 3" xfId="15297"/>
    <cellStyle name="常规 19 2 2 5 5 4" xfId="15298"/>
    <cellStyle name="常规 19 2 2 5 5 5" xfId="15300"/>
    <cellStyle name="常规 19 2 2 5 5 6" xfId="15301"/>
    <cellStyle name="常规 19 2 2 5 5 7" xfId="15302"/>
    <cellStyle name="常规 19 2 2 5 5 8" xfId="14852"/>
    <cellStyle name="常规 19 2 2 5 6" xfId="15304"/>
    <cellStyle name="常规 19 2 2 5 6 2" xfId="15306"/>
    <cellStyle name="常规 19 2 2 5 6 3" xfId="15308"/>
    <cellStyle name="常规 19 2 2 5 6 4" xfId="12509"/>
    <cellStyle name="常规 19 2 2 5 6 5" xfId="15309"/>
    <cellStyle name="常规 19 2 2 5 6 6" xfId="7747"/>
    <cellStyle name="常规 19 2 2 5 6 7" xfId="7751"/>
    <cellStyle name="常规 19 2 2 5 6 8" xfId="13357"/>
    <cellStyle name="常规 19 2 2 5 7" xfId="15311"/>
    <cellStyle name="常规 19 2 2 5 7 2" xfId="5910"/>
    <cellStyle name="常规 19 2 2 5 7 3" xfId="15312"/>
    <cellStyle name="常规 19 2 2 5 7 4" xfId="15313"/>
    <cellStyle name="常规 19 2 2 5 7 5" xfId="11118"/>
    <cellStyle name="常规 19 2 2 5 7 6" xfId="11124"/>
    <cellStyle name="常规 19 2 2 5 7 7" xfId="11131"/>
    <cellStyle name="常规 19 2 2 5 7 8" xfId="11137"/>
    <cellStyle name="常规 19 2 2 5 8" xfId="15315"/>
    <cellStyle name="常规 19 2 2 5 8 2" xfId="15316"/>
    <cellStyle name="常规 19 2 2 5 8 3" xfId="15317"/>
    <cellStyle name="常规 19 2 2 5 8 4" xfId="15318"/>
    <cellStyle name="常规 19 2 2 5 8 5" xfId="11142"/>
    <cellStyle name="常规 19 2 2 5 8 6" xfId="11158"/>
    <cellStyle name="常规 19 2 2 5 8 7" xfId="11163"/>
    <cellStyle name="常规 19 2 2 5 8 8" xfId="15319"/>
    <cellStyle name="常规 19 2 2 5 9" xfId="15320"/>
    <cellStyle name="常规 19 2 2 5 9 2" xfId="15322"/>
    <cellStyle name="常规 19 2 2 5 9 3" xfId="15323"/>
    <cellStyle name="常规 19 2 2 5 9 4" xfId="15324"/>
    <cellStyle name="常规 19 2 2 5 9 5" xfId="11169"/>
    <cellStyle name="常规 19 2 2 5 9 6" xfId="11173"/>
    <cellStyle name="常规 19 2 2 5 9 7" xfId="11178"/>
    <cellStyle name="常规 19 2 2 5 9 8" xfId="13010"/>
    <cellStyle name="常规 19 2 2 6" xfId="13970"/>
    <cellStyle name="常规 19 2 2 6 10" xfId="13241"/>
    <cellStyle name="常规 19 2 2 6 10 2" xfId="15327"/>
    <cellStyle name="常规 19 2 2 6 10 3" xfId="15329"/>
    <cellStyle name="常规 19 2 2 6 10 4" xfId="15331"/>
    <cellStyle name="常规 19 2 2 6 10 5" xfId="15332"/>
    <cellStyle name="常规 19 2 2 6 10 6" xfId="11375"/>
    <cellStyle name="常规 19 2 2 6 10 7" xfId="11384"/>
    <cellStyle name="常规 19 2 2 6 11" xfId="15333"/>
    <cellStyle name="常规 19 2 2 6 12" xfId="15334"/>
    <cellStyle name="常规 19 2 2 6 13" xfId="15335"/>
    <cellStyle name="常规 19 2 2 6 14" xfId="15336"/>
    <cellStyle name="常规 19 2 2 6 15" xfId="14535"/>
    <cellStyle name="常规 19 2 2 6 16" xfId="14537"/>
    <cellStyle name="常规 19 2 2 6 17" xfId="9416"/>
    <cellStyle name="常规 19 2 2 6 2" xfId="11884"/>
    <cellStyle name="常规 19 2 2 6 2 2" xfId="15338"/>
    <cellStyle name="常规 19 2 2 6 2 3" xfId="15339"/>
    <cellStyle name="常规 19 2 2 6 2 4" xfId="15341"/>
    <cellStyle name="常规 19 2 2 6 2 5" xfId="15342"/>
    <cellStyle name="常规 19 2 2 6 2 6" xfId="15343"/>
    <cellStyle name="常规 19 2 2 6 2 7" xfId="15344"/>
    <cellStyle name="常规 19 2 2 6 2 8" xfId="15345"/>
    <cellStyle name="常规 19 2 2 6 3" xfId="11887"/>
    <cellStyle name="常规 19 2 2 6 3 2" xfId="15346"/>
    <cellStyle name="常规 19 2 2 6 3 3" xfId="15347"/>
    <cellStyle name="常规 19 2 2 6 3 4" xfId="15348"/>
    <cellStyle name="常规 19 2 2 6 3 5" xfId="15349"/>
    <cellStyle name="常规 19 2 2 6 3 6" xfId="15350"/>
    <cellStyle name="常规 19 2 2 6 3 7" xfId="15351"/>
    <cellStyle name="常规 19 2 2 6 3 8" xfId="15352"/>
    <cellStyle name="常规 19 2 2 6 4" xfId="12559"/>
    <cellStyle name="常规 19 2 2 6 4 2" xfId="4810"/>
    <cellStyle name="常规 19 2 2 6 4 3" xfId="4838"/>
    <cellStyle name="常规 19 2 2 6 4 4" xfId="5538"/>
    <cellStyle name="常规 19 2 2 6 4 5" xfId="5543"/>
    <cellStyle name="常规 19 2 2 6 4 6" xfId="15353"/>
    <cellStyle name="常规 19 2 2 6 4 7" xfId="15355"/>
    <cellStyle name="常规 19 2 2 6 4 8" xfId="15358"/>
    <cellStyle name="常规 19 2 2 6 5" xfId="12403"/>
    <cellStyle name="常规 19 2 2 6 5 2" xfId="4855"/>
    <cellStyle name="常规 19 2 2 6 5 3" xfId="5425"/>
    <cellStyle name="常规 19 2 2 6 5 4" xfId="5549"/>
    <cellStyle name="常规 19 2 2 6 5 5" xfId="15359"/>
    <cellStyle name="常规 19 2 2 6 5 6" xfId="15360"/>
    <cellStyle name="常规 19 2 2 6 5 7" xfId="13722"/>
    <cellStyle name="常规 19 2 2 6 5 8" xfId="13727"/>
    <cellStyle name="常规 19 2 2 6 6" xfId="15361"/>
    <cellStyle name="常规 19 2 2 6 6 2" xfId="2030"/>
    <cellStyle name="常规 19 2 2 6 6 3" xfId="2071"/>
    <cellStyle name="常规 19 2 2 6 6 4" xfId="1043"/>
    <cellStyle name="常规 19 2 2 6 6 5" xfId="15363"/>
    <cellStyle name="常规 19 2 2 6 6 6" xfId="15365"/>
    <cellStyle name="常规 19 2 2 6 6 7" xfId="15366"/>
    <cellStyle name="常规 19 2 2 6 6 8" xfId="15368"/>
    <cellStyle name="常规 19 2 2 6 7" xfId="15369"/>
    <cellStyle name="常规 19 2 2 6 7 2" xfId="15370"/>
    <cellStyle name="常规 19 2 2 6 7 3" xfId="15371"/>
    <cellStyle name="常规 19 2 2 6 7 4" xfId="15372"/>
    <cellStyle name="常规 19 2 2 6 7 5" xfId="11203"/>
    <cellStyle name="常规 19 2 2 6 7 6" xfId="11208"/>
    <cellStyle name="常规 19 2 2 6 7 7" xfId="11210"/>
    <cellStyle name="常规 19 2 2 6 7 8" xfId="15373"/>
    <cellStyle name="常规 19 2 2 6 8" xfId="15374"/>
    <cellStyle name="常规 19 2 2 6 8 2" xfId="15375"/>
    <cellStyle name="常规 19 2 2 6 8 3" xfId="15376"/>
    <cellStyle name="常规 19 2 2 6 8 4" xfId="15378"/>
    <cellStyle name="常规 19 2 2 6 8 5" xfId="11217"/>
    <cellStyle name="常规 19 2 2 6 8 6" xfId="11219"/>
    <cellStyle name="常规 19 2 2 6 8 7" xfId="15379"/>
    <cellStyle name="常规 19 2 2 6 8 8" xfId="15381"/>
    <cellStyle name="常规 19 2 2 6 9" xfId="15382"/>
    <cellStyle name="常规 19 2 2 6 9 2" xfId="13190"/>
    <cellStyle name="常规 19 2 2 6 9 3" xfId="13202"/>
    <cellStyle name="常规 19 2 2 6 9 4" xfId="13219"/>
    <cellStyle name="常规 19 2 2 6 9 5" xfId="11227"/>
    <cellStyle name="常规 19 2 2 6 9 6" xfId="11230"/>
    <cellStyle name="常规 19 2 2 6 9 7" xfId="15385"/>
    <cellStyle name="常规 19 2 2 6 9 8" xfId="15386"/>
    <cellStyle name="常规 19 2 2 7" xfId="15387"/>
    <cellStyle name="常规 19 2 2 7 2" xfId="15390"/>
    <cellStyle name="常规 19 2 2 7 3" xfId="15391"/>
    <cellStyle name="常规 19 2 2 7 4" xfId="15392"/>
    <cellStyle name="常规 19 2 2 7 5" xfId="15393"/>
    <cellStyle name="常规 19 2 2 7 6" xfId="15394"/>
    <cellStyle name="常规 19 2 2 7 7" xfId="15396"/>
    <cellStyle name="常规 19 2 2 7 8" xfId="15398"/>
    <cellStyle name="常规 19 2 2 8" xfId="15400"/>
    <cellStyle name="常规 19 2 2 8 2" xfId="15403"/>
    <cellStyle name="常规 19 2 2 8 3" xfId="15404"/>
    <cellStyle name="常规 19 2 2 8 4" xfId="15405"/>
    <cellStyle name="常规 19 2 2 8 5" xfId="15406"/>
    <cellStyle name="常规 19 2 2 8 6" xfId="15407"/>
    <cellStyle name="常规 19 2 2 8 7" xfId="15408"/>
    <cellStyle name="常规 19 2 2 8 8" xfId="15409"/>
    <cellStyle name="常规 19 2 2 9" xfId="15411"/>
    <cellStyle name="常规 19 2 2 9 2" xfId="15414"/>
    <cellStyle name="常规 19 2 2 9 3" xfId="15415"/>
    <cellStyle name="常规 19 2 2 9 4" xfId="15416"/>
    <cellStyle name="常规 19 2 2 9 5" xfId="15418"/>
    <cellStyle name="常规 19 2 2 9 6" xfId="15420"/>
    <cellStyle name="常规 19 2 2 9 7" xfId="15421"/>
    <cellStyle name="常规 19 2 2 9 8" xfId="15422"/>
    <cellStyle name="常规 19 2 20" xfId="13183"/>
    <cellStyle name="常规 19 2 21" xfId="13192"/>
    <cellStyle name="常规 19 2 22" xfId="13203"/>
    <cellStyle name="常规 19 2 23" xfId="13220"/>
    <cellStyle name="常规 19 2 24" xfId="11224"/>
    <cellStyle name="常规 19 2 25" xfId="11229"/>
    <cellStyle name="常规 19 2 26" xfId="15384"/>
    <cellStyle name="常规 19 2 3" xfId="15423"/>
    <cellStyle name="常规 19 2 3 10" xfId="1729"/>
    <cellStyle name="常规 19 2 3 10 2" xfId="5551"/>
    <cellStyle name="常规 19 2 3 10 3" xfId="5561"/>
    <cellStyle name="常规 19 2 3 10 4" xfId="5566"/>
    <cellStyle name="常规 19 2 3 10 5" xfId="15424"/>
    <cellStyle name="常规 19 2 3 10 6" xfId="15425"/>
    <cellStyle name="常规 19 2 3 10 7" xfId="15426"/>
    <cellStyle name="常规 19 2 3 10 8" xfId="15427"/>
    <cellStyle name="常规 19 2 3 11" xfId="971"/>
    <cellStyle name="常规 19 2 3 11 2" xfId="5573"/>
    <cellStyle name="常规 19 2 3 11 3" xfId="5595"/>
    <cellStyle name="常规 19 2 3 11 4" xfId="5602"/>
    <cellStyle name="常规 19 2 3 11 5" xfId="15428"/>
    <cellStyle name="常规 19 2 3 11 6" xfId="15429"/>
    <cellStyle name="常规 19 2 3 11 7" xfId="15430"/>
    <cellStyle name="常规 19 2 3 11 8" xfId="15431"/>
    <cellStyle name="常规 19 2 3 12" xfId="978"/>
    <cellStyle name="常规 19 2 3 12 2" xfId="4890"/>
    <cellStyle name="常规 19 2 3 12 3" xfId="5581"/>
    <cellStyle name="常规 19 2 3 12 4" xfId="15432"/>
    <cellStyle name="常规 19 2 3 12 5" xfId="9595"/>
    <cellStyle name="常规 19 2 3 12 6" xfId="9602"/>
    <cellStyle name="常规 19 2 3 12 7" xfId="15435"/>
    <cellStyle name="常规 19 2 3 12 8" xfId="15438"/>
    <cellStyle name="常规 19 2 3 13" xfId="3208"/>
    <cellStyle name="常规 19 2 3 13 2" xfId="4901"/>
    <cellStyle name="常规 19 2 3 13 3" xfId="5599"/>
    <cellStyle name="常规 19 2 3 13 4" xfId="15442"/>
    <cellStyle name="常规 19 2 3 13 5" xfId="15443"/>
    <cellStyle name="常规 19 2 3 13 6" xfId="15444"/>
    <cellStyle name="常规 19 2 3 13 7" xfId="15445"/>
    <cellStyle name="常规 19 2 3 13 8" xfId="15446"/>
    <cellStyle name="常规 19 2 3 14" xfId="5613"/>
    <cellStyle name="常规 19 2 3 14 2" xfId="15447"/>
    <cellStyle name="常规 19 2 3 14 3" xfId="15449"/>
    <cellStyle name="常规 19 2 3 14 4" xfId="15451"/>
    <cellStyle name="常规 19 2 3 14 5" xfId="1244"/>
    <cellStyle name="常规 19 2 3 14 6" xfId="2770"/>
    <cellStyle name="常规 19 2 3 14 7" xfId="11024"/>
    <cellStyle name="常规 19 2 3 14 8" xfId="15453"/>
    <cellStyle name="常规 19 2 3 15" xfId="15455"/>
    <cellStyle name="常规 19 2 3 15 2" xfId="15458"/>
    <cellStyle name="常规 19 2 3 15 3" xfId="15461"/>
    <cellStyle name="常规 19 2 3 15 4" xfId="15465"/>
    <cellStyle name="常规 19 2 3 15 5" xfId="15471"/>
    <cellStyle name="常规 19 2 3 15 6" xfId="15475"/>
    <cellStyle name="常规 19 2 3 15 7" xfId="15477"/>
    <cellStyle name="常规 19 2 3 16" xfId="15479"/>
    <cellStyle name="常规 19 2 3 17" xfId="15482"/>
    <cellStyle name="常规 19 2 3 18" xfId="15484"/>
    <cellStyle name="常规 19 2 3 19" xfId="15486"/>
    <cellStyle name="常规 19 2 3 2" xfId="3901"/>
    <cellStyle name="常规 19 2 3 2 10" xfId="15487"/>
    <cellStyle name="常规 19 2 3 2 10 2" xfId="13480"/>
    <cellStyle name="常规 19 2 3 2 10 3" xfId="13483"/>
    <cellStyle name="常规 19 2 3 2 10 4" xfId="15488"/>
    <cellStyle name="常规 19 2 3 2 10 5" xfId="5272"/>
    <cellStyle name="常规 19 2 3 2 10 6" xfId="2845"/>
    <cellStyle name="常规 19 2 3 2 10 7" xfId="2849"/>
    <cellStyle name="常规 19 2 3 2 10 8" xfId="5306"/>
    <cellStyle name="常规 19 2 3 2 11" xfId="15489"/>
    <cellStyle name="常规 19 2 3 2 11 2" xfId="13490"/>
    <cellStyle name="常规 19 2 3 2 11 3" xfId="13496"/>
    <cellStyle name="常规 19 2 3 2 11 4" xfId="15490"/>
    <cellStyle name="常规 19 2 3 2 11 5" xfId="5322"/>
    <cellStyle name="常规 19 2 3 2 11 6" xfId="5358"/>
    <cellStyle name="常规 19 2 3 2 11 7" xfId="5373"/>
    <cellStyle name="常规 19 2 3 2 11 8" xfId="15493"/>
    <cellStyle name="常规 19 2 3 2 12" xfId="15494"/>
    <cellStyle name="常规 19 2 3 2 12 2" xfId="13516"/>
    <cellStyle name="常规 19 2 3 2 12 3" xfId="13521"/>
    <cellStyle name="常规 19 2 3 2 12 4" xfId="15495"/>
    <cellStyle name="常规 19 2 3 2 12 5" xfId="5385"/>
    <cellStyle name="常规 19 2 3 2 12 6" xfId="5407"/>
    <cellStyle name="常规 19 2 3 2 12 7" xfId="5417"/>
    <cellStyle name="常规 19 2 3 2 12 8" xfId="15497"/>
    <cellStyle name="常规 19 2 3 2 13" xfId="15499"/>
    <cellStyle name="常规 19 2 3 2 13 2" xfId="3936"/>
    <cellStyle name="常规 19 2 3 2 13 3" xfId="12800"/>
    <cellStyle name="常规 19 2 3 2 13 4" xfId="12805"/>
    <cellStyle name="常规 19 2 3 2 13 5" xfId="4815"/>
    <cellStyle name="常规 19 2 3 2 13 6" xfId="4842"/>
    <cellStyle name="常规 19 2 3 2 13 7" xfId="15502"/>
    <cellStyle name="常规 19 2 3 2 14" xfId="11443"/>
    <cellStyle name="常规 19 2 3 2 15" xfId="783"/>
    <cellStyle name="常规 19 2 3 2 16" xfId="2573"/>
    <cellStyle name="常规 19 2 3 2 17" xfId="15505"/>
    <cellStyle name="常规 19 2 3 2 18" xfId="15506"/>
    <cellStyle name="常规 19 2 3 2 19" xfId="15507"/>
    <cellStyle name="常规 19 2 3 2 2" xfId="11594"/>
    <cellStyle name="常规 19 2 3 2 2 10" xfId="15508"/>
    <cellStyle name="常规 19 2 3 2 2 10 2" xfId="15509"/>
    <cellStyle name="常规 19 2 3 2 2 10 3" xfId="7303"/>
    <cellStyle name="常规 19 2 3 2 2 10 4" xfId="8248"/>
    <cellStyle name="常规 19 2 3 2 2 10 5" xfId="15510"/>
    <cellStyle name="常规 19 2 3 2 2 10 6" xfId="15511"/>
    <cellStyle name="常规 19 2 3 2 2 10 7" xfId="15513"/>
    <cellStyle name="常规 19 2 3 2 2 10 8" xfId="15515"/>
    <cellStyle name="常规 19 2 3 2 2 11" xfId="15516"/>
    <cellStyle name="常规 19 2 3 2 2 11 2" xfId="15517"/>
    <cellStyle name="常规 19 2 3 2 2 11 3" xfId="3913"/>
    <cellStyle name="常规 19 2 3 2 2 11 4" xfId="15521"/>
    <cellStyle name="常规 19 2 3 2 2 11 5" xfId="15522"/>
    <cellStyle name="常规 19 2 3 2 2 11 6" xfId="15525"/>
    <cellStyle name="常规 19 2 3 2 2 11 7" xfId="15528"/>
    <cellStyle name="常规 19 2 3 2 2 11 8" xfId="15530"/>
    <cellStyle name="常规 19 2 3 2 2 12" xfId="15531"/>
    <cellStyle name="常规 19 2 3 2 2 12 2" xfId="15533"/>
    <cellStyle name="常规 19 2 3 2 2 12 3" xfId="15536"/>
    <cellStyle name="常规 19 2 3 2 2 12 4" xfId="15538"/>
    <cellStyle name="常规 19 2 3 2 2 12 5" xfId="15540"/>
    <cellStyle name="常规 19 2 3 2 2 12 6" xfId="15542"/>
    <cellStyle name="常规 19 2 3 2 2 12 7" xfId="15543"/>
    <cellStyle name="常规 19 2 3 2 2 13" xfId="15545"/>
    <cellStyle name="常规 19 2 3 2 2 14" xfId="15547"/>
    <cellStyle name="常规 19 2 3 2 2 15" xfId="15548"/>
    <cellStyle name="常规 19 2 3 2 2 16" xfId="8350"/>
    <cellStyle name="常规 19 2 3 2 2 17" xfId="8355"/>
    <cellStyle name="常规 19 2 3 2 2 18" xfId="8815"/>
    <cellStyle name="常规 19 2 3 2 2 19" xfId="8819"/>
    <cellStyle name="常规 19 2 3 2 2 2" xfId="15550"/>
    <cellStyle name="常规 19 2 3 2 2 2 10" xfId="15552"/>
    <cellStyle name="常规 19 2 3 2 2 2 10 2" xfId="2043"/>
    <cellStyle name="常规 19 2 3 2 2 2 10 3" xfId="15553"/>
    <cellStyle name="常规 19 2 3 2 2 2 10 4" xfId="15554"/>
    <cellStyle name="常规 19 2 3 2 2 2 10 5" xfId="15555"/>
    <cellStyle name="常规 19 2 3 2 2 2 10 6" xfId="15556"/>
    <cellStyle name="常规 19 2 3 2 2 2 10 7" xfId="4463"/>
    <cellStyle name="常规 19 2 3 2 2 2 11" xfId="15558"/>
    <cellStyle name="常规 19 2 3 2 2 2 12" xfId="3216"/>
    <cellStyle name="常规 19 2 3 2 2 2 13" xfId="3236"/>
    <cellStyle name="常规 19 2 3 2 2 2 14" xfId="4397"/>
    <cellStyle name="常规 19 2 3 2 2 2 15" xfId="2747"/>
    <cellStyle name="常规 19 2 3 2 2 2 16" xfId="21"/>
    <cellStyle name="常规 19 2 3 2 2 2 17" xfId="15559"/>
    <cellStyle name="常规 19 2 3 2 2 2 2" xfId="6114"/>
    <cellStyle name="常规 19 2 3 2 2 2 2 2" xfId="6119"/>
    <cellStyle name="常规 19 2 3 2 2 2 2 3" xfId="6123"/>
    <cellStyle name="常规 19 2 3 2 2 2 2 4" xfId="9084"/>
    <cellStyle name="常规 19 2 3 2 2 2 2 5" xfId="8318"/>
    <cellStyle name="常规 19 2 3 2 2 2 2 6" xfId="8324"/>
    <cellStyle name="常规 19 2 3 2 2 2 2 7" xfId="15563"/>
    <cellStyle name="常规 19 2 3 2 2 2 2 8" xfId="15567"/>
    <cellStyle name="常规 19 2 3 2 2 2 3" xfId="6127"/>
    <cellStyle name="常规 19 2 3 2 2 2 3 2" xfId="7567"/>
    <cellStyle name="常规 19 2 3 2 2 2 3 3" xfId="7604"/>
    <cellStyle name="常规 19 2 3 2 2 2 3 4" xfId="3864"/>
    <cellStyle name="常规 19 2 3 2 2 2 3 5" xfId="10718"/>
    <cellStyle name="常规 19 2 3 2 2 2 3 6" xfId="10746"/>
    <cellStyle name="常规 19 2 3 2 2 2 3 7" xfId="10764"/>
    <cellStyle name="常规 19 2 3 2 2 2 3 8" xfId="10776"/>
    <cellStyle name="常规 19 2 3 2 2 2 4" xfId="1554"/>
    <cellStyle name="常规 19 2 3 2 2 2 4 2" xfId="4766"/>
    <cellStyle name="常规 19 2 3 2 2 2 4 3" xfId="4773"/>
    <cellStyle name="常规 19 2 3 2 2 2 4 4" xfId="5507"/>
    <cellStyle name="常规 19 2 3 2 2 2 4 5" xfId="5513"/>
    <cellStyle name="常规 19 2 3 2 2 2 4 6" xfId="10857"/>
    <cellStyle name="常规 19 2 3 2 2 2 4 7" xfId="10871"/>
    <cellStyle name="常规 19 2 3 2 2 2 4 8" xfId="15570"/>
    <cellStyle name="常规 19 2 3 2 2 2 5" xfId="1566"/>
    <cellStyle name="常规 19 2 3 2 2 2 5 2" xfId="10874"/>
    <cellStyle name="常规 19 2 3 2 2 2 5 3" xfId="10882"/>
    <cellStyle name="常规 19 2 3 2 2 2 5 4" xfId="10889"/>
    <cellStyle name="常规 19 2 3 2 2 2 5 5" xfId="15571"/>
    <cellStyle name="常规 19 2 3 2 2 2 5 6" xfId="15575"/>
    <cellStyle name="常规 19 2 3 2 2 2 5 7" xfId="15579"/>
    <cellStyle name="常规 19 2 3 2 2 2 5 8" xfId="15580"/>
    <cellStyle name="常规 19 2 3 2 2 2 6" xfId="6070"/>
    <cellStyle name="常规 19 2 3 2 2 2 6 2" xfId="10894"/>
    <cellStyle name="常规 19 2 3 2 2 2 6 3" xfId="10909"/>
    <cellStyle name="常规 19 2 3 2 2 2 6 4" xfId="10921"/>
    <cellStyle name="常规 19 2 3 2 2 2 6 5" xfId="14951"/>
    <cellStyle name="常规 19 2 3 2 2 2 6 6" xfId="15583"/>
    <cellStyle name="常规 19 2 3 2 2 2 6 7" xfId="15586"/>
    <cellStyle name="常规 19 2 3 2 2 2 6 8" xfId="15589"/>
    <cellStyle name="常规 19 2 3 2 2 2 7" xfId="9312"/>
    <cellStyle name="常规 19 2 3 2 2 2 7 2" xfId="1950"/>
    <cellStyle name="常规 19 2 3 2 2 2 7 3" xfId="9319"/>
    <cellStyle name="常规 19 2 3 2 2 2 7 4" xfId="10947"/>
    <cellStyle name="常规 19 2 3 2 2 2 7 5" xfId="15596"/>
    <cellStyle name="常规 19 2 3 2 2 2 7 6" xfId="15604"/>
    <cellStyle name="常规 19 2 3 2 2 2 7 7" xfId="15610"/>
    <cellStyle name="常规 19 2 3 2 2 2 7 8" xfId="15616"/>
    <cellStyle name="常规 19 2 3 2 2 2 8" xfId="9329"/>
    <cellStyle name="常规 19 2 3 2 2 2 8 2" xfId="10952"/>
    <cellStyle name="常规 19 2 3 2 2 2 8 3" xfId="10966"/>
    <cellStyle name="常规 19 2 3 2 2 2 8 4" xfId="15624"/>
    <cellStyle name="常规 19 2 3 2 2 2 8 5" xfId="11516"/>
    <cellStyle name="常规 19 2 3 2 2 2 8 6" xfId="6279"/>
    <cellStyle name="常规 19 2 3 2 2 2 8 7" xfId="6287"/>
    <cellStyle name="常规 19 2 3 2 2 2 8 8" xfId="15629"/>
    <cellStyle name="常规 19 2 3 2 2 2 9" xfId="2037"/>
    <cellStyle name="常规 19 2 3 2 2 2 9 2" xfId="2045"/>
    <cellStyle name="常规 19 2 3 2 2 2 9 3" xfId="2052"/>
    <cellStyle name="常规 19 2 3 2 2 2 9 4" xfId="6295"/>
    <cellStyle name="常规 19 2 3 2 2 2 9 5" xfId="6904"/>
    <cellStyle name="常规 19 2 3 2 2 2 9 6" xfId="6925"/>
    <cellStyle name="常规 19 2 3 2 2 2 9 7" xfId="4460"/>
    <cellStyle name="常规 19 2 3 2 2 2 9 8" xfId="4471"/>
    <cellStyle name="常规 19 2 3 2 2 3" xfId="85"/>
    <cellStyle name="常规 19 2 3 2 2 3 2" xfId="6142"/>
    <cellStyle name="常规 19 2 3 2 2 3 3" xfId="6150"/>
    <cellStyle name="常规 19 2 3 2 2 3 4" xfId="4779"/>
    <cellStyle name="常规 19 2 3 2 2 3 5" xfId="4784"/>
    <cellStyle name="常规 19 2 3 2 2 3 6" xfId="11197"/>
    <cellStyle name="常规 19 2 3 2 2 3 7" xfId="9335"/>
    <cellStyle name="常规 19 2 3 2 2 3 8" xfId="9341"/>
    <cellStyle name="常规 19 2 3 2 2 4" xfId="15632"/>
    <cellStyle name="常规 19 2 3 2 2 4 2" xfId="6171"/>
    <cellStyle name="常规 19 2 3 2 2 4 3" xfId="11293"/>
    <cellStyle name="常规 19 2 3 2 2 4 4" xfId="11347"/>
    <cellStyle name="常规 19 2 3 2 2 4 5" xfId="11355"/>
    <cellStyle name="常规 19 2 3 2 2 4 6" xfId="11373"/>
    <cellStyle name="常规 19 2 3 2 2 4 7" xfId="11392"/>
    <cellStyle name="常规 19 2 3 2 2 4 8" xfId="10680"/>
    <cellStyle name="常规 19 2 3 2 2 5" xfId="15532"/>
    <cellStyle name="常规 19 2 3 2 2 5 2" xfId="15633"/>
    <cellStyle name="常规 19 2 3 2 2 5 3" xfId="11403"/>
    <cellStyle name="常规 19 2 3 2 2 5 4" xfId="11407"/>
    <cellStyle name="常规 19 2 3 2 2 5 5" xfId="11411"/>
    <cellStyle name="常规 19 2 3 2 2 5 6" xfId="11426"/>
    <cellStyle name="常规 19 2 3 2 2 5 7" xfId="11432"/>
    <cellStyle name="常规 19 2 3 2 2 5 8" xfId="10697"/>
    <cellStyle name="常规 19 2 3 2 2 6" xfId="15535"/>
    <cellStyle name="常规 19 2 3 2 2 6 2" xfId="15634"/>
    <cellStyle name="常规 19 2 3 2 2 6 3" xfId="11440"/>
    <cellStyle name="常规 19 2 3 2 2 6 4" xfId="11453"/>
    <cellStyle name="常规 19 2 3 2 2 6 5" xfId="11459"/>
    <cellStyle name="常规 19 2 3 2 2 6 6" xfId="15637"/>
    <cellStyle name="常规 19 2 3 2 2 6 7" xfId="15641"/>
    <cellStyle name="常规 19 2 3 2 2 6 8" xfId="10703"/>
    <cellStyle name="常规 19 2 3 2 2 7" xfId="15537"/>
    <cellStyle name="常规 19 2 3 2 2 7 2" xfId="15643"/>
    <cellStyle name="常规 19 2 3 2 2 7 3" xfId="11465"/>
    <cellStyle name="常规 19 2 3 2 2 7 4" xfId="11469"/>
    <cellStyle name="常规 19 2 3 2 2 7 5" xfId="11474"/>
    <cellStyle name="常规 19 2 3 2 2 7 6" xfId="15646"/>
    <cellStyle name="常规 19 2 3 2 2 7 7" xfId="15650"/>
    <cellStyle name="常规 19 2 3 2 2 7 8" xfId="15654"/>
    <cellStyle name="常规 19 2 3 2 2 8" xfId="15539"/>
    <cellStyle name="常规 19 2 3 2 2 8 2" xfId="15656"/>
    <cellStyle name="常规 19 2 3 2 2 8 3" xfId="11480"/>
    <cellStyle name="常规 19 2 3 2 2 8 4" xfId="11490"/>
    <cellStyle name="常规 19 2 3 2 2 8 5" xfId="11497"/>
    <cellStyle name="常规 19 2 3 2 2 8 6" xfId="15659"/>
    <cellStyle name="常规 19 2 3 2 2 8 7" xfId="15663"/>
    <cellStyle name="常规 19 2 3 2 2 8 8" xfId="15668"/>
    <cellStyle name="常规 19 2 3 2 2 9" xfId="15541"/>
    <cellStyle name="常规 19 2 3 2 2 9 2" xfId="15671"/>
    <cellStyle name="常规 19 2 3 2 2 9 3" xfId="15673"/>
    <cellStyle name="常规 19 2 3 2 2 9 4" xfId="15675"/>
    <cellStyle name="常规 19 2 3 2 2 9 5" xfId="15678"/>
    <cellStyle name="常规 19 2 3 2 2 9 6" xfId="15682"/>
    <cellStyle name="常规 19 2 3 2 2 9 7" xfId="15686"/>
    <cellStyle name="常规 19 2 3 2 2 9 8" xfId="15691"/>
    <cellStyle name="常规 19 2 3 2 20" xfId="782"/>
    <cellStyle name="常规 19 2 3 2 3" xfId="7663"/>
    <cellStyle name="常规 19 2 3 2 3 10" xfId="15694"/>
    <cellStyle name="常规 19 2 3 2 3 10 2" xfId="15695"/>
    <cellStyle name="常规 19 2 3 2 3 10 3" xfId="5140"/>
    <cellStyle name="常规 19 2 3 2 3 10 4" xfId="5151"/>
    <cellStyle name="常规 19 2 3 2 3 10 5" xfId="10420"/>
    <cellStyle name="常规 19 2 3 2 3 10 6" xfId="10434"/>
    <cellStyle name="常规 19 2 3 2 3 10 7" xfId="15696"/>
    <cellStyle name="常规 19 2 3 2 3 11" xfId="15698"/>
    <cellStyle name="常规 19 2 3 2 3 12" xfId="15701"/>
    <cellStyle name="常规 19 2 3 2 3 13" xfId="15704"/>
    <cellStyle name="常规 19 2 3 2 3 14" xfId="15707"/>
    <cellStyle name="常规 19 2 3 2 3 15" xfId="15709"/>
    <cellStyle name="常规 19 2 3 2 3 16" xfId="15711"/>
    <cellStyle name="常规 19 2 3 2 3 17" xfId="11394"/>
    <cellStyle name="常规 19 2 3 2 3 2" xfId="7667"/>
    <cellStyle name="常规 19 2 3 2 3 2 2" xfId="15714"/>
    <cellStyle name="常规 19 2 3 2 3 2 3" xfId="15718"/>
    <cellStyle name="常规 19 2 3 2 3 2 4" xfId="4903"/>
    <cellStyle name="常规 19 2 3 2 3 2 5" xfId="4916"/>
    <cellStyle name="常规 19 2 3 2 3 2 6" xfId="15721"/>
    <cellStyle name="常规 19 2 3 2 3 2 7" xfId="2839"/>
    <cellStyle name="常规 19 2 3 2 3 2 8" xfId="1946"/>
    <cellStyle name="常规 19 2 3 2 3 3" xfId="7674"/>
    <cellStyle name="常规 19 2 3 2 3 3 2" xfId="15723"/>
    <cellStyle name="常规 19 2 3 2 3 3 3" xfId="15724"/>
    <cellStyle name="常规 19 2 3 2 3 3 4" xfId="4922"/>
    <cellStyle name="常规 19 2 3 2 3 3 5" xfId="4924"/>
    <cellStyle name="常规 19 2 3 2 3 3 6" xfId="15725"/>
    <cellStyle name="常规 19 2 3 2 3 3 7" xfId="9359"/>
    <cellStyle name="常规 19 2 3 2 3 3 8" xfId="9369"/>
    <cellStyle name="常规 19 2 3 2 3 4" xfId="8235"/>
    <cellStyle name="常规 19 2 3 2 3 4 2" xfId="15726"/>
    <cellStyle name="常规 19 2 3 2 3 4 3" xfId="15728"/>
    <cellStyle name="常规 19 2 3 2 3 4 4" xfId="15730"/>
    <cellStyle name="常规 19 2 3 2 3 4 5" xfId="15732"/>
    <cellStyle name="常规 19 2 3 2 3 4 6" xfId="15734"/>
    <cellStyle name="常规 19 2 3 2 3 4 7" xfId="15735"/>
    <cellStyle name="常规 19 2 3 2 3 4 8" xfId="10080"/>
    <cellStyle name="常规 19 2 3 2 3 5" xfId="8241"/>
    <cellStyle name="常规 19 2 3 2 3 5 2" xfId="15736"/>
    <cellStyle name="常规 19 2 3 2 3 5 3" xfId="15739"/>
    <cellStyle name="常规 19 2 3 2 3 5 4" xfId="15742"/>
    <cellStyle name="常规 19 2 3 2 3 5 5" xfId="15745"/>
    <cellStyle name="常规 19 2 3 2 3 5 6" xfId="15746"/>
    <cellStyle name="常规 19 2 3 2 3 5 7" xfId="15748"/>
    <cellStyle name="常规 19 2 3 2 3 5 8" xfId="10708"/>
    <cellStyle name="常规 19 2 3 2 3 6" xfId="13421"/>
    <cellStyle name="常规 19 2 3 2 3 6 2" xfId="15749"/>
    <cellStyle name="常规 19 2 3 2 3 6 3" xfId="15750"/>
    <cellStyle name="常规 19 2 3 2 3 6 4" xfId="15751"/>
    <cellStyle name="常规 19 2 3 2 3 6 5" xfId="15752"/>
    <cellStyle name="常规 19 2 3 2 3 6 6" xfId="15753"/>
    <cellStyle name="常规 19 2 3 2 3 6 7" xfId="1913"/>
    <cellStyle name="常规 19 2 3 2 3 6 8" xfId="3942"/>
    <cellStyle name="常规 19 2 3 2 3 7" xfId="15754"/>
    <cellStyle name="常规 19 2 3 2 3 7 2" xfId="5641"/>
    <cellStyle name="常规 19 2 3 2 3 7 3" xfId="15755"/>
    <cellStyle name="常规 19 2 3 2 3 7 4" xfId="15756"/>
    <cellStyle name="常规 19 2 3 2 3 7 5" xfId="15757"/>
    <cellStyle name="常规 19 2 3 2 3 7 6" xfId="15758"/>
    <cellStyle name="常规 19 2 3 2 3 7 7" xfId="3948"/>
    <cellStyle name="常规 19 2 3 2 3 7 8" xfId="3951"/>
    <cellStyle name="常规 19 2 3 2 3 8" xfId="15759"/>
    <cellStyle name="常规 19 2 3 2 3 8 2" xfId="5646"/>
    <cellStyle name="常规 19 2 3 2 3 8 3" xfId="15760"/>
    <cellStyle name="常规 19 2 3 2 3 8 4" xfId="15761"/>
    <cellStyle name="常规 19 2 3 2 3 8 5" xfId="15762"/>
    <cellStyle name="常规 19 2 3 2 3 8 6" xfId="15763"/>
    <cellStyle name="常规 19 2 3 2 3 8 7" xfId="3803"/>
    <cellStyle name="常规 19 2 3 2 3 8 8" xfId="4572"/>
    <cellStyle name="常规 19 2 3 2 3 9" xfId="15764"/>
    <cellStyle name="常规 19 2 3 2 3 9 2" xfId="15765"/>
    <cellStyle name="常规 19 2 3 2 3 9 3" xfId="15766"/>
    <cellStyle name="常规 19 2 3 2 3 9 4" xfId="15767"/>
    <cellStyle name="常规 19 2 3 2 3 9 5" xfId="15768"/>
    <cellStyle name="常规 19 2 3 2 3 9 6" xfId="15769"/>
    <cellStyle name="常规 19 2 3 2 3 9 7" xfId="4823"/>
    <cellStyle name="常规 19 2 3 2 3 9 8" xfId="4829"/>
    <cellStyle name="常规 19 2 3 2 4" xfId="6621"/>
    <cellStyle name="常规 19 2 3 2 4 2" xfId="15770"/>
    <cellStyle name="常规 19 2 3 2 4 3" xfId="15773"/>
    <cellStyle name="常规 19 2 3 2 4 4" xfId="15774"/>
    <cellStyle name="常规 19 2 3 2 4 5" xfId="15775"/>
    <cellStyle name="常规 19 2 3 2 4 6" xfId="15776"/>
    <cellStyle name="常规 19 2 3 2 4 7" xfId="4631"/>
    <cellStyle name="常规 19 2 3 2 4 8" xfId="1414"/>
    <cellStyle name="常规 19 2 3 2 5" xfId="12755"/>
    <cellStyle name="常规 19 2 3 2 5 2" xfId="15777"/>
    <cellStyle name="常规 19 2 3 2 5 3" xfId="9485"/>
    <cellStyle name="常规 19 2 3 2 5 4" xfId="9487"/>
    <cellStyle name="常规 19 2 3 2 5 5" xfId="15779"/>
    <cellStyle name="常规 19 2 3 2 5 6" xfId="15781"/>
    <cellStyle name="常规 19 2 3 2 5 7" xfId="15782"/>
    <cellStyle name="常规 19 2 3 2 5 8" xfId="15783"/>
    <cellStyle name="常规 19 2 3 2 6" xfId="12758"/>
    <cellStyle name="常规 19 2 3 2 6 2" xfId="15784"/>
    <cellStyle name="常规 19 2 3 2 6 3" xfId="15785"/>
    <cellStyle name="常规 19 2 3 2 6 4" xfId="15786"/>
    <cellStyle name="常规 19 2 3 2 6 5" xfId="15787"/>
    <cellStyle name="常规 19 2 3 2 6 6" xfId="11647"/>
    <cellStyle name="常规 19 2 3 2 6 7" xfId="11649"/>
    <cellStyle name="常规 19 2 3 2 6 8" xfId="15788"/>
    <cellStyle name="常规 19 2 3 2 7" xfId="12762"/>
    <cellStyle name="常规 19 2 3 2 7 2" xfId="15790"/>
    <cellStyle name="常规 19 2 3 2 7 3" xfId="15792"/>
    <cellStyle name="常规 19 2 3 2 7 4" xfId="15793"/>
    <cellStyle name="常规 19 2 3 2 7 5" xfId="15794"/>
    <cellStyle name="常规 19 2 3 2 7 6" xfId="15795"/>
    <cellStyle name="常规 19 2 3 2 7 7" xfId="1422"/>
    <cellStyle name="常规 19 2 3 2 7 8" xfId="1444"/>
    <cellStyle name="常规 19 2 3 2 8" xfId="9976"/>
    <cellStyle name="常规 19 2 3 2 8 2" xfId="8375"/>
    <cellStyle name="常规 19 2 3 2 8 3" xfId="8846"/>
    <cellStyle name="常规 19 2 3 2 8 4" xfId="8854"/>
    <cellStyle name="常规 19 2 3 2 8 5" xfId="9231"/>
    <cellStyle name="常规 19 2 3 2 8 6" xfId="9239"/>
    <cellStyle name="常规 19 2 3 2 8 7" xfId="1454"/>
    <cellStyle name="常规 19 2 3 2 8 8" xfId="1462"/>
    <cellStyle name="常规 19 2 3 2 9" xfId="9980"/>
    <cellStyle name="常规 19 2 3 2 9 2" xfId="8387"/>
    <cellStyle name="常规 19 2 3 2 9 3" xfId="8865"/>
    <cellStyle name="常规 19 2 3 2 9 4" xfId="8871"/>
    <cellStyle name="常规 19 2 3 2 9 5" xfId="9244"/>
    <cellStyle name="常规 19 2 3 2 9 6" xfId="9248"/>
    <cellStyle name="常规 19 2 3 2 9 7" xfId="15797"/>
    <cellStyle name="常规 19 2 3 2 9 8" xfId="15799"/>
    <cellStyle name="常规 19 2 3 20" xfId="15454"/>
    <cellStyle name="常规 19 2 3 21" xfId="15478"/>
    <cellStyle name="常规 19 2 3 22" xfId="15481"/>
    <cellStyle name="常规 19 2 3 3" xfId="13974"/>
    <cellStyle name="常规 19 2 3 3 10" xfId="7896"/>
    <cellStyle name="常规 19 2 3 3 10 2" xfId="15800"/>
    <cellStyle name="常规 19 2 3 3 10 3" xfId="15802"/>
    <cellStyle name="常规 19 2 3 3 10 4" xfId="15804"/>
    <cellStyle name="常规 19 2 3 3 10 5" xfId="48"/>
    <cellStyle name="常规 19 2 3 3 10 6" xfId="5706"/>
    <cellStyle name="常规 19 2 3 3 10 7" xfId="12418"/>
    <cellStyle name="常规 19 2 3 3 10 8" xfId="12938"/>
    <cellStyle name="常规 19 2 3 3 11" xfId="15805"/>
    <cellStyle name="常规 19 2 3 3 11 2" xfId="15806"/>
    <cellStyle name="常规 19 2 3 3 11 3" xfId="15808"/>
    <cellStyle name="常规 19 2 3 3 11 4" xfId="15810"/>
    <cellStyle name="常规 19 2 3 3 11 5" xfId="5719"/>
    <cellStyle name="常规 19 2 3 3 11 6" xfId="5729"/>
    <cellStyle name="常规 19 2 3 3 11 7" xfId="12427"/>
    <cellStyle name="常规 19 2 3 3 11 8" xfId="12953"/>
    <cellStyle name="常规 19 2 3 3 12" xfId="10373"/>
    <cellStyle name="常规 19 2 3 3 12 2" xfId="10375"/>
    <cellStyle name="常规 19 2 3 3 12 3" xfId="10378"/>
    <cellStyle name="常规 19 2 3 3 12 4" xfId="15812"/>
    <cellStyle name="常规 19 2 3 3 12 5" xfId="15814"/>
    <cellStyle name="常规 19 2 3 3 12 6" xfId="15815"/>
    <cellStyle name="常规 19 2 3 3 12 7" xfId="12962"/>
    <cellStyle name="常规 19 2 3 3 13" xfId="8300"/>
    <cellStyle name="常规 19 2 3 3 14" xfId="8403"/>
    <cellStyle name="常规 19 2 3 3 15" xfId="8455"/>
    <cellStyle name="常规 19 2 3 3 16" xfId="8539"/>
    <cellStyle name="常规 19 2 3 3 17" xfId="8589"/>
    <cellStyle name="常规 19 2 3 3 18" xfId="8610"/>
    <cellStyle name="常规 19 2 3 3 19" xfId="8646"/>
    <cellStyle name="常规 19 2 3 3 2" xfId="11607"/>
    <cellStyle name="常规 19 2 3 3 2 10" xfId="15817"/>
    <cellStyle name="常规 19 2 3 3 2 10 2" xfId="15818"/>
    <cellStyle name="常规 19 2 3 3 2 10 3" xfId="15819"/>
    <cellStyle name="常规 19 2 3 3 2 10 4" xfId="15820"/>
    <cellStyle name="常规 19 2 3 3 2 10 5" xfId="15821"/>
    <cellStyle name="常规 19 2 3 3 2 10 6" xfId="15822"/>
    <cellStyle name="常规 19 2 3 3 2 10 7" xfId="15824"/>
    <cellStyle name="常规 19 2 3 3 2 11" xfId="15825"/>
    <cellStyle name="常规 19 2 3 3 2 12" xfId="15827"/>
    <cellStyle name="常规 19 2 3 3 2 13" xfId="15829"/>
    <cellStyle name="常规 19 2 3 3 2 14" xfId="15831"/>
    <cellStyle name="常规 19 2 3 3 2 15" xfId="15833"/>
    <cellStyle name="常规 19 2 3 3 2 16" xfId="15835"/>
    <cellStyle name="常规 19 2 3 3 2 17" xfId="15838"/>
    <cellStyle name="常规 19 2 3 3 2 2" xfId="15841"/>
    <cellStyle name="常规 19 2 3 3 2 2 2" xfId="6610"/>
    <cellStyle name="常规 19 2 3 3 2 2 3" xfId="6613"/>
    <cellStyle name="常规 19 2 3 3 2 2 4" xfId="15844"/>
    <cellStyle name="常规 19 2 3 3 2 2 5" xfId="9054"/>
    <cellStyle name="常规 19 2 3 3 2 2 6" xfId="9059"/>
    <cellStyle name="常规 19 2 3 3 2 2 7" xfId="389"/>
    <cellStyle name="常规 19 2 3 3 2 2 8" xfId="323"/>
    <cellStyle name="常规 19 2 3 3 2 3" xfId="15848"/>
    <cellStyle name="常规 19 2 3 3 2 3 2" xfId="607"/>
    <cellStyle name="常规 19 2 3 3 2 3 3" xfId="708"/>
    <cellStyle name="常规 19 2 3 3 2 3 4" xfId="854"/>
    <cellStyle name="常规 19 2 3 3 2 3 5" xfId="895"/>
    <cellStyle name="常规 19 2 3 3 2 3 6" xfId="909"/>
    <cellStyle name="常规 19 2 3 3 2 3 7" xfId="593"/>
    <cellStyle name="常规 19 2 3 3 2 3 8" xfId="600"/>
    <cellStyle name="常规 19 2 3 3 2 4" xfId="15851"/>
    <cellStyle name="常规 19 2 3 3 2 4 2" xfId="1102"/>
    <cellStyle name="常规 19 2 3 3 2 4 3" xfId="1169"/>
    <cellStyle name="常规 19 2 3 3 2 4 4" xfId="1254"/>
    <cellStyle name="常规 19 2 3 3 2 4 5" xfId="1271"/>
    <cellStyle name="常规 19 2 3 3 2 4 6" xfId="522"/>
    <cellStyle name="常规 19 2 3 3 2 4 7" xfId="15853"/>
    <cellStyle name="常规 19 2 3 3 2 4 8" xfId="10807"/>
    <cellStyle name="常规 19 2 3 3 2 5" xfId="15855"/>
    <cellStyle name="常规 19 2 3 3 2 5 2" xfId="1409"/>
    <cellStyle name="常规 19 2 3 3 2 5 3" xfId="1475"/>
    <cellStyle name="常规 19 2 3 3 2 5 4" xfId="1586"/>
    <cellStyle name="常规 19 2 3 3 2 5 5" xfId="1611"/>
    <cellStyle name="常规 19 2 3 3 2 5 6" xfId="1621"/>
    <cellStyle name="常规 19 2 3 3 2 5 7" xfId="15857"/>
    <cellStyle name="常规 19 2 3 3 2 5 8" xfId="10818"/>
    <cellStyle name="常规 19 2 3 3 2 6" xfId="15859"/>
    <cellStyle name="常规 19 2 3 3 2 6 2" xfId="1711"/>
    <cellStyle name="常规 19 2 3 3 2 6 3" xfId="1756"/>
    <cellStyle name="常规 19 2 3 3 2 6 4" xfId="1781"/>
    <cellStyle name="常规 19 2 3 3 2 6 5" xfId="15860"/>
    <cellStyle name="常规 19 2 3 3 2 6 6" xfId="15862"/>
    <cellStyle name="常规 19 2 3 3 2 6 7" xfId="15864"/>
    <cellStyle name="常规 19 2 3 3 2 6 8" xfId="15866"/>
    <cellStyle name="常规 19 2 3 3 2 7" xfId="15869"/>
    <cellStyle name="常规 19 2 3 3 2 7 2" xfId="310"/>
    <cellStyle name="常规 19 2 3 3 2 7 3" xfId="1672"/>
    <cellStyle name="常规 19 2 3 3 2 7 4" xfId="15870"/>
    <cellStyle name="常规 19 2 3 3 2 7 5" xfId="15872"/>
    <cellStyle name="常规 19 2 3 3 2 7 6" xfId="15874"/>
    <cellStyle name="常规 19 2 3 3 2 7 7" xfId="15876"/>
    <cellStyle name="常规 19 2 3 3 2 7 8" xfId="15878"/>
    <cellStyle name="常规 19 2 3 3 2 8" xfId="11510"/>
    <cellStyle name="常规 19 2 3 3 2 8 2" xfId="1716"/>
    <cellStyle name="常规 19 2 3 3 2 8 3" xfId="1745"/>
    <cellStyle name="常规 19 2 3 3 2 8 4" xfId="7431"/>
    <cellStyle name="常规 19 2 3 3 2 8 5" xfId="6092"/>
    <cellStyle name="常规 19 2 3 3 2 8 6" xfId="6101"/>
    <cellStyle name="常规 19 2 3 3 2 8 7" xfId="7457"/>
    <cellStyle name="常规 19 2 3 3 2 8 8" xfId="15881"/>
    <cellStyle name="常规 19 2 3 3 2 9" xfId="11527"/>
    <cellStyle name="常规 19 2 3 3 2 9 2" xfId="1761"/>
    <cellStyle name="常规 19 2 3 3 2 9 3" xfId="3780"/>
    <cellStyle name="常规 19 2 3 3 2 9 4" xfId="3807"/>
    <cellStyle name="常规 19 2 3 3 2 9 5" xfId="1506"/>
    <cellStyle name="常规 19 2 3 3 2 9 6" xfId="1522"/>
    <cellStyle name="常规 19 2 3 3 2 9 7" xfId="15883"/>
    <cellStyle name="常规 19 2 3 3 2 9 8" xfId="15885"/>
    <cellStyle name="常规 19 2 3 3 3" xfId="7682"/>
    <cellStyle name="常规 19 2 3 3 3 2" xfId="15889"/>
    <cellStyle name="常规 19 2 3 3 3 3" xfId="15893"/>
    <cellStyle name="常规 19 2 3 3 3 4" xfId="15899"/>
    <cellStyle name="常规 19 2 3 3 3 5" xfId="15904"/>
    <cellStyle name="常规 19 2 3 3 3 6" xfId="15906"/>
    <cellStyle name="常规 19 2 3 3 3 7" xfId="15907"/>
    <cellStyle name="常规 19 2 3 3 3 8" xfId="304"/>
    <cellStyle name="常规 19 2 3 3 4" xfId="1963"/>
    <cellStyle name="常规 19 2 3 3 4 2" xfId="15908"/>
    <cellStyle name="常规 19 2 3 3 4 3" xfId="15912"/>
    <cellStyle name="常规 19 2 3 3 4 4" xfId="15916"/>
    <cellStyle name="常规 19 2 3 3 4 5" xfId="15919"/>
    <cellStyle name="常规 19 2 3 3 4 6" xfId="15920"/>
    <cellStyle name="常规 19 2 3 3 4 7" xfId="15921"/>
    <cellStyle name="常规 19 2 3 3 4 8" xfId="11614"/>
    <cellStyle name="常规 19 2 3 3 5" xfId="12765"/>
    <cellStyle name="常规 19 2 3 3 5 2" xfId="15923"/>
    <cellStyle name="常规 19 2 3 3 5 3" xfId="15927"/>
    <cellStyle name="常规 19 2 3 3 5 4" xfId="15930"/>
    <cellStyle name="常规 19 2 3 3 5 5" xfId="15932"/>
    <cellStyle name="常规 19 2 3 3 5 6" xfId="15935"/>
    <cellStyle name="常规 19 2 3 3 5 7" xfId="15938"/>
    <cellStyle name="常规 19 2 3 3 5 8" xfId="11671"/>
    <cellStyle name="常规 19 2 3 3 6" xfId="12771"/>
    <cellStyle name="常规 19 2 3 3 6 2" xfId="15941"/>
    <cellStyle name="常规 19 2 3 3 6 3" xfId="15943"/>
    <cellStyle name="常规 19 2 3 3 6 4" xfId="15944"/>
    <cellStyle name="常规 19 2 3 3 6 5" xfId="15945"/>
    <cellStyle name="常规 19 2 3 3 6 6" xfId="14745"/>
    <cellStyle name="常规 19 2 3 3 6 7" xfId="11753"/>
    <cellStyle name="常规 19 2 3 3 6 8" xfId="11698"/>
    <cellStyle name="常规 19 2 3 3 7" xfId="12777"/>
    <cellStyle name="常规 19 2 3 3 7 2" xfId="15948"/>
    <cellStyle name="常规 19 2 3 3 7 3" xfId="15951"/>
    <cellStyle name="常规 19 2 3 3 7 4" xfId="15953"/>
    <cellStyle name="常规 19 2 3 3 7 5" xfId="11297"/>
    <cellStyle name="常规 19 2 3 3 7 6" xfId="11314"/>
    <cellStyle name="常规 19 2 3 3 7 7" xfId="1497"/>
    <cellStyle name="常规 19 2 3 3 7 8" xfId="1541"/>
    <cellStyle name="常规 19 2 3 3 8" xfId="15957"/>
    <cellStyle name="常规 19 2 3 3 8 2" xfId="6863"/>
    <cellStyle name="常规 19 2 3 3 8 3" xfId="6189"/>
    <cellStyle name="常规 19 2 3 3 8 4" xfId="6213"/>
    <cellStyle name="常规 19 2 3 3 8 5" xfId="489"/>
    <cellStyle name="常规 19 2 3 3 8 6" xfId="566"/>
    <cellStyle name="常规 19 2 3 3 8 7" xfId="1562"/>
    <cellStyle name="常规 19 2 3 3 8 8" xfId="1574"/>
    <cellStyle name="常规 19 2 3 3 9" xfId="15961"/>
    <cellStyle name="常规 19 2 3 3 9 2" xfId="15123"/>
    <cellStyle name="常规 19 2 3 3 9 3" xfId="6250"/>
    <cellStyle name="常规 19 2 3 3 9 4" xfId="6266"/>
    <cellStyle name="常规 19 2 3 3 9 5" xfId="2293"/>
    <cellStyle name="常规 19 2 3 3 9 6" xfId="11332"/>
    <cellStyle name="常规 19 2 3 3 9 7" xfId="11334"/>
    <cellStyle name="常规 19 2 3 3 9 8" xfId="11736"/>
    <cellStyle name="常规 19 2 3 4" xfId="13977"/>
    <cellStyle name="常规 19 2 3 4 10" xfId="9040"/>
    <cellStyle name="常规 19 2 3 4 10 2" xfId="15962"/>
    <cellStyle name="常规 19 2 3 4 10 3" xfId="15963"/>
    <cellStyle name="常规 19 2 3 4 10 4" xfId="15965"/>
    <cellStyle name="常规 19 2 3 4 10 5" xfId="15967"/>
    <cellStyle name="常规 19 2 3 4 10 6" xfId="12676"/>
    <cellStyle name="常规 19 2 3 4 10 7" xfId="12684"/>
    <cellStyle name="常规 19 2 3 4 10 8" xfId="12690"/>
    <cellStyle name="常规 19 2 3 4 11" xfId="9044"/>
    <cellStyle name="常规 19 2 3 4 11 2" xfId="15969"/>
    <cellStyle name="常规 19 2 3 4 11 3" xfId="15971"/>
    <cellStyle name="常规 19 2 3 4 11 4" xfId="15973"/>
    <cellStyle name="常规 19 2 3 4 11 5" xfId="14673"/>
    <cellStyle name="常规 19 2 3 4 11 6" xfId="12696"/>
    <cellStyle name="常规 19 2 3 4 11 7" xfId="12705"/>
    <cellStyle name="常规 19 2 3 4 11 8" xfId="12718"/>
    <cellStyle name="常规 19 2 3 4 12" xfId="9405"/>
    <cellStyle name="常规 19 2 3 4 12 2" xfId="15975"/>
    <cellStyle name="常规 19 2 3 4 12 3" xfId="15977"/>
    <cellStyle name="常规 19 2 3 4 12 4" xfId="15979"/>
    <cellStyle name="常规 19 2 3 4 12 5" xfId="15981"/>
    <cellStyle name="常规 19 2 3 4 12 6" xfId="8555"/>
    <cellStyle name="常规 19 2 3 4 12 7" xfId="8561"/>
    <cellStyle name="常规 19 2 3 4 13" xfId="9408"/>
    <cellStyle name="常规 19 2 3 4 14" xfId="9784"/>
    <cellStyle name="常规 19 2 3 4 15" xfId="9787"/>
    <cellStyle name="常规 19 2 3 4 16" xfId="15982"/>
    <cellStyle name="常规 19 2 3 4 17" xfId="15984"/>
    <cellStyle name="常规 19 2 3 4 18" xfId="6515"/>
    <cellStyle name="常规 19 2 3 4 19" xfId="1173"/>
    <cellStyle name="常规 19 2 3 4 2" xfId="9564"/>
    <cellStyle name="常规 19 2 3 4 2 10" xfId="14218"/>
    <cellStyle name="常规 19 2 3 4 2 10 2" xfId="15986"/>
    <cellStyle name="常规 19 2 3 4 2 10 3" xfId="15987"/>
    <cellStyle name="常规 19 2 3 4 2 10 4" xfId="15988"/>
    <cellStyle name="常规 19 2 3 4 2 10 5" xfId="15989"/>
    <cellStyle name="常规 19 2 3 4 2 10 6" xfId="15990"/>
    <cellStyle name="常规 19 2 3 4 2 10 7" xfId="15991"/>
    <cellStyle name="常规 19 2 3 4 2 11" xfId="14221"/>
    <cellStyle name="常规 19 2 3 4 2 12" xfId="14227"/>
    <cellStyle name="常规 19 2 3 4 2 13" xfId="14234"/>
    <cellStyle name="常规 19 2 3 4 2 14" xfId="14240"/>
    <cellStyle name="常规 19 2 3 4 2 15" xfId="4638"/>
    <cellStyle name="常规 19 2 3 4 2 16" xfId="4613"/>
    <cellStyle name="常规 19 2 3 4 2 17" xfId="11747"/>
    <cellStyle name="常规 19 2 3 4 2 2" xfId="9569"/>
    <cellStyle name="常规 19 2 3 4 2 2 2" xfId="5887"/>
    <cellStyle name="常规 19 2 3 4 2 2 3" xfId="2657"/>
    <cellStyle name="常规 19 2 3 4 2 2 4" xfId="1988"/>
    <cellStyle name="常规 19 2 3 4 2 2 5" xfId="9159"/>
    <cellStyle name="常规 19 2 3 4 2 2 6" xfId="9162"/>
    <cellStyle name="常规 19 2 3 4 2 2 7" xfId="1034"/>
    <cellStyle name="常规 19 2 3 4 2 2 8" xfId="1051"/>
    <cellStyle name="常规 19 2 3 4 2 3" xfId="9572"/>
    <cellStyle name="常规 19 2 3 4 2 3 2" xfId="2095"/>
    <cellStyle name="常规 19 2 3 4 2 3 3" xfId="2175"/>
    <cellStyle name="常规 19 2 3 4 2 3 4" xfId="2112"/>
    <cellStyle name="常规 19 2 3 4 2 3 5" xfId="2140"/>
    <cellStyle name="常规 19 2 3 4 2 3 6" xfId="2172"/>
    <cellStyle name="常规 19 2 3 4 2 3 7" xfId="1065"/>
    <cellStyle name="常规 19 2 3 4 2 3 8" xfId="1078"/>
    <cellStyle name="常规 19 2 3 4 2 4" xfId="15993"/>
    <cellStyle name="常规 19 2 3 4 2 4 2" xfId="2450"/>
    <cellStyle name="常规 19 2 3 4 2 4 3" xfId="2545"/>
    <cellStyle name="常规 19 2 3 4 2 4 4" xfId="2188"/>
    <cellStyle name="常规 19 2 3 4 2 4 5" xfId="2227"/>
    <cellStyle name="常规 19 2 3 4 2 4 6" xfId="869"/>
    <cellStyle name="常规 19 2 3 4 2 4 7" xfId="135"/>
    <cellStyle name="常规 19 2 3 4 2 4 8" xfId="15997"/>
    <cellStyle name="常规 19 2 3 4 2 5" xfId="16000"/>
    <cellStyle name="常规 19 2 3 4 2 5 2" xfId="2674"/>
    <cellStyle name="常规 19 2 3 4 2 5 3" xfId="2738"/>
    <cellStyle name="常规 19 2 3 4 2 5 4" xfId="2122"/>
    <cellStyle name="常规 19 2 3 4 2 5 5" xfId="16002"/>
    <cellStyle name="常规 19 2 3 4 2 5 6" xfId="16003"/>
    <cellStyle name="常规 19 2 3 4 2 5 7" xfId="16004"/>
    <cellStyle name="常规 19 2 3 4 2 5 8" xfId="16005"/>
    <cellStyle name="常规 19 2 3 4 2 6" xfId="6429"/>
    <cellStyle name="常规 19 2 3 4 2 6 2" xfId="16006"/>
    <cellStyle name="常规 19 2 3 4 2 6 3" xfId="16009"/>
    <cellStyle name="常规 19 2 3 4 2 6 4" xfId="16011"/>
    <cellStyle name="常规 19 2 3 4 2 6 5" xfId="16012"/>
    <cellStyle name="常规 19 2 3 4 2 6 6" xfId="3324"/>
    <cellStyle name="常规 19 2 3 4 2 6 7" xfId="3335"/>
    <cellStyle name="常规 19 2 3 4 2 6 8" xfId="4440"/>
    <cellStyle name="常规 19 2 3 4 2 7" xfId="6747"/>
    <cellStyle name="常规 19 2 3 4 2 7 2" xfId="16013"/>
    <cellStyle name="常规 19 2 3 4 2 7 3" xfId="16016"/>
    <cellStyle name="常规 19 2 3 4 2 7 4" xfId="16017"/>
    <cellStyle name="常规 19 2 3 4 2 7 5" xfId="16018"/>
    <cellStyle name="常规 19 2 3 4 2 7 6" xfId="5550"/>
    <cellStyle name="常规 19 2 3 4 2 7 7" xfId="5560"/>
    <cellStyle name="常规 19 2 3 4 2 7 8" xfId="5565"/>
    <cellStyle name="常规 19 2 3 4 2 8" xfId="16019"/>
    <cellStyle name="常规 19 2 3 4 2 8 2" xfId="16022"/>
    <cellStyle name="常规 19 2 3 4 2 8 3" xfId="16024"/>
    <cellStyle name="常规 19 2 3 4 2 8 4" xfId="16026"/>
    <cellStyle name="常规 19 2 3 4 2 8 5" xfId="16028"/>
    <cellStyle name="常规 19 2 3 4 2 8 6" xfId="5572"/>
    <cellStyle name="常规 19 2 3 4 2 8 7" xfId="5594"/>
    <cellStyle name="常规 19 2 3 4 2 8 8" xfId="5601"/>
    <cellStyle name="常规 19 2 3 4 2 9" xfId="16029"/>
    <cellStyle name="常规 19 2 3 4 2 9 2" xfId="16032"/>
    <cellStyle name="常规 19 2 3 4 2 9 3" xfId="12434"/>
    <cellStyle name="常规 19 2 3 4 2 9 4" xfId="12437"/>
    <cellStyle name="常规 19 2 3 4 2 9 5" xfId="16034"/>
    <cellStyle name="常规 19 2 3 4 2 9 6" xfId="4889"/>
    <cellStyle name="常规 19 2 3 4 2 9 7" xfId="5580"/>
    <cellStyle name="常规 19 2 3 4 2 9 8" xfId="15433"/>
    <cellStyle name="常规 19 2 3 4 3" xfId="16035"/>
    <cellStyle name="常规 19 2 3 4 3 2" xfId="16037"/>
    <cellStyle name="常规 19 2 3 4 3 3" xfId="16038"/>
    <cellStyle name="常规 19 2 3 4 3 4" xfId="16039"/>
    <cellStyle name="常规 19 2 3 4 3 5" xfId="16041"/>
    <cellStyle name="常规 19 2 3 4 3 6" xfId="16043"/>
    <cellStyle name="常规 19 2 3 4 3 7" xfId="16045"/>
    <cellStyle name="常规 19 2 3 4 3 8" xfId="16047"/>
    <cellStyle name="常规 19 2 3 4 4" xfId="16049"/>
    <cellStyle name="常规 19 2 3 4 4 2" xfId="16052"/>
    <cellStyle name="常规 19 2 3 4 4 3" xfId="16054"/>
    <cellStyle name="常规 19 2 3 4 4 4" xfId="16056"/>
    <cellStyle name="常规 19 2 3 4 4 5" xfId="16057"/>
    <cellStyle name="常规 19 2 3 4 4 6" xfId="7190"/>
    <cellStyle name="常规 19 2 3 4 4 7" xfId="5433"/>
    <cellStyle name="常规 19 2 3 4 4 8" xfId="16058"/>
    <cellStyle name="常规 19 2 3 4 5" xfId="16059"/>
    <cellStyle name="常规 19 2 3 4 5 2" xfId="16062"/>
    <cellStyle name="常规 19 2 3 4 5 3" xfId="16063"/>
    <cellStyle name="常规 19 2 3 4 5 4" xfId="16064"/>
    <cellStyle name="常规 19 2 3 4 5 5" xfId="16065"/>
    <cellStyle name="常规 19 2 3 4 5 6" xfId="16066"/>
    <cellStyle name="常规 19 2 3 4 5 7" xfId="16068"/>
    <cellStyle name="常规 19 2 3 4 5 8" xfId="16070"/>
    <cellStyle name="常规 19 2 3 4 6" xfId="10212"/>
    <cellStyle name="常规 19 2 3 4 6 2" xfId="16072"/>
    <cellStyle name="常规 19 2 3 4 6 3" xfId="16074"/>
    <cellStyle name="常规 19 2 3 4 6 4" xfId="16075"/>
    <cellStyle name="常规 19 2 3 4 6 5" xfId="16076"/>
    <cellStyle name="常规 19 2 3 4 6 6" xfId="7791"/>
    <cellStyle name="常规 19 2 3 4 6 7" xfId="7793"/>
    <cellStyle name="常规 19 2 3 4 6 8" xfId="16077"/>
    <cellStyle name="常规 19 2 3 4 7" xfId="10217"/>
    <cellStyle name="常规 19 2 3 4 7 2" xfId="16078"/>
    <cellStyle name="常规 19 2 3 4 7 3" xfId="16079"/>
    <cellStyle name="常规 19 2 3 4 7 4" xfId="16080"/>
    <cellStyle name="常规 19 2 3 4 7 5" xfId="583"/>
    <cellStyle name="常规 19 2 3 4 7 6" xfId="11351"/>
    <cellStyle name="常规 19 2 3 4 7 7" xfId="1605"/>
    <cellStyle name="常规 19 2 3 4 7 8" xfId="16081"/>
    <cellStyle name="常规 19 2 3 4 8" xfId="16084"/>
    <cellStyle name="常规 19 2 3 4 8 2" xfId="16085"/>
    <cellStyle name="常规 19 2 3 4 8 3" xfId="61"/>
    <cellStyle name="常规 19 2 3 4 8 4" xfId="6342"/>
    <cellStyle name="常规 19 2 3 4 8 5" xfId="4598"/>
    <cellStyle name="常规 19 2 3 4 8 6" xfId="6356"/>
    <cellStyle name="常规 19 2 3 4 8 7" xfId="16086"/>
    <cellStyle name="常规 19 2 3 4 8 8" xfId="16089"/>
    <cellStyle name="常规 19 2 3 4 9" xfId="16093"/>
    <cellStyle name="常规 19 2 3 4 9 2" xfId="16095"/>
    <cellStyle name="常规 19 2 3 4 9 3" xfId="16097"/>
    <cellStyle name="常规 19 2 3 4 9 4" xfId="16099"/>
    <cellStyle name="常规 19 2 3 4 9 5" xfId="2385"/>
    <cellStyle name="常规 19 2 3 4 9 6" xfId="11353"/>
    <cellStyle name="常规 19 2 3 4 9 7" xfId="16100"/>
    <cellStyle name="常规 19 2 3 4 9 8" xfId="16101"/>
    <cellStyle name="常规 19 2 3 5" xfId="13980"/>
    <cellStyle name="常规 19 2 3 5 10" xfId="3712"/>
    <cellStyle name="常规 19 2 3 5 10 2" xfId="4691"/>
    <cellStyle name="常规 19 2 3 5 10 3" xfId="16102"/>
    <cellStyle name="常规 19 2 3 5 10 4" xfId="16104"/>
    <cellStyle name="常规 19 2 3 5 10 5" xfId="16106"/>
    <cellStyle name="常规 19 2 3 5 10 6" xfId="16108"/>
    <cellStyle name="常规 19 2 3 5 10 7" xfId="16109"/>
    <cellStyle name="常规 19 2 3 5 11" xfId="11770"/>
    <cellStyle name="常规 19 2 3 5 12" xfId="16111"/>
    <cellStyle name="常规 19 2 3 5 13" xfId="3292"/>
    <cellStyle name="常规 19 2 3 5 14" xfId="3349"/>
    <cellStyle name="常规 19 2 3 5 15" xfId="16113"/>
    <cellStyle name="常规 19 2 3 5 16" xfId="16115"/>
    <cellStyle name="常规 19 2 3 5 17" xfId="16117"/>
    <cellStyle name="常规 19 2 3 5 2" xfId="9581"/>
    <cellStyle name="常规 19 2 3 5 2 2" xfId="11896"/>
    <cellStyle name="常规 19 2 3 5 2 3" xfId="16119"/>
    <cellStyle name="常规 19 2 3 5 2 4" xfId="16121"/>
    <cellStyle name="常规 19 2 3 5 2 5" xfId="16123"/>
    <cellStyle name="常规 19 2 3 5 2 6" xfId="16124"/>
    <cellStyle name="常规 19 2 3 5 2 7" xfId="16125"/>
    <cellStyle name="常规 19 2 3 5 2 8" xfId="16126"/>
    <cellStyle name="常规 19 2 3 5 3" xfId="16127"/>
    <cellStyle name="常规 19 2 3 5 3 2" xfId="16128"/>
    <cellStyle name="常规 19 2 3 5 3 3" xfId="16129"/>
    <cellStyle name="常规 19 2 3 5 3 4" xfId="16130"/>
    <cellStyle name="常规 19 2 3 5 3 5" xfId="16131"/>
    <cellStyle name="常规 19 2 3 5 3 6" xfId="16132"/>
    <cellStyle name="常规 19 2 3 5 3 7" xfId="16133"/>
    <cellStyle name="常规 19 2 3 5 3 8" xfId="16134"/>
    <cellStyle name="常规 19 2 3 5 4" xfId="16135"/>
    <cellStyle name="常规 19 2 3 5 4 2" xfId="16136"/>
    <cellStyle name="常规 19 2 3 5 4 3" xfId="16137"/>
    <cellStyle name="常规 19 2 3 5 4 4" xfId="16138"/>
    <cellStyle name="常规 19 2 3 5 4 5" xfId="16139"/>
    <cellStyle name="常规 19 2 3 5 4 6" xfId="16140"/>
    <cellStyle name="常规 19 2 3 5 4 7" xfId="16141"/>
    <cellStyle name="常规 19 2 3 5 4 8" xfId="16142"/>
    <cellStyle name="常规 19 2 3 5 5" xfId="16143"/>
    <cellStyle name="常规 19 2 3 5 5 2" xfId="16144"/>
    <cellStyle name="常规 19 2 3 5 5 3" xfId="16145"/>
    <cellStyle name="常规 19 2 3 5 5 4" xfId="16146"/>
    <cellStyle name="常规 19 2 3 5 5 5" xfId="16147"/>
    <cellStyle name="常规 19 2 3 5 5 6" xfId="16148"/>
    <cellStyle name="常规 19 2 3 5 5 7" xfId="16149"/>
    <cellStyle name="常规 19 2 3 5 5 8" xfId="16150"/>
    <cellStyle name="常规 19 2 3 5 6" xfId="16151"/>
    <cellStyle name="常规 19 2 3 5 6 2" xfId="16152"/>
    <cellStyle name="常规 19 2 3 5 6 3" xfId="16153"/>
    <cellStyle name="常规 19 2 3 5 6 4" xfId="16154"/>
    <cellStyle name="常规 19 2 3 5 6 5" xfId="16155"/>
    <cellStyle name="常规 19 2 3 5 6 6" xfId="16156"/>
    <cellStyle name="常规 19 2 3 5 6 7" xfId="16157"/>
    <cellStyle name="常规 19 2 3 5 6 8" xfId="16158"/>
    <cellStyle name="常规 19 2 3 5 7" xfId="16159"/>
    <cellStyle name="常规 19 2 3 5 7 2" xfId="16160"/>
    <cellStyle name="常规 19 2 3 5 7 3" xfId="16162"/>
    <cellStyle name="常规 19 2 3 5 7 4" xfId="16163"/>
    <cellStyle name="常规 19 2 3 5 7 5" xfId="11361"/>
    <cellStyle name="常规 19 2 3 5 7 6" xfId="11365"/>
    <cellStyle name="常规 19 2 3 5 7 7" xfId="16164"/>
    <cellStyle name="常规 19 2 3 5 7 8" xfId="16165"/>
    <cellStyle name="常规 19 2 3 5 8" xfId="16167"/>
    <cellStyle name="常规 19 2 3 5 8 2" xfId="16169"/>
    <cellStyle name="常规 19 2 3 5 8 3" xfId="16171"/>
    <cellStyle name="常规 19 2 3 5 8 4" xfId="16172"/>
    <cellStyle name="常规 19 2 3 5 8 5" xfId="6456"/>
    <cellStyle name="常规 19 2 3 5 8 6" xfId="6465"/>
    <cellStyle name="常规 19 2 3 5 8 7" xfId="16173"/>
    <cellStyle name="常规 19 2 3 5 8 8" xfId="16174"/>
    <cellStyle name="常规 19 2 3 5 9" xfId="16176"/>
    <cellStyle name="常规 19 2 3 5 9 2" xfId="16178"/>
    <cellStyle name="常规 19 2 3 5 9 3" xfId="16181"/>
    <cellStyle name="常规 19 2 3 5 9 4" xfId="16184"/>
    <cellStyle name="常规 19 2 3 5 9 5" xfId="16187"/>
    <cellStyle name="常规 19 2 3 5 9 6" xfId="16190"/>
    <cellStyle name="常规 19 2 3 5 9 7" xfId="16191"/>
    <cellStyle name="常规 19 2 3 5 9 8" xfId="16192"/>
    <cellStyle name="常规 19 2 3 6" xfId="13985"/>
    <cellStyle name="常规 19 2 3 6 2" xfId="16193"/>
    <cellStyle name="常规 19 2 3 6 3" xfId="16194"/>
    <cellStyle name="常规 19 2 3 6 4" xfId="16195"/>
    <cellStyle name="常规 19 2 3 6 5" xfId="5794"/>
    <cellStyle name="常规 19 2 3 6 6" xfId="5798"/>
    <cellStyle name="常规 19 2 3 6 7" xfId="16196"/>
    <cellStyle name="常规 19 2 3 6 8" xfId="16197"/>
    <cellStyle name="常规 19 2 3 7" xfId="16198"/>
    <cellStyle name="常规 19 2 3 7 2" xfId="16202"/>
    <cellStyle name="常规 19 2 3 7 3" xfId="16203"/>
    <cellStyle name="常规 19 2 3 7 4" xfId="16204"/>
    <cellStyle name="常规 19 2 3 7 5" xfId="16205"/>
    <cellStyle name="常规 19 2 3 7 6" xfId="16206"/>
    <cellStyle name="常规 19 2 3 7 7" xfId="16208"/>
    <cellStyle name="常规 19 2 3 7 8" xfId="16210"/>
    <cellStyle name="常规 19 2 3 8" xfId="16211"/>
    <cellStyle name="常规 19 2 3 8 2" xfId="16216"/>
    <cellStyle name="常规 19 2 3 8 3" xfId="16217"/>
    <cellStyle name="常规 19 2 3 8 4" xfId="16218"/>
    <cellStyle name="常规 19 2 3 8 5" xfId="16219"/>
    <cellStyle name="常规 19 2 3 8 6" xfId="16221"/>
    <cellStyle name="常规 19 2 3 8 7" xfId="16222"/>
    <cellStyle name="常规 19 2 3 8 8" xfId="16223"/>
    <cellStyle name="常规 19 2 3 9" xfId="16224"/>
    <cellStyle name="常规 19 2 3 9 2" xfId="15826"/>
    <cellStyle name="常规 19 2 3 9 3" xfId="15828"/>
    <cellStyle name="常规 19 2 3 9 4" xfId="15830"/>
    <cellStyle name="常规 19 2 3 9 5" xfId="15832"/>
    <cellStyle name="常规 19 2 3 9 6" xfId="15834"/>
    <cellStyle name="常规 19 2 3 9 7" xfId="15837"/>
    <cellStyle name="常规 19 2 3 9 8" xfId="15839"/>
    <cellStyle name="常规 19 2 4" xfId="12447"/>
    <cellStyle name="常规 19 2 4 10" xfId="12488"/>
    <cellStyle name="常规 19 2 4 10 2" xfId="12490"/>
    <cellStyle name="常规 19 2 4 10 3" xfId="12090"/>
    <cellStyle name="常规 19 2 4 10 4" xfId="12148"/>
    <cellStyle name="常规 19 2 4 10 5" xfId="16230"/>
    <cellStyle name="常规 19 2 4 10 6" xfId="16231"/>
    <cellStyle name="常规 19 2 4 10 7" xfId="16233"/>
    <cellStyle name="常规 19 2 4 10 8" xfId="16235"/>
    <cellStyle name="常规 19 2 4 11" xfId="12500"/>
    <cellStyle name="常规 19 2 4 11 2" xfId="16236"/>
    <cellStyle name="常规 19 2 4 11 3" xfId="16237"/>
    <cellStyle name="常规 19 2 4 11 4" xfId="16238"/>
    <cellStyle name="常规 19 2 4 11 5" xfId="16239"/>
    <cellStyle name="常规 19 2 4 11 6" xfId="16241"/>
    <cellStyle name="常规 19 2 4 11 7" xfId="16244"/>
    <cellStyle name="常规 19 2 4 11 8" xfId="16247"/>
    <cellStyle name="常规 19 2 4 12" xfId="16249"/>
    <cellStyle name="常规 19 2 4 12 2" xfId="16251"/>
    <cellStyle name="常规 19 2 4 12 3" xfId="16252"/>
    <cellStyle name="常规 19 2 4 12 4" xfId="16254"/>
    <cellStyle name="常规 19 2 4 12 5" xfId="16257"/>
    <cellStyle name="常规 19 2 4 12 6" xfId="16258"/>
    <cellStyle name="常规 19 2 4 12 7" xfId="16259"/>
    <cellStyle name="常规 19 2 4 12 8" xfId="16260"/>
    <cellStyle name="常规 19 2 4 13" xfId="14278"/>
    <cellStyle name="常规 19 2 4 13 2" xfId="14282"/>
    <cellStyle name="常规 19 2 4 13 3" xfId="12228"/>
    <cellStyle name="常规 19 2 4 13 4" xfId="12237"/>
    <cellStyle name="常规 19 2 4 13 5" xfId="12242"/>
    <cellStyle name="常规 19 2 4 13 6" xfId="12249"/>
    <cellStyle name="常规 19 2 4 13 7" xfId="12258"/>
    <cellStyle name="常规 19 2 4 13 8" xfId="12080"/>
    <cellStyle name="常规 19 2 4 14" xfId="14283"/>
    <cellStyle name="常规 19 2 4 14 2" xfId="14289"/>
    <cellStyle name="常规 19 2 4 14 3" xfId="14296"/>
    <cellStyle name="常规 19 2 4 14 4" xfId="14303"/>
    <cellStyle name="常规 19 2 4 14 5" xfId="14309"/>
    <cellStyle name="常规 19 2 4 14 6" xfId="14315"/>
    <cellStyle name="常规 19 2 4 14 7" xfId="14321"/>
    <cellStyle name="常规 19 2 4 14 8" xfId="14324"/>
    <cellStyle name="常规 19 2 4 15" xfId="2696"/>
    <cellStyle name="常规 19 2 4 15 2" xfId="1884"/>
    <cellStyle name="常规 19 2 4 15 3" xfId="1927"/>
    <cellStyle name="常规 19 2 4 15 4" xfId="14326"/>
    <cellStyle name="常规 19 2 4 15 5" xfId="14333"/>
    <cellStyle name="常规 19 2 4 15 6" xfId="14340"/>
    <cellStyle name="常规 19 2 4 15 7" xfId="14344"/>
    <cellStyle name="常规 19 2 4 16" xfId="2717"/>
    <cellStyle name="常规 19 2 4 17" xfId="14363"/>
    <cellStyle name="常规 19 2 4 18" xfId="6972"/>
    <cellStyle name="常规 19 2 4 19" xfId="1320"/>
    <cellStyle name="常规 19 2 4 2" xfId="11435"/>
    <cellStyle name="常规 19 2 4 2 10" xfId="16261"/>
    <cellStyle name="常规 19 2 4 2 10 2" xfId="16262"/>
    <cellStyle name="常规 19 2 4 2 10 3" xfId="6685"/>
    <cellStyle name="常规 19 2 4 2 10 4" xfId="6979"/>
    <cellStyle name="常规 19 2 4 2 10 5" xfId="16263"/>
    <cellStyle name="常规 19 2 4 2 10 6" xfId="16264"/>
    <cellStyle name="常规 19 2 4 2 10 7" xfId="16265"/>
    <cellStyle name="常规 19 2 4 2 10 8" xfId="16266"/>
    <cellStyle name="常规 19 2 4 2 11" xfId="16267"/>
    <cellStyle name="常规 19 2 4 2 11 2" xfId="16269"/>
    <cellStyle name="常规 19 2 4 2 11 3" xfId="7004"/>
    <cellStyle name="常规 19 2 4 2 11 4" xfId="8449"/>
    <cellStyle name="常规 19 2 4 2 11 5" xfId="11303"/>
    <cellStyle name="常规 19 2 4 2 11 6" xfId="16271"/>
    <cellStyle name="常规 19 2 4 2 11 7" xfId="16274"/>
    <cellStyle name="常规 19 2 4 2 11 8" xfId="16277"/>
    <cellStyle name="常规 19 2 4 2 12" xfId="16279"/>
    <cellStyle name="常规 19 2 4 2 12 2" xfId="16280"/>
    <cellStyle name="常规 19 2 4 2 12 3" xfId="16282"/>
    <cellStyle name="常规 19 2 4 2 12 4" xfId="16283"/>
    <cellStyle name="常规 19 2 4 2 12 5" xfId="16284"/>
    <cellStyle name="常规 19 2 4 2 12 6" xfId="16285"/>
    <cellStyle name="常规 19 2 4 2 12 7" xfId="16286"/>
    <cellStyle name="常规 19 2 4 2 12 8" xfId="16287"/>
    <cellStyle name="常规 19 2 4 2 13" xfId="16288"/>
    <cellStyle name="常规 19 2 4 2 13 2" xfId="16291"/>
    <cellStyle name="常规 19 2 4 2 13 3" xfId="16292"/>
    <cellStyle name="常规 19 2 4 2 13 4" xfId="16294"/>
    <cellStyle name="常规 19 2 4 2 13 5" xfId="16296"/>
    <cellStyle name="常规 19 2 4 2 13 6" xfId="16297"/>
    <cellStyle name="常规 19 2 4 2 13 7" xfId="16298"/>
    <cellStyle name="常规 19 2 4 2 14" xfId="16299"/>
    <cellStyle name="常规 19 2 4 2 15" xfId="16302"/>
    <cellStyle name="常规 19 2 4 2 16" xfId="8126"/>
    <cellStyle name="常规 19 2 4 2 17" xfId="8514"/>
    <cellStyle name="常规 19 2 4 2 18" xfId="16307"/>
    <cellStyle name="常规 19 2 4 2 19" xfId="16311"/>
    <cellStyle name="常规 19 2 4 2 2" xfId="11666"/>
    <cellStyle name="常规 19 2 4 2 2 10" xfId="13729"/>
    <cellStyle name="常规 19 2 4 2 2 10 2" xfId="16314"/>
    <cellStyle name="常规 19 2 4 2 2 10 3" xfId="16315"/>
    <cellStyle name="常规 19 2 4 2 2 10 4" xfId="16316"/>
    <cellStyle name="常规 19 2 4 2 2 10 5" xfId="16317"/>
    <cellStyle name="常规 19 2 4 2 2 10 6" xfId="16318"/>
    <cellStyle name="常规 19 2 4 2 2 10 7" xfId="16320"/>
    <cellStyle name="常规 19 2 4 2 2 10 8" xfId="16322"/>
    <cellStyle name="常规 19 2 4 2 2 11" xfId="16325"/>
    <cellStyle name="常规 19 2 4 2 2 11 2" xfId="16326"/>
    <cellStyle name="常规 19 2 4 2 2 11 3" xfId="16327"/>
    <cellStyle name="常规 19 2 4 2 2 11 4" xfId="16328"/>
    <cellStyle name="常规 19 2 4 2 2 11 5" xfId="16329"/>
    <cellStyle name="常规 19 2 4 2 2 11 6" xfId="16330"/>
    <cellStyle name="常规 19 2 4 2 2 11 7" xfId="16331"/>
    <cellStyle name="常规 19 2 4 2 2 11 8" xfId="16332"/>
    <cellStyle name="常规 19 2 4 2 2 12" xfId="16334"/>
    <cellStyle name="常规 19 2 4 2 2 12 2" xfId="16335"/>
    <cellStyle name="常规 19 2 4 2 2 12 3" xfId="16337"/>
    <cellStyle name="常规 19 2 4 2 2 12 4" xfId="16338"/>
    <cellStyle name="常规 19 2 4 2 2 12 5" xfId="16339"/>
    <cellStyle name="常规 19 2 4 2 2 12 6" xfId="16340"/>
    <cellStyle name="常规 19 2 4 2 2 12 7" xfId="16341"/>
    <cellStyle name="常规 19 2 4 2 2 13" xfId="16342"/>
    <cellStyle name="常规 19 2 4 2 2 14" xfId="16344"/>
    <cellStyle name="常规 19 2 4 2 2 15" xfId="16346"/>
    <cellStyle name="常规 19 2 4 2 2 16" xfId="16347"/>
    <cellStyle name="常规 19 2 4 2 2 17" xfId="16348"/>
    <cellStyle name="常规 19 2 4 2 2 18" xfId="5934"/>
    <cellStyle name="常规 19 2 4 2 2 19" xfId="4567"/>
    <cellStyle name="常规 19 2 4 2 2 2" xfId="16349"/>
    <cellStyle name="常规 19 2 4 2 2 2 10" xfId="16353"/>
    <cellStyle name="常规 19 2 4 2 2 2 10 2" xfId="16357"/>
    <cellStyle name="常规 19 2 4 2 2 2 10 3" xfId="16359"/>
    <cellStyle name="常规 19 2 4 2 2 2 10 4" xfId="16361"/>
    <cellStyle name="常规 19 2 4 2 2 2 10 5" xfId="16363"/>
    <cellStyle name="常规 19 2 4 2 2 2 10 6" xfId="16365"/>
    <cellStyle name="常规 19 2 4 2 2 2 10 7" xfId="16366"/>
    <cellStyle name="常规 19 2 4 2 2 2 11" xfId="16369"/>
    <cellStyle name="常规 19 2 4 2 2 2 12" xfId="16373"/>
    <cellStyle name="常规 19 2 4 2 2 2 13" xfId="16375"/>
    <cellStyle name="常规 19 2 4 2 2 2 14" xfId="16378"/>
    <cellStyle name="常规 19 2 4 2 2 2 15" xfId="3071"/>
    <cellStyle name="常规 19 2 4 2 2 2 16" xfId="272"/>
    <cellStyle name="常规 19 2 4 2 2 2 17" xfId="4201"/>
    <cellStyle name="常规 19 2 4 2 2 2 2" xfId="12801"/>
    <cellStyle name="常规 19 2 4 2 2 2 2 2" xfId="16379"/>
    <cellStyle name="常规 19 2 4 2 2 2 2 3" xfId="16380"/>
    <cellStyle name="常规 19 2 4 2 2 2 2 4" xfId="16383"/>
    <cellStyle name="常规 19 2 4 2 2 2 2 5" xfId="502"/>
    <cellStyle name="常规 19 2 4 2 2 2 2 6" xfId="94"/>
    <cellStyle name="常规 19 2 4 2 2 2 2 7" xfId="16385"/>
    <cellStyle name="常规 19 2 4 2 2 2 2 8" xfId="16386"/>
    <cellStyle name="常规 19 2 4 2 2 2 3" xfId="12807"/>
    <cellStyle name="常规 19 2 4 2 2 2 3 2" xfId="16389"/>
    <cellStyle name="常规 19 2 4 2 2 2 3 3" xfId="16391"/>
    <cellStyle name="常规 19 2 4 2 2 2 3 4" xfId="16393"/>
    <cellStyle name="常规 19 2 4 2 2 2 3 5" xfId="16395"/>
    <cellStyle name="常规 19 2 4 2 2 2 3 6" xfId="16396"/>
    <cellStyle name="常规 19 2 4 2 2 2 3 7" xfId="16397"/>
    <cellStyle name="常规 19 2 4 2 2 2 3 8" xfId="16398"/>
    <cellStyle name="常规 19 2 4 2 2 2 4" xfId="4816"/>
    <cellStyle name="常规 19 2 4 2 2 2 4 2" xfId="4825"/>
    <cellStyle name="常规 19 2 4 2 2 2 4 3" xfId="4831"/>
    <cellStyle name="常规 19 2 4 2 2 2 4 4" xfId="12725"/>
    <cellStyle name="常规 19 2 4 2 2 2 4 5" xfId="12729"/>
    <cellStyle name="常规 19 2 4 2 2 2 4 6" xfId="16399"/>
    <cellStyle name="常规 19 2 4 2 2 2 4 7" xfId="16400"/>
    <cellStyle name="常规 19 2 4 2 2 2 4 8" xfId="16401"/>
    <cellStyle name="常规 19 2 4 2 2 2 5" xfId="4843"/>
    <cellStyle name="常规 19 2 4 2 2 2 5 2" xfId="16403"/>
    <cellStyle name="常规 19 2 4 2 2 2 5 3" xfId="16407"/>
    <cellStyle name="常规 19 2 4 2 2 2 5 4" xfId="16409"/>
    <cellStyle name="常规 19 2 4 2 2 2 5 5" xfId="16410"/>
    <cellStyle name="常规 19 2 4 2 2 2 5 6" xfId="1631"/>
    <cellStyle name="常规 19 2 4 2 2 2 5 7" xfId="9899"/>
    <cellStyle name="常规 19 2 4 2 2 2 5 8" xfId="6700"/>
    <cellStyle name="常规 19 2 4 2 2 2 6" xfId="15501"/>
    <cellStyle name="常规 19 2 4 2 2 2 6 2" xfId="16412"/>
    <cellStyle name="常规 19 2 4 2 2 2 6 3" xfId="16414"/>
    <cellStyle name="常规 19 2 4 2 2 2 6 4" xfId="16416"/>
    <cellStyle name="常规 19 2 4 2 2 2 6 5" xfId="16417"/>
    <cellStyle name="常规 19 2 4 2 2 2 6 6" xfId="2808"/>
    <cellStyle name="常规 19 2 4 2 2 2 6 7" xfId="9991"/>
    <cellStyle name="常规 19 2 4 2 2 2 6 8" xfId="9993"/>
    <cellStyle name="常规 19 2 4 2 2 2 7" xfId="16419"/>
    <cellStyle name="常规 19 2 4 2 2 2 7 2" xfId="16422"/>
    <cellStyle name="常规 19 2 4 2 2 2 7 3" xfId="16424"/>
    <cellStyle name="常规 19 2 4 2 2 2 7 4" xfId="16427"/>
    <cellStyle name="常规 19 2 4 2 2 2 7 5" xfId="16428"/>
    <cellStyle name="常规 19 2 4 2 2 2 7 6" xfId="10007"/>
    <cellStyle name="常规 19 2 4 2 2 2 7 7" xfId="10039"/>
    <cellStyle name="常规 19 2 4 2 2 2 7 8" xfId="5520"/>
    <cellStyle name="常规 19 2 4 2 2 2 8" xfId="16430"/>
    <cellStyle name="常规 19 2 4 2 2 2 8 2" xfId="16433"/>
    <cellStyle name="常规 19 2 4 2 2 2 8 3" xfId="16435"/>
    <cellStyle name="常规 19 2 4 2 2 2 8 4" xfId="6253"/>
    <cellStyle name="常规 19 2 4 2 2 2 8 5" xfId="6255"/>
    <cellStyle name="常规 19 2 4 2 2 2 8 6" xfId="10045"/>
    <cellStyle name="常规 19 2 4 2 2 2 8 7" xfId="10060"/>
    <cellStyle name="常规 19 2 4 2 2 2 8 8" xfId="10063"/>
    <cellStyle name="常规 19 2 4 2 2 2 9" xfId="16437"/>
    <cellStyle name="常规 19 2 4 2 2 2 9 2" xfId="16441"/>
    <cellStyle name="常规 19 2 4 2 2 2 9 3" xfId="16443"/>
    <cellStyle name="常规 19 2 4 2 2 2 9 4" xfId="16445"/>
    <cellStyle name="常规 19 2 4 2 2 2 9 5" xfId="16446"/>
    <cellStyle name="常规 19 2 4 2 2 2 9 6" xfId="4425"/>
    <cellStyle name="常规 19 2 4 2 2 2 9 7" xfId="7812"/>
    <cellStyle name="常规 19 2 4 2 2 2 9 8" xfId="7741"/>
    <cellStyle name="常规 19 2 4 2 2 3" xfId="16447"/>
    <cellStyle name="常规 19 2 4 2 2 3 2" xfId="16448"/>
    <cellStyle name="常规 19 2 4 2 2 3 3" xfId="11796"/>
    <cellStyle name="常规 19 2 4 2 2 3 4" xfId="4859"/>
    <cellStyle name="常规 19 2 4 2 2 3 5" xfId="5420"/>
    <cellStyle name="常规 19 2 4 2 2 3 6" xfId="16450"/>
    <cellStyle name="常规 19 2 4 2 2 3 7" xfId="16455"/>
    <cellStyle name="常规 19 2 4 2 2 3 8" xfId="16459"/>
    <cellStyle name="常规 19 2 4 2 2 4" xfId="16461"/>
    <cellStyle name="常规 19 2 4 2 2 4 2" xfId="16462"/>
    <cellStyle name="常规 19 2 4 2 2 4 3" xfId="1973"/>
    <cellStyle name="常规 19 2 4 2 2 4 4" xfId="2026"/>
    <cellStyle name="常规 19 2 4 2 2 4 5" xfId="2069"/>
    <cellStyle name="常规 19 2 4 2 2 4 6" xfId="1045"/>
    <cellStyle name="常规 19 2 4 2 2 4 7" xfId="7823"/>
    <cellStyle name="常规 19 2 4 2 2 4 8" xfId="7827"/>
    <cellStyle name="常规 19 2 4 2 2 5" xfId="16463"/>
    <cellStyle name="常规 19 2 4 2 2 5 2" xfId="16464"/>
    <cellStyle name="常规 19 2 4 2 2 5 3" xfId="16466"/>
    <cellStyle name="常规 19 2 4 2 2 5 4" xfId="16469"/>
    <cellStyle name="常规 19 2 4 2 2 5 5" xfId="16472"/>
    <cellStyle name="常规 19 2 4 2 2 5 6" xfId="16476"/>
    <cellStyle name="常规 19 2 4 2 2 5 7" xfId="12097"/>
    <cellStyle name="常规 19 2 4 2 2 5 8" xfId="10991"/>
    <cellStyle name="常规 19 2 4 2 2 6" xfId="16478"/>
    <cellStyle name="常规 19 2 4 2 2 6 2" xfId="16480"/>
    <cellStyle name="常规 19 2 4 2 2 6 3" xfId="16481"/>
    <cellStyle name="常规 19 2 4 2 2 6 4" xfId="16485"/>
    <cellStyle name="常规 19 2 4 2 2 6 5" xfId="16488"/>
    <cellStyle name="常规 19 2 4 2 2 6 6" xfId="16492"/>
    <cellStyle name="常规 19 2 4 2 2 6 7" xfId="16496"/>
    <cellStyle name="常规 19 2 4 2 2 6 8" xfId="16500"/>
    <cellStyle name="常规 19 2 4 2 2 7" xfId="16502"/>
    <cellStyle name="常规 19 2 4 2 2 7 2" xfId="16504"/>
    <cellStyle name="常规 19 2 4 2 2 7 3" xfId="16505"/>
    <cellStyle name="常规 19 2 4 2 2 7 4" xfId="16508"/>
    <cellStyle name="常规 19 2 4 2 2 7 5" xfId="10266"/>
    <cellStyle name="常规 19 2 4 2 2 7 6" xfId="10270"/>
    <cellStyle name="常规 19 2 4 2 2 7 7" xfId="16512"/>
    <cellStyle name="常规 19 2 4 2 2 7 8" xfId="16516"/>
    <cellStyle name="常规 19 2 4 2 2 8" xfId="16518"/>
    <cellStyle name="常规 19 2 4 2 2 8 2" xfId="16520"/>
    <cellStyle name="常规 19 2 4 2 2 8 3" xfId="16521"/>
    <cellStyle name="常规 19 2 4 2 2 8 4" xfId="16524"/>
    <cellStyle name="常规 19 2 4 2 2 8 5" xfId="16527"/>
    <cellStyle name="常规 19 2 4 2 2 8 6" xfId="16531"/>
    <cellStyle name="常规 19 2 4 2 2 8 7" xfId="16535"/>
    <cellStyle name="常规 19 2 4 2 2 8 8" xfId="16538"/>
    <cellStyle name="常规 19 2 4 2 2 9" xfId="16540"/>
    <cellStyle name="常规 19 2 4 2 2 9 2" xfId="16542"/>
    <cellStyle name="常规 19 2 4 2 2 9 3" xfId="16544"/>
    <cellStyle name="常规 19 2 4 2 2 9 4" xfId="16547"/>
    <cellStyle name="常规 19 2 4 2 2 9 5" xfId="16550"/>
    <cellStyle name="常规 19 2 4 2 2 9 6" xfId="16554"/>
    <cellStyle name="常规 19 2 4 2 2 9 7" xfId="16558"/>
    <cellStyle name="常规 19 2 4 2 2 9 8" xfId="16561"/>
    <cellStyle name="常规 19 2 4 2 20" xfId="16303"/>
    <cellStyle name="常规 19 2 4 2 3" xfId="16563"/>
    <cellStyle name="常规 19 2 4 2 3 10" xfId="3305"/>
    <cellStyle name="常规 19 2 4 2 3 10 2" xfId="11868"/>
    <cellStyle name="常规 19 2 4 2 3 10 3" xfId="11894"/>
    <cellStyle name="常规 19 2 4 2 3 10 4" xfId="11901"/>
    <cellStyle name="常规 19 2 4 2 3 10 5" xfId="16567"/>
    <cellStyle name="常规 19 2 4 2 3 10 6" xfId="16569"/>
    <cellStyle name="常规 19 2 4 2 3 10 7" xfId="16571"/>
    <cellStyle name="常规 19 2 4 2 3 11" xfId="11905"/>
    <cellStyle name="常规 19 2 4 2 3 12" xfId="1739"/>
    <cellStyle name="常规 19 2 4 2 3 13" xfId="959"/>
    <cellStyle name="常规 19 2 4 2 3 14" xfId="11942"/>
    <cellStyle name="常规 19 2 4 2 3 15" xfId="11953"/>
    <cellStyle name="常规 19 2 4 2 3 16" xfId="16572"/>
    <cellStyle name="常规 19 2 4 2 3 17" xfId="16573"/>
    <cellStyle name="常规 19 2 4 2 3 2" xfId="16574"/>
    <cellStyle name="常规 19 2 4 2 3 2 2" xfId="16577"/>
    <cellStyle name="常规 19 2 4 2 3 2 3" xfId="16581"/>
    <cellStyle name="常规 19 2 4 2 3 2 4" xfId="3193"/>
    <cellStyle name="常规 19 2 4 2 3 2 5" xfId="3206"/>
    <cellStyle name="常规 19 2 4 2 3 2 6" xfId="16585"/>
    <cellStyle name="常规 19 2 4 2 3 2 7" xfId="16588"/>
    <cellStyle name="常规 19 2 4 2 3 2 8" xfId="16591"/>
    <cellStyle name="常规 19 2 4 2 3 3" xfId="7829"/>
    <cellStyle name="常规 19 2 4 2 3 3 2" xfId="2313"/>
    <cellStyle name="常规 19 2 4 2 3 3 3" xfId="10985"/>
    <cellStyle name="常规 19 2 4 2 3 3 4" xfId="4884"/>
    <cellStyle name="常规 19 2 4 2 3 3 5" xfId="5514"/>
    <cellStyle name="常规 19 2 4 2 3 3 6" xfId="16593"/>
    <cellStyle name="常规 19 2 4 2 3 3 7" xfId="16595"/>
    <cellStyle name="常规 19 2 4 2 3 3 8" xfId="16597"/>
    <cellStyle name="常规 19 2 4 2 3 4" xfId="10988"/>
    <cellStyle name="常规 19 2 4 2 3 4 2" xfId="16599"/>
    <cellStyle name="常规 19 2 4 2 3 4 3" xfId="16602"/>
    <cellStyle name="常规 19 2 4 2 3 4 4" xfId="16604"/>
    <cellStyle name="常规 19 2 4 2 3 4 5" xfId="16606"/>
    <cellStyle name="常规 19 2 4 2 3 4 6" xfId="16608"/>
    <cellStyle name="常规 19 2 4 2 3 4 7" xfId="1154"/>
    <cellStyle name="常规 19 2 4 2 3 4 8" xfId="16610"/>
    <cellStyle name="常规 19 2 4 2 3 5" xfId="16611"/>
    <cellStyle name="常规 19 2 4 2 3 5 2" xfId="16613"/>
    <cellStyle name="常规 19 2 4 2 3 5 3" xfId="16615"/>
    <cellStyle name="常规 19 2 4 2 3 5 4" xfId="16618"/>
    <cellStyle name="常规 19 2 4 2 3 5 5" xfId="16621"/>
    <cellStyle name="常规 19 2 4 2 3 5 6" xfId="16624"/>
    <cellStyle name="常规 19 2 4 2 3 5 7" xfId="16626"/>
    <cellStyle name="常规 19 2 4 2 3 5 8" xfId="16628"/>
    <cellStyle name="常规 19 2 4 2 3 6" xfId="16629"/>
    <cellStyle name="常规 19 2 4 2 3 6 2" xfId="16632"/>
    <cellStyle name="常规 19 2 4 2 3 6 3" xfId="16634"/>
    <cellStyle name="常规 19 2 4 2 3 6 4" xfId="16637"/>
    <cellStyle name="常规 19 2 4 2 3 6 5" xfId="16640"/>
    <cellStyle name="常规 19 2 4 2 3 6 6" xfId="16643"/>
    <cellStyle name="常规 19 2 4 2 3 6 7" xfId="16645"/>
    <cellStyle name="常规 19 2 4 2 3 6 8" xfId="16646"/>
    <cellStyle name="常规 19 2 4 2 3 7" xfId="16647"/>
    <cellStyle name="常规 19 2 4 2 3 7 2" xfId="16650"/>
    <cellStyle name="常规 19 2 4 2 3 7 3" xfId="16653"/>
    <cellStyle name="常规 19 2 4 2 3 7 4" xfId="16658"/>
    <cellStyle name="常规 19 2 4 2 3 7 5" xfId="16663"/>
    <cellStyle name="常规 19 2 4 2 3 7 6" xfId="16667"/>
    <cellStyle name="常规 19 2 4 2 3 7 7" xfId="16670"/>
    <cellStyle name="常规 19 2 4 2 3 7 8" xfId="16672"/>
    <cellStyle name="常规 19 2 4 2 3 8" xfId="5809"/>
    <cellStyle name="常规 19 2 4 2 3 8 2" xfId="16673"/>
    <cellStyle name="常规 19 2 4 2 3 8 3" xfId="16674"/>
    <cellStyle name="常规 19 2 4 2 3 8 4" xfId="16675"/>
    <cellStyle name="常规 19 2 4 2 3 8 5" xfId="16676"/>
    <cellStyle name="常规 19 2 4 2 3 8 6" xfId="16677"/>
    <cellStyle name="常规 19 2 4 2 3 8 7" xfId="16678"/>
    <cellStyle name="常规 19 2 4 2 3 8 8" xfId="16679"/>
    <cellStyle name="常规 19 2 4 2 3 9" xfId="5825"/>
    <cellStyle name="常规 19 2 4 2 3 9 2" xfId="12566"/>
    <cellStyle name="常规 19 2 4 2 3 9 3" xfId="16680"/>
    <cellStyle name="常规 19 2 4 2 3 9 4" xfId="16681"/>
    <cellStyle name="常规 19 2 4 2 3 9 5" xfId="16682"/>
    <cellStyle name="常规 19 2 4 2 3 9 6" xfId="16683"/>
    <cellStyle name="常规 19 2 4 2 3 9 7" xfId="16684"/>
    <cellStyle name="常规 19 2 4 2 3 9 8" xfId="16685"/>
    <cellStyle name="常规 19 2 4 2 4" xfId="16686"/>
    <cellStyle name="常规 19 2 4 2 4 2" xfId="16687"/>
    <cellStyle name="常规 19 2 4 2 4 3" xfId="10995"/>
    <cellStyle name="常规 19 2 4 2 4 4" xfId="10997"/>
    <cellStyle name="常规 19 2 4 2 4 5" xfId="16688"/>
    <cellStyle name="常规 19 2 4 2 4 6" xfId="16690"/>
    <cellStyle name="常规 19 2 4 2 4 7" xfId="16693"/>
    <cellStyle name="常规 19 2 4 2 4 8" xfId="16695"/>
    <cellStyle name="常规 19 2 4 2 5" xfId="16697"/>
    <cellStyle name="常规 19 2 4 2 5 2" xfId="16698"/>
    <cellStyle name="常规 19 2 4 2 5 3" xfId="16699"/>
    <cellStyle name="常规 19 2 4 2 5 4" xfId="16700"/>
    <cellStyle name="常规 19 2 4 2 5 5" xfId="16701"/>
    <cellStyle name="常规 19 2 4 2 5 6" xfId="16702"/>
    <cellStyle name="常规 19 2 4 2 5 7" xfId="16704"/>
    <cellStyle name="常规 19 2 4 2 5 8" xfId="16706"/>
    <cellStyle name="常规 19 2 4 2 6" xfId="16708"/>
    <cellStyle name="常规 19 2 4 2 6 2" xfId="16709"/>
    <cellStyle name="常规 19 2 4 2 6 3" xfId="16710"/>
    <cellStyle name="常规 19 2 4 2 6 4" xfId="16711"/>
    <cellStyle name="常规 19 2 4 2 6 5" xfId="790"/>
    <cellStyle name="常规 19 2 4 2 6 6" xfId="843"/>
    <cellStyle name="常规 19 2 4 2 6 7" xfId="3253"/>
    <cellStyle name="常规 19 2 4 2 6 8" xfId="3286"/>
    <cellStyle name="常规 19 2 4 2 7" xfId="16712"/>
    <cellStyle name="常规 19 2 4 2 7 2" xfId="16715"/>
    <cellStyle name="常规 19 2 4 2 7 3" xfId="16717"/>
    <cellStyle name="常规 19 2 4 2 7 4" xfId="16719"/>
    <cellStyle name="常规 19 2 4 2 7 5" xfId="3310"/>
    <cellStyle name="常规 19 2 4 2 7 6" xfId="3320"/>
    <cellStyle name="常规 19 2 4 2 7 7" xfId="1733"/>
    <cellStyle name="常规 19 2 4 2 7 8" xfId="965"/>
    <cellStyle name="常规 19 2 4 2 8" xfId="16720"/>
    <cellStyle name="常规 19 2 4 2 8 2" xfId="4508"/>
    <cellStyle name="常规 19 2 4 2 8 3" xfId="4537"/>
    <cellStyle name="常规 19 2 4 2 8 4" xfId="4560"/>
    <cellStyle name="常规 19 2 4 2 8 5" xfId="3357"/>
    <cellStyle name="常规 19 2 4 2 8 6" xfId="3404"/>
    <cellStyle name="常规 19 2 4 2 8 7" xfId="3434"/>
    <cellStyle name="常规 19 2 4 2 8 8" xfId="5657"/>
    <cellStyle name="常规 19 2 4 2 9" xfId="16723"/>
    <cellStyle name="常规 19 2 4 2 9 2" xfId="8437"/>
    <cellStyle name="常规 19 2 4 2 9 3" xfId="8908"/>
    <cellStyle name="常规 19 2 4 2 9 4" xfId="8913"/>
    <cellStyle name="常规 19 2 4 2 9 5" xfId="3446"/>
    <cellStyle name="常规 19 2 4 2 9 6" xfId="3453"/>
    <cellStyle name="常规 19 2 4 2 9 7" xfId="16727"/>
    <cellStyle name="常规 19 2 4 2 9 8" xfId="5678"/>
    <cellStyle name="常规 19 2 4 20" xfId="2697"/>
    <cellStyle name="常规 19 2 4 21" xfId="2718"/>
    <cellStyle name="常规 19 2 4 22" xfId="14364"/>
    <cellStyle name="常规 19 2 4 3" xfId="13991"/>
    <cellStyle name="常规 19 2 4 3 10" xfId="16729"/>
    <cellStyle name="常规 19 2 4 3 10 2" xfId="16730"/>
    <cellStyle name="常规 19 2 4 3 10 3" xfId="16731"/>
    <cellStyle name="常规 19 2 4 3 10 4" xfId="16732"/>
    <cellStyle name="常规 19 2 4 3 10 5" xfId="16733"/>
    <cellStyle name="常规 19 2 4 3 10 6" xfId="16734"/>
    <cellStyle name="常规 19 2 4 3 10 7" xfId="16735"/>
    <cellStyle name="常规 19 2 4 3 10 8" xfId="16736"/>
    <cellStyle name="常规 19 2 4 3 11" xfId="16737"/>
    <cellStyle name="常规 19 2 4 3 11 2" xfId="16738"/>
    <cellStyle name="常规 19 2 4 3 11 3" xfId="16740"/>
    <cellStyle name="常规 19 2 4 3 11 4" xfId="16741"/>
    <cellStyle name="常规 19 2 4 3 11 5" xfId="16742"/>
    <cellStyle name="常规 19 2 4 3 11 6" xfId="11993"/>
    <cellStyle name="常规 19 2 4 3 11 7" xfId="12009"/>
    <cellStyle name="常规 19 2 4 3 11 8" xfId="16743"/>
    <cellStyle name="常规 19 2 4 3 12" xfId="16744"/>
    <cellStyle name="常规 19 2 4 3 12 2" xfId="16745"/>
    <cellStyle name="常规 19 2 4 3 12 3" xfId="16748"/>
    <cellStyle name="常规 19 2 4 3 12 4" xfId="16749"/>
    <cellStyle name="常规 19 2 4 3 12 5" xfId="16750"/>
    <cellStyle name="常规 19 2 4 3 12 6" xfId="16751"/>
    <cellStyle name="常规 19 2 4 3 12 7" xfId="16752"/>
    <cellStyle name="常规 19 2 4 3 13" xfId="16755"/>
    <cellStyle name="常规 19 2 4 3 14" xfId="16758"/>
    <cellStyle name="常规 19 2 4 3 15" xfId="2392"/>
    <cellStyle name="常规 19 2 4 3 16" xfId="2404"/>
    <cellStyle name="常规 19 2 4 3 17" xfId="16761"/>
    <cellStyle name="常规 19 2 4 3 18" xfId="7418"/>
    <cellStyle name="常规 19 2 4 3 19" xfId="7516"/>
    <cellStyle name="常规 19 2 4 3 2" xfId="6785"/>
    <cellStyle name="常规 19 2 4 3 2 10" xfId="7916"/>
    <cellStyle name="常规 19 2 4 3 2 10 2" xfId="10125"/>
    <cellStyle name="常规 19 2 4 3 2 10 3" xfId="10129"/>
    <cellStyle name="常规 19 2 4 3 2 10 4" xfId="16764"/>
    <cellStyle name="常规 19 2 4 3 2 10 5" xfId="16766"/>
    <cellStyle name="常规 19 2 4 3 2 10 6" xfId="16767"/>
    <cellStyle name="常规 19 2 4 3 2 10 7" xfId="16768"/>
    <cellStyle name="常规 19 2 4 3 2 11" xfId="7924"/>
    <cellStyle name="常规 19 2 4 3 2 12" xfId="10136"/>
    <cellStyle name="常规 19 2 4 3 2 13" xfId="16769"/>
    <cellStyle name="常规 19 2 4 3 2 14" xfId="16770"/>
    <cellStyle name="常规 19 2 4 3 2 15" xfId="16771"/>
    <cellStyle name="常规 19 2 4 3 2 16" xfId="16772"/>
    <cellStyle name="常规 19 2 4 3 2 17" xfId="16773"/>
    <cellStyle name="常规 19 2 4 3 2 2" xfId="16774"/>
    <cellStyle name="常规 19 2 4 3 2 2 2" xfId="16776"/>
    <cellStyle name="常规 19 2 4 3 2 2 3" xfId="16777"/>
    <cellStyle name="常规 19 2 4 3 2 2 4" xfId="16779"/>
    <cellStyle name="常规 19 2 4 3 2 2 5" xfId="16781"/>
    <cellStyle name="常规 19 2 4 3 2 2 6" xfId="16783"/>
    <cellStyle name="常规 19 2 4 3 2 2 7" xfId="16787"/>
    <cellStyle name="常规 19 2 4 3 2 2 8" xfId="16791"/>
    <cellStyle name="常规 19 2 4 3 2 3" xfId="16792"/>
    <cellStyle name="常规 19 2 4 3 2 3 2" xfId="16794"/>
    <cellStyle name="常规 19 2 4 3 2 3 3" xfId="16795"/>
    <cellStyle name="常规 19 2 4 3 2 3 4" xfId="16797"/>
    <cellStyle name="常规 19 2 4 3 2 3 5" xfId="16799"/>
    <cellStyle name="常规 19 2 4 3 2 3 6" xfId="16801"/>
    <cellStyle name="常规 19 2 4 3 2 3 7" xfId="16803"/>
    <cellStyle name="常规 19 2 4 3 2 3 8" xfId="16805"/>
    <cellStyle name="常规 19 2 4 3 2 4" xfId="16806"/>
    <cellStyle name="常规 19 2 4 3 2 4 2" xfId="4164"/>
    <cellStyle name="常规 19 2 4 3 2 4 3" xfId="4499"/>
    <cellStyle name="常规 19 2 4 3 2 4 4" xfId="4997"/>
    <cellStyle name="常规 19 2 4 3 2 4 5" xfId="7310"/>
    <cellStyle name="常规 19 2 4 3 2 4 6" xfId="7315"/>
    <cellStyle name="常规 19 2 4 3 2 4 7" xfId="16810"/>
    <cellStyle name="常规 19 2 4 3 2 4 8" xfId="16814"/>
    <cellStyle name="常规 19 2 4 3 2 5" xfId="16816"/>
    <cellStyle name="常规 19 2 4 3 2 5 2" xfId="16817"/>
    <cellStyle name="常规 19 2 4 3 2 5 3" xfId="16818"/>
    <cellStyle name="常规 19 2 4 3 2 5 4" xfId="16820"/>
    <cellStyle name="常规 19 2 4 3 2 5 5" xfId="11996"/>
    <cellStyle name="常规 19 2 4 3 2 5 6" xfId="12000"/>
    <cellStyle name="常规 19 2 4 3 2 5 7" xfId="16823"/>
    <cellStyle name="常规 19 2 4 3 2 5 8" xfId="16826"/>
    <cellStyle name="常规 19 2 4 3 2 6" xfId="16829"/>
    <cellStyle name="常规 19 2 4 3 2 6 2" xfId="16830"/>
    <cellStyle name="常规 19 2 4 3 2 6 3" xfId="16831"/>
    <cellStyle name="常规 19 2 4 3 2 6 4" xfId="16833"/>
    <cellStyle name="常规 19 2 4 3 2 6 5" xfId="16836"/>
    <cellStyle name="常规 19 2 4 3 2 6 6" xfId="16839"/>
    <cellStyle name="常规 19 2 4 3 2 6 7" xfId="16842"/>
    <cellStyle name="常规 19 2 4 3 2 6 8" xfId="16845"/>
    <cellStyle name="常规 19 2 4 3 2 7" xfId="16848"/>
    <cellStyle name="常规 19 2 4 3 2 7 2" xfId="16850"/>
    <cellStyle name="常规 19 2 4 3 2 7 3" xfId="16852"/>
    <cellStyle name="常规 19 2 4 3 2 7 4" xfId="16856"/>
    <cellStyle name="常规 19 2 4 3 2 7 5" xfId="16860"/>
    <cellStyle name="常规 19 2 4 3 2 7 6" xfId="16864"/>
    <cellStyle name="常规 19 2 4 3 2 7 7" xfId="16868"/>
    <cellStyle name="常规 19 2 4 3 2 7 8" xfId="16872"/>
    <cellStyle name="常规 19 2 4 3 2 8" xfId="16874"/>
    <cellStyle name="常规 19 2 4 3 2 8 2" xfId="16876"/>
    <cellStyle name="常规 19 2 4 3 2 8 3" xfId="16877"/>
    <cellStyle name="常规 19 2 4 3 2 8 4" xfId="16880"/>
    <cellStyle name="常规 19 2 4 3 2 8 5" xfId="16883"/>
    <cellStyle name="常规 19 2 4 3 2 8 6" xfId="16886"/>
    <cellStyle name="常规 19 2 4 3 2 8 7" xfId="16889"/>
    <cellStyle name="常规 19 2 4 3 2 8 8" xfId="16892"/>
    <cellStyle name="常规 19 2 4 3 2 9" xfId="16893"/>
    <cellStyle name="常规 19 2 4 3 2 9 2" xfId="16896"/>
    <cellStyle name="常规 19 2 4 3 2 9 3" xfId="16898"/>
    <cellStyle name="常规 19 2 4 3 2 9 4" xfId="16901"/>
    <cellStyle name="常规 19 2 4 3 2 9 5" xfId="16904"/>
    <cellStyle name="常规 19 2 4 3 2 9 6" xfId="16908"/>
    <cellStyle name="常规 19 2 4 3 2 9 7" xfId="16912"/>
    <cellStyle name="常规 19 2 4 3 2 9 8" xfId="16916"/>
    <cellStyle name="常规 19 2 4 3 3" xfId="2975"/>
    <cellStyle name="常规 19 2 4 3 3 2" xfId="1150"/>
    <cellStyle name="常规 19 2 4 3 3 3" xfId="2382"/>
    <cellStyle name="常规 19 2 4 3 3 4" xfId="11007"/>
    <cellStyle name="常规 19 2 4 3 3 5" xfId="16917"/>
    <cellStyle name="常规 19 2 4 3 3 6" xfId="16920"/>
    <cellStyle name="常规 19 2 4 3 3 7" xfId="16922"/>
    <cellStyle name="常规 19 2 4 3 3 8" xfId="16924"/>
    <cellStyle name="常规 19 2 4 3 4" xfId="2995"/>
    <cellStyle name="常规 19 2 4 3 4 2" xfId="3011"/>
    <cellStyle name="常规 19 2 4 3 4 3" xfId="3015"/>
    <cellStyle name="常规 19 2 4 3 4 4" xfId="11014"/>
    <cellStyle name="常规 19 2 4 3 4 5" xfId="16926"/>
    <cellStyle name="常规 19 2 4 3 4 6" xfId="16928"/>
    <cellStyle name="常规 19 2 4 3 4 7" xfId="16929"/>
    <cellStyle name="常规 19 2 4 3 4 8" xfId="16930"/>
    <cellStyle name="常规 19 2 4 3 5" xfId="2232"/>
    <cellStyle name="常规 19 2 4 3 5 2" xfId="2932"/>
    <cellStyle name="常规 19 2 4 3 5 3" xfId="4088"/>
    <cellStyle name="常规 19 2 4 3 5 4" xfId="16931"/>
    <cellStyle name="常规 19 2 4 3 5 5" xfId="16932"/>
    <cellStyle name="常规 19 2 4 3 5 6" xfId="16933"/>
    <cellStyle name="常规 19 2 4 3 5 7" xfId="16934"/>
    <cellStyle name="常规 19 2 4 3 5 8" xfId="16936"/>
    <cellStyle name="常规 19 2 4 3 6" xfId="4095"/>
    <cellStyle name="常规 19 2 4 3 6 2" xfId="4105"/>
    <cellStyle name="常规 19 2 4 3 6 3" xfId="4117"/>
    <cellStyle name="常规 19 2 4 3 6 4" xfId="16938"/>
    <cellStyle name="常规 19 2 4 3 6 5" xfId="3495"/>
    <cellStyle name="常规 19 2 4 3 6 6" xfId="3515"/>
    <cellStyle name="常规 19 2 4 3 6 7" xfId="3535"/>
    <cellStyle name="常规 19 2 4 3 6 8" xfId="3565"/>
    <cellStyle name="常规 19 2 4 3 7" xfId="4122"/>
    <cellStyle name="常规 19 2 4 3 7 2" xfId="4002"/>
    <cellStyle name="常规 19 2 4 3 7 3" xfId="4482"/>
    <cellStyle name="常规 19 2 4 3 7 4" xfId="16940"/>
    <cellStyle name="常规 19 2 4 3 7 5" xfId="646"/>
    <cellStyle name="常规 19 2 4 3 7 6" xfId="650"/>
    <cellStyle name="常规 19 2 4 3 7 7" xfId="3611"/>
    <cellStyle name="常规 19 2 4 3 7 8" xfId="4667"/>
    <cellStyle name="常规 19 2 4 3 8" xfId="4490"/>
    <cellStyle name="常规 19 2 4 3 8 2" xfId="4955"/>
    <cellStyle name="常规 19 2 4 3 8 3" xfId="4960"/>
    <cellStyle name="常规 19 2 4 3 8 4" xfId="5216"/>
    <cellStyle name="常规 19 2 4 3 8 5" xfId="3622"/>
    <cellStyle name="常规 19 2 4 3 8 6" xfId="3650"/>
    <cellStyle name="常规 19 2 4 3 8 7" xfId="340"/>
    <cellStyle name="常规 19 2 4 3 8 8" xfId="16941"/>
    <cellStyle name="常规 19 2 4 3 9" xfId="9"/>
    <cellStyle name="常规 19 2 4 3 9 2" xfId="5624"/>
    <cellStyle name="常规 19 2 4 3 9 3" xfId="5635"/>
    <cellStyle name="常规 19 2 4 3 9 4" xfId="16944"/>
    <cellStyle name="常规 19 2 4 3 9 5" xfId="616"/>
    <cellStyle name="常规 19 2 4 3 9 6" xfId="716"/>
    <cellStyle name="常规 19 2 4 3 9 7" xfId="16947"/>
    <cellStyle name="常规 19 2 4 3 9 8" xfId="6842"/>
    <cellStyle name="常规 19 2 4 4" xfId="13993"/>
    <cellStyle name="常规 19 2 4 4 10" xfId="16948"/>
    <cellStyle name="常规 19 2 4 4 10 2" xfId="16950"/>
    <cellStyle name="常规 19 2 4 4 10 3" xfId="16951"/>
    <cellStyle name="常规 19 2 4 4 10 4" xfId="16953"/>
    <cellStyle name="常规 19 2 4 4 10 5" xfId="16955"/>
    <cellStyle name="常规 19 2 4 4 10 6" xfId="16958"/>
    <cellStyle name="常规 19 2 4 4 10 7" xfId="16961"/>
    <cellStyle name="常规 19 2 4 4 10 8" xfId="16964"/>
    <cellStyle name="常规 19 2 4 4 11" xfId="16966"/>
    <cellStyle name="常规 19 2 4 4 11 2" xfId="16969"/>
    <cellStyle name="常规 19 2 4 4 11 3" xfId="16970"/>
    <cellStyle name="常规 19 2 4 4 11 4" xfId="16974"/>
    <cellStyle name="常规 19 2 4 4 11 5" xfId="16978"/>
    <cellStyle name="常规 19 2 4 4 11 6" xfId="16982"/>
    <cellStyle name="常规 19 2 4 4 11 7" xfId="16987"/>
    <cellStyle name="常规 19 2 4 4 11 8" xfId="16991"/>
    <cellStyle name="常规 19 2 4 4 12" xfId="16992"/>
    <cellStyle name="常规 19 2 4 4 12 2" xfId="16995"/>
    <cellStyle name="常规 19 2 4 4 12 3" xfId="16998"/>
    <cellStyle name="常规 19 2 4 4 12 4" xfId="17001"/>
    <cellStyle name="常规 19 2 4 4 12 5" xfId="17004"/>
    <cellStyle name="常规 19 2 4 4 12 6" xfId="17008"/>
    <cellStyle name="常规 19 2 4 4 12 7" xfId="17012"/>
    <cellStyle name="常规 19 2 4 4 13" xfId="17013"/>
    <cellStyle name="常规 19 2 4 4 14" xfId="17014"/>
    <cellStyle name="常规 19 2 4 4 15" xfId="17015"/>
    <cellStyle name="常规 19 2 4 4 16" xfId="17016"/>
    <cellStyle name="常规 19 2 4 4 17" xfId="17017"/>
    <cellStyle name="常规 19 2 4 4 18" xfId="2836"/>
    <cellStyle name="常规 19 2 4 4 19" xfId="3794"/>
    <cellStyle name="常规 19 2 4 4 2" xfId="5071"/>
    <cellStyle name="常规 19 2 4 4 2 10" xfId="15395"/>
    <cellStyle name="常规 19 2 4 4 2 10 2" xfId="17018"/>
    <cellStyle name="常规 19 2 4 4 2 10 3" xfId="17019"/>
    <cellStyle name="常规 19 2 4 4 2 10 4" xfId="17020"/>
    <cellStyle name="常规 19 2 4 4 2 10 5" xfId="17021"/>
    <cellStyle name="常规 19 2 4 4 2 10 6" xfId="17022"/>
    <cellStyle name="常规 19 2 4 4 2 10 7" xfId="17023"/>
    <cellStyle name="常规 19 2 4 4 2 11" xfId="15397"/>
    <cellStyle name="常规 19 2 4 4 2 12" xfId="15399"/>
    <cellStyle name="常规 19 2 4 4 2 13" xfId="63"/>
    <cellStyle name="常规 19 2 4 4 2 14" xfId="6344"/>
    <cellStyle name="常规 19 2 4 4 2 15" xfId="4595"/>
    <cellStyle name="常规 19 2 4 4 2 16" xfId="6350"/>
    <cellStyle name="常规 19 2 4 4 2 17" xfId="17024"/>
    <cellStyle name="常规 19 2 4 4 2 2" xfId="17028"/>
    <cellStyle name="常规 19 2 4 4 2 2 2" xfId="17031"/>
    <cellStyle name="常规 19 2 4 4 2 2 3" xfId="17034"/>
    <cellStyle name="常规 19 2 4 4 2 2 4" xfId="17037"/>
    <cellStyle name="常规 19 2 4 4 2 2 5" xfId="17040"/>
    <cellStyle name="常规 19 2 4 4 2 2 6" xfId="17042"/>
    <cellStyle name="常规 19 2 4 4 2 2 7" xfId="17044"/>
    <cellStyle name="常规 19 2 4 4 2 2 8" xfId="17046"/>
    <cellStyle name="常规 19 2 4 4 2 3" xfId="17049"/>
    <cellStyle name="常规 19 2 4 4 2 3 2" xfId="17051"/>
    <cellStyle name="常规 19 2 4 4 2 3 3" xfId="17053"/>
    <cellStyle name="常规 19 2 4 4 2 3 4" xfId="17055"/>
    <cellStyle name="常规 19 2 4 4 2 3 5" xfId="17056"/>
    <cellStyle name="常规 19 2 4 4 2 3 6" xfId="17057"/>
    <cellStyle name="常规 19 2 4 4 2 3 7" xfId="17058"/>
    <cellStyle name="常规 19 2 4 4 2 3 8" xfId="17059"/>
    <cellStyle name="常规 19 2 4 4 2 4" xfId="17061"/>
    <cellStyle name="常规 19 2 4 4 2 4 2" xfId="3755"/>
    <cellStyle name="常规 19 2 4 4 2 4 3" xfId="6546"/>
    <cellStyle name="常规 19 2 4 4 2 4 4" xfId="7043"/>
    <cellStyle name="常规 19 2 4 4 2 4 5" xfId="17063"/>
    <cellStyle name="常规 19 2 4 4 2 4 6" xfId="17064"/>
    <cellStyle name="常规 19 2 4 4 2 4 7" xfId="17065"/>
    <cellStyle name="常规 19 2 4 4 2 4 8" xfId="17067"/>
    <cellStyle name="常规 19 2 4 4 2 5" xfId="17070"/>
    <cellStyle name="常规 19 2 4 4 2 5 2" xfId="17072"/>
    <cellStyle name="常规 19 2 4 4 2 5 3" xfId="11955"/>
    <cellStyle name="常规 19 2 4 4 2 5 4" xfId="11957"/>
    <cellStyle name="常规 19 2 4 4 2 5 5" xfId="17073"/>
    <cellStyle name="常规 19 2 4 4 2 5 6" xfId="8184"/>
    <cellStyle name="常规 19 2 4 4 2 5 7" xfId="3891"/>
    <cellStyle name="常规 19 2 4 4 2 5 8" xfId="17074"/>
    <cellStyle name="常规 19 2 4 4 2 6" xfId="54"/>
    <cellStyle name="常规 19 2 4 4 2 6 2" xfId="17075"/>
    <cellStyle name="常规 19 2 4 4 2 6 3" xfId="17077"/>
    <cellStyle name="常规 19 2 4 4 2 6 4" xfId="17080"/>
    <cellStyle name="常规 19 2 4 4 2 6 5" xfId="17082"/>
    <cellStyle name="常规 19 2 4 4 2 6 6" xfId="12740"/>
    <cellStyle name="常规 19 2 4 4 2 6 7" xfId="12140"/>
    <cellStyle name="常规 19 2 4 4 2 6 8" xfId="17084"/>
    <cellStyle name="常规 19 2 4 4 2 7" xfId="6789"/>
    <cellStyle name="常规 19 2 4 4 2 7 2" xfId="17085"/>
    <cellStyle name="常规 19 2 4 4 2 7 3" xfId="17086"/>
    <cellStyle name="常规 19 2 4 4 2 7 4" xfId="17088"/>
    <cellStyle name="常规 19 2 4 4 2 7 5" xfId="17090"/>
    <cellStyle name="常规 19 2 4 4 2 7 6" xfId="17091"/>
    <cellStyle name="常规 19 2 4 4 2 7 7" xfId="17093"/>
    <cellStyle name="常规 19 2 4 4 2 7 8" xfId="17095"/>
    <cellStyle name="常规 19 2 4 4 2 8" xfId="17098"/>
    <cellStyle name="常规 19 2 4 4 2 8 2" xfId="17099"/>
    <cellStyle name="常规 19 2 4 4 2 8 3" xfId="17100"/>
    <cellStyle name="常规 19 2 4 4 2 8 4" xfId="17102"/>
    <cellStyle name="常规 19 2 4 4 2 8 5" xfId="17104"/>
    <cellStyle name="常规 19 2 4 4 2 8 6" xfId="17105"/>
    <cellStyle name="常规 19 2 4 4 2 8 7" xfId="17106"/>
    <cellStyle name="常规 19 2 4 4 2 8 8" xfId="17107"/>
    <cellStyle name="常规 19 2 4 4 2 9" xfId="17108"/>
    <cellStyle name="常规 19 2 4 4 2 9 2" xfId="17109"/>
    <cellStyle name="常规 19 2 4 4 2 9 3" xfId="17110"/>
    <cellStyle name="常规 19 2 4 4 2 9 4" xfId="17111"/>
    <cellStyle name="常规 19 2 4 4 2 9 5" xfId="17113"/>
    <cellStyle name="常规 19 2 4 4 2 9 6" xfId="17115"/>
    <cellStyle name="常规 19 2 4 4 2 9 7" xfId="17116"/>
    <cellStyle name="常规 19 2 4 4 2 9 8" xfId="17117"/>
    <cellStyle name="常规 19 2 4 4 3" xfId="3027"/>
    <cellStyle name="常规 19 2 4 4 3 2" xfId="1237"/>
    <cellStyle name="常规 19 2 4 4 3 3" xfId="2778"/>
    <cellStyle name="常规 19 2 4 4 3 4" xfId="11029"/>
    <cellStyle name="常规 19 2 4 4 3 5" xfId="17119"/>
    <cellStyle name="常规 19 2 4 4 3 6" xfId="17124"/>
    <cellStyle name="常规 19 2 4 4 3 7" xfId="17129"/>
    <cellStyle name="常规 19 2 4 4 3 8" xfId="17134"/>
    <cellStyle name="常规 19 2 4 4 4" xfId="3036"/>
    <cellStyle name="常规 19 2 4 4 4 2" xfId="17136"/>
    <cellStyle name="常规 19 2 4 4 4 3" xfId="17139"/>
    <cellStyle name="常规 19 2 4 4 4 4" xfId="17142"/>
    <cellStyle name="常规 19 2 4 4 4 5" xfId="17145"/>
    <cellStyle name="常规 19 2 4 4 4 6" xfId="5279"/>
    <cellStyle name="常规 19 2 4 4 4 7" xfId="6033"/>
    <cellStyle name="常规 19 2 4 4 4 8" xfId="17147"/>
    <cellStyle name="常规 19 2 4 4 5" xfId="4131"/>
    <cellStyle name="常规 19 2 4 4 5 2" xfId="4136"/>
    <cellStyle name="常规 19 2 4 4 5 3" xfId="4140"/>
    <cellStyle name="常规 19 2 4 4 5 4" xfId="17149"/>
    <cellStyle name="常规 19 2 4 4 5 5" xfId="17152"/>
    <cellStyle name="常规 19 2 4 4 5 6" xfId="17155"/>
    <cellStyle name="常规 19 2 4 4 5 7" xfId="17157"/>
    <cellStyle name="常规 19 2 4 4 5 8" xfId="17159"/>
    <cellStyle name="常规 19 2 4 4 6" xfId="2707"/>
    <cellStyle name="常规 19 2 4 4 6 2" xfId="17163"/>
    <cellStyle name="常规 19 2 4 4 6 3" xfId="17167"/>
    <cellStyle name="常规 19 2 4 4 6 4" xfId="17171"/>
    <cellStyle name="常规 19 2 4 4 6 5" xfId="3690"/>
    <cellStyle name="常规 19 2 4 4 6 6" xfId="3699"/>
    <cellStyle name="常规 19 2 4 4 6 7" xfId="3714"/>
    <cellStyle name="常规 19 2 4 4 6 8" xfId="17172"/>
    <cellStyle name="常规 19 2 4 4 7" xfId="2712"/>
    <cellStyle name="常规 19 2 4 4 7 2" xfId="4972"/>
    <cellStyle name="常规 19 2 4 4 7 3" xfId="208"/>
    <cellStyle name="常规 19 2 4 4 7 4" xfId="17175"/>
    <cellStyle name="常规 19 2 4 4 7 5" xfId="103"/>
    <cellStyle name="常规 19 2 4 4 7 6" xfId="220"/>
    <cellStyle name="常规 19 2 4 4 7 7" xfId="17177"/>
    <cellStyle name="常规 19 2 4 4 7 8" xfId="17179"/>
    <cellStyle name="常规 19 2 4 4 8" xfId="4976"/>
    <cellStyle name="常规 19 2 4 4 8 2" xfId="17181"/>
    <cellStyle name="常规 19 2 4 4 8 3" xfId="17184"/>
    <cellStyle name="常规 19 2 4 4 8 4" xfId="17187"/>
    <cellStyle name="常规 19 2 4 4 8 5" xfId="3744"/>
    <cellStyle name="常规 19 2 4 4 8 6" xfId="1337"/>
    <cellStyle name="常规 19 2 4 4 8 7" xfId="192"/>
    <cellStyle name="常规 19 2 4 4 8 8" xfId="17189"/>
    <cellStyle name="常规 19 2 4 4 9" xfId="5642"/>
    <cellStyle name="常规 19 2 4 4 9 2" xfId="17193"/>
    <cellStyle name="常规 19 2 4 4 9 3" xfId="17196"/>
    <cellStyle name="常规 19 2 4 4 9 4" xfId="17198"/>
    <cellStyle name="常规 19 2 4 4 9 5" xfId="17201"/>
    <cellStyle name="常规 19 2 4 4 9 6" xfId="17206"/>
    <cellStyle name="常规 19 2 4 4 9 7" xfId="17211"/>
    <cellStyle name="常规 19 2 4 4 9 8" xfId="17218"/>
    <cellStyle name="常规 19 2 4 5" xfId="13994"/>
    <cellStyle name="常规 19 2 4 5 10" xfId="17221"/>
    <cellStyle name="常规 19 2 4 5 10 2" xfId="96"/>
    <cellStyle name="常规 19 2 4 5 10 3" xfId="17222"/>
    <cellStyle name="常规 19 2 4 5 10 4" xfId="432"/>
    <cellStyle name="常规 19 2 4 5 10 5" xfId="453"/>
    <cellStyle name="常规 19 2 4 5 10 6" xfId="5461"/>
    <cellStyle name="常规 19 2 4 5 10 7" xfId="5467"/>
    <cellStyle name="常规 19 2 4 5 11" xfId="17223"/>
    <cellStyle name="常规 19 2 4 5 12" xfId="17226"/>
    <cellStyle name="常规 19 2 4 5 13" xfId="17230"/>
    <cellStyle name="常规 19 2 4 5 14" xfId="17233"/>
    <cellStyle name="常规 19 2 4 5 15" xfId="17235"/>
    <cellStyle name="常规 19 2 4 5 16" xfId="17237"/>
    <cellStyle name="常规 19 2 4 5 17" xfId="17239"/>
    <cellStyle name="常规 19 2 4 5 2" xfId="9613"/>
    <cellStyle name="常规 19 2 4 5 2 2" xfId="17240"/>
    <cellStyle name="常规 19 2 4 5 2 3" xfId="1302"/>
    <cellStyle name="常规 19 2 4 5 2 4" xfId="1406"/>
    <cellStyle name="常规 19 2 4 5 2 5" xfId="1471"/>
    <cellStyle name="常规 19 2 4 5 2 6" xfId="1582"/>
    <cellStyle name="常规 19 2 4 5 2 7" xfId="1607"/>
    <cellStyle name="常规 19 2 4 5 2 8" xfId="1618"/>
    <cellStyle name="常规 19 2 4 5 3" xfId="1798"/>
    <cellStyle name="常规 19 2 4 5 3 2" xfId="17242"/>
    <cellStyle name="常规 19 2 4 5 3 3" xfId="1639"/>
    <cellStyle name="常规 19 2 4 5 3 4" xfId="1708"/>
    <cellStyle name="常规 19 2 4 5 3 5" xfId="1753"/>
    <cellStyle name="常规 19 2 4 5 3 6" xfId="1777"/>
    <cellStyle name="常规 19 2 4 5 3 7" xfId="17244"/>
    <cellStyle name="常规 19 2 4 5 3 8" xfId="17246"/>
    <cellStyle name="常规 19 2 4 5 4" xfId="1806"/>
    <cellStyle name="常规 19 2 4 5 4 2" xfId="17247"/>
    <cellStyle name="常规 19 2 4 5 4 3" xfId="1790"/>
    <cellStyle name="常规 19 2 4 5 4 4" xfId="306"/>
    <cellStyle name="常规 19 2 4 5 4 5" xfId="1668"/>
    <cellStyle name="常规 19 2 4 5 4 6" xfId="17250"/>
    <cellStyle name="常规 19 2 4 5 4 7" xfId="17253"/>
    <cellStyle name="常规 19 2 4 5 4 8" xfId="17255"/>
    <cellStyle name="常规 19 2 4 5 5" xfId="4142"/>
    <cellStyle name="常规 19 2 4 5 5 2" xfId="17257"/>
    <cellStyle name="常规 19 2 4 5 5 3" xfId="1841"/>
    <cellStyle name="常规 19 2 4 5 5 4" xfId="1712"/>
    <cellStyle name="常规 19 2 4 5 5 5" xfId="1741"/>
    <cellStyle name="常规 19 2 4 5 5 6" xfId="7425"/>
    <cellStyle name="常规 19 2 4 5 5 7" xfId="6086"/>
    <cellStyle name="常规 19 2 4 5 5 8" xfId="6097"/>
    <cellStyle name="常规 19 2 4 5 6" xfId="4161"/>
    <cellStyle name="常规 19 2 4 5 6 2" xfId="17260"/>
    <cellStyle name="常规 19 2 4 5 6 3" xfId="1895"/>
    <cellStyle name="常规 19 2 4 5 6 4" xfId="1757"/>
    <cellStyle name="常规 19 2 4 5 6 5" xfId="3784"/>
    <cellStyle name="常规 19 2 4 5 6 6" xfId="3815"/>
    <cellStyle name="常规 19 2 4 5 6 7" xfId="1501"/>
    <cellStyle name="常规 19 2 4 5 6 8" xfId="1518"/>
    <cellStyle name="常规 19 2 4 5 7" xfId="4496"/>
    <cellStyle name="常规 19 2 4 5 7 2" xfId="17263"/>
    <cellStyle name="常规 19 2 4 5 7 3" xfId="1934"/>
    <cellStyle name="常规 19 2 4 5 7 4" xfId="17265"/>
    <cellStyle name="常规 19 2 4 5 7 5" xfId="3829"/>
    <cellStyle name="常规 19 2 4 5 7 6" xfId="3837"/>
    <cellStyle name="常规 19 2 4 5 7 7" xfId="4744"/>
    <cellStyle name="常规 19 2 4 5 7 8" xfId="4752"/>
    <cellStyle name="常规 19 2 4 5 8" xfId="4992"/>
    <cellStyle name="常规 19 2 4 5 8 2" xfId="17267"/>
    <cellStyle name="常规 19 2 4 5 8 3" xfId="17270"/>
    <cellStyle name="常规 19 2 4 5 8 4" xfId="17273"/>
    <cellStyle name="常规 19 2 4 5 8 5" xfId="11418"/>
    <cellStyle name="常规 19 2 4 5 8 6" xfId="7480"/>
    <cellStyle name="常规 19 2 4 5 8 7" xfId="7493"/>
    <cellStyle name="常规 19 2 4 5 8 8" xfId="17275"/>
    <cellStyle name="常规 19 2 4 5 9" xfId="17277"/>
    <cellStyle name="常规 19 2 4 5 9 2" xfId="17278"/>
    <cellStyle name="常规 19 2 4 5 9 3" xfId="17281"/>
    <cellStyle name="常规 19 2 4 5 9 4" xfId="17284"/>
    <cellStyle name="常规 19 2 4 5 9 5" xfId="17287"/>
    <cellStyle name="常规 19 2 4 5 9 6" xfId="7498"/>
    <cellStyle name="常规 19 2 4 5 9 7" xfId="7506"/>
    <cellStyle name="常规 19 2 4 5 9 8" xfId="17291"/>
    <cellStyle name="常规 19 2 4 6" xfId="17296"/>
    <cellStyle name="常规 19 2 4 6 2" xfId="14781"/>
    <cellStyle name="常规 19 2 4 6 3" xfId="14787"/>
    <cellStyle name="常规 19 2 4 6 4" xfId="14792"/>
    <cellStyle name="常规 19 2 4 6 5" xfId="17297"/>
    <cellStyle name="常规 19 2 4 6 6" xfId="17299"/>
    <cellStyle name="常规 19 2 4 6 7" xfId="17301"/>
    <cellStyle name="常规 19 2 4 6 8" xfId="17303"/>
    <cellStyle name="常规 19 2 4 7" xfId="17307"/>
    <cellStyle name="常规 19 2 4 7 2" xfId="14815"/>
    <cellStyle name="常规 19 2 4 7 3" xfId="14821"/>
    <cellStyle name="常规 19 2 4 7 4" xfId="14825"/>
    <cellStyle name="常规 19 2 4 7 5" xfId="17308"/>
    <cellStyle name="常规 19 2 4 7 6" xfId="17310"/>
    <cellStyle name="常规 19 2 4 7 7" xfId="17312"/>
    <cellStyle name="常规 19 2 4 7 8" xfId="17314"/>
    <cellStyle name="常规 19 2 4 8" xfId="9624"/>
    <cellStyle name="常规 19 2 4 8 2" xfId="423"/>
    <cellStyle name="常规 19 2 4 8 3" xfId="443"/>
    <cellStyle name="常规 19 2 4 8 4" xfId="14829"/>
    <cellStyle name="常规 19 2 4 8 5" xfId="17315"/>
    <cellStyle name="常规 19 2 4 8 6" xfId="17317"/>
    <cellStyle name="常规 19 2 4 8 7" xfId="17319"/>
    <cellStyle name="常规 19 2 4 8 8" xfId="17320"/>
    <cellStyle name="常规 19 2 4 9" xfId="9629"/>
    <cellStyle name="常规 19 2 4 9 2" xfId="14848"/>
    <cellStyle name="常规 19 2 4 9 3" xfId="11577"/>
    <cellStyle name="常规 19 2 4 9 4" xfId="11582"/>
    <cellStyle name="常规 19 2 4 9 5" xfId="17321"/>
    <cellStyle name="常规 19 2 4 9 6" xfId="17323"/>
    <cellStyle name="常规 19 2 4 9 7" xfId="17325"/>
    <cellStyle name="常规 19 2 4 9 8" xfId="17326"/>
    <cellStyle name="常规 19 2 5" xfId="12449"/>
    <cellStyle name="常规 19 2 5 10" xfId="17327"/>
    <cellStyle name="常规 19 2 5 10 2" xfId="17328"/>
    <cellStyle name="常规 19 2 5 10 3" xfId="17329"/>
    <cellStyle name="常规 19 2 5 10 4" xfId="5075"/>
    <cellStyle name="常规 19 2 5 10 5" xfId="3022"/>
    <cellStyle name="常规 19 2 5 10 6" xfId="11251"/>
    <cellStyle name="常规 19 2 5 10 7" xfId="11261"/>
    <cellStyle name="常规 19 2 5 10 8" xfId="11270"/>
    <cellStyle name="常规 19 2 5 11" xfId="17330"/>
    <cellStyle name="常规 19 2 5 11 2" xfId="17331"/>
    <cellStyle name="常规 19 2 5 11 3" xfId="17332"/>
    <cellStyle name="常规 19 2 5 11 4" xfId="17335"/>
    <cellStyle name="常规 19 2 5 11 5" xfId="17338"/>
    <cellStyle name="常规 19 2 5 11 6" xfId="11274"/>
    <cellStyle name="常规 19 2 5 11 7" xfId="4148"/>
    <cellStyle name="常规 19 2 5 11 8" xfId="17341"/>
    <cellStyle name="常规 19 2 5 12" xfId="17342"/>
    <cellStyle name="常规 19 2 5 12 2" xfId="12041"/>
    <cellStyle name="常规 19 2 5 12 3" xfId="17343"/>
    <cellStyle name="常规 19 2 5 12 4" xfId="17346"/>
    <cellStyle name="常规 19 2 5 12 5" xfId="17349"/>
    <cellStyle name="常规 19 2 5 12 6" xfId="11285"/>
    <cellStyle name="常规 19 2 5 12 7" xfId="17353"/>
    <cellStyle name="常规 19 2 5 12 8" xfId="17357"/>
    <cellStyle name="常规 19 2 5 13" xfId="14529"/>
    <cellStyle name="常规 19 2 5 13 2" xfId="12048"/>
    <cellStyle name="常规 19 2 5 13 3" xfId="17358"/>
    <cellStyle name="常规 19 2 5 13 4" xfId="17359"/>
    <cellStyle name="常规 19 2 5 13 5" xfId="17360"/>
    <cellStyle name="常规 19 2 5 13 6" xfId="17362"/>
    <cellStyle name="常规 19 2 5 13 7" xfId="17364"/>
    <cellStyle name="常规 19 2 5 14" xfId="14531"/>
    <cellStyle name="常规 19 2 5 15" xfId="686"/>
    <cellStyle name="常规 19 2 5 16" xfId="2510"/>
    <cellStyle name="常规 19 2 5 17" xfId="2530"/>
    <cellStyle name="常规 19 2 5 18" xfId="3593"/>
    <cellStyle name="常规 19 2 5 19" xfId="10728"/>
    <cellStyle name="常规 19 2 5 2" xfId="3982"/>
    <cellStyle name="常规 19 2 5 2 10" xfId="9155"/>
    <cellStyle name="常规 19 2 5 2 10 2" xfId="17365"/>
    <cellStyle name="常规 19 2 5 2 10 3" xfId="17366"/>
    <cellStyle name="常规 19 2 5 2 10 4" xfId="17367"/>
    <cellStyle name="常规 19 2 5 2 10 5" xfId="17368"/>
    <cellStyle name="常规 19 2 5 2 10 6" xfId="17369"/>
    <cellStyle name="常规 19 2 5 2 10 7" xfId="17370"/>
    <cellStyle name="常规 19 2 5 2 10 8" xfId="17372"/>
    <cellStyle name="常规 19 2 5 2 11" xfId="17375"/>
    <cellStyle name="常规 19 2 5 2 11 2" xfId="17377"/>
    <cellStyle name="常规 19 2 5 2 11 3" xfId="17379"/>
    <cellStyle name="常规 19 2 5 2 11 4" xfId="17380"/>
    <cellStyle name="常规 19 2 5 2 11 5" xfId="17382"/>
    <cellStyle name="常规 19 2 5 2 11 6" xfId="17384"/>
    <cellStyle name="常规 19 2 5 2 11 7" xfId="17385"/>
    <cellStyle name="常规 19 2 5 2 11 8" xfId="17386"/>
    <cellStyle name="常规 19 2 5 2 12" xfId="17388"/>
    <cellStyle name="常规 19 2 5 2 12 2" xfId="17389"/>
    <cellStyle name="常规 19 2 5 2 12 3" xfId="17391"/>
    <cellStyle name="常规 19 2 5 2 12 4" xfId="17392"/>
    <cellStyle name="常规 19 2 5 2 12 5" xfId="17393"/>
    <cellStyle name="常规 19 2 5 2 12 6" xfId="17394"/>
    <cellStyle name="常规 19 2 5 2 12 7" xfId="17395"/>
    <cellStyle name="常规 19 2 5 2 13" xfId="17397"/>
    <cellStyle name="常规 19 2 5 2 14" xfId="17398"/>
    <cellStyle name="常规 19 2 5 2 15" xfId="17399"/>
    <cellStyle name="常规 19 2 5 2 16" xfId="17400"/>
    <cellStyle name="常规 19 2 5 2 17" xfId="17401"/>
    <cellStyle name="常规 19 2 5 2 18" xfId="17405"/>
    <cellStyle name="常规 19 2 5 2 19" xfId="17409"/>
    <cellStyle name="常规 19 2 5 2 2" xfId="17412"/>
    <cellStyle name="常规 19 2 5 2 2 10" xfId="17415"/>
    <cellStyle name="常规 19 2 5 2 2 10 2" xfId="17416"/>
    <cellStyle name="常规 19 2 5 2 2 10 3" xfId="17417"/>
    <cellStyle name="常规 19 2 5 2 2 10 4" xfId="17418"/>
    <cellStyle name="常规 19 2 5 2 2 10 5" xfId="17419"/>
    <cellStyle name="常规 19 2 5 2 2 10 6" xfId="17420"/>
    <cellStyle name="常规 19 2 5 2 2 10 7" xfId="17421"/>
    <cellStyle name="常规 19 2 5 2 2 11" xfId="17424"/>
    <cellStyle name="常规 19 2 5 2 2 12" xfId="17427"/>
    <cellStyle name="常规 19 2 5 2 2 13" xfId="17431"/>
    <cellStyle name="常规 19 2 5 2 2 14" xfId="2962"/>
    <cellStyle name="常规 19 2 5 2 2 15" xfId="3043"/>
    <cellStyle name="常规 19 2 5 2 2 16" xfId="3084"/>
    <cellStyle name="常规 19 2 5 2 2 17" xfId="3157"/>
    <cellStyle name="常规 19 2 5 2 2 2" xfId="17434"/>
    <cellStyle name="常规 19 2 5 2 2 2 2" xfId="17437"/>
    <cellStyle name="常规 19 2 5 2 2 2 3" xfId="17440"/>
    <cellStyle name="常规 19 2 5 2 2 2 4" xfId="8543"/>
    <cellStyle name="常规 19 2 5 2 2 2 5" xfId="8548"/>
    <cellStyle name="常规 19 2 5 2 2 2 6" xfId="8978"/>
    <cellStyle name="常规 19 2 5 2 2 2 7" xfId="17441"/>
    <cellStyle name="常规 19 2 5 2 2 2 8" xfId="6195"/>
    <cellStyle name="常规 19 2 5 2 2 3" xfId="17442"/>
    <cellStyle name="常规 19 2 5 2 2 3 2" xfId="17445"/>
    <cellStyle name="常规 19 2 5 2 2 3 3" xfId="17450"/>
    <cellStyle name="常规 19 2 5 2 2 3 4" xfId="17455"/>
    <cellStyle name="常规 19 2 5 2 2 3 5" xfId="17459"/>
    <cellStyle name="常规 19 2 5 2 2 3 6" xfId="17463"/>
    <cellStyle name="常规 19 2 5 2 2 3 7" xfId="17464"/>
    <cellStyle name="常规 19 2 5 2 2 3 8" xfId="6218"/>
    <cellStyle name="常规 19 2 5 2 2 4" xfId="17465"/>
    <cellStyle name="常规 19 2 5 2 2 4 2" xfId="17468"/>
    <cellStyle name="常规 19 2 5 2 2 4 3" xfId="17473"/>
    <cellStyle name="常规 19 2 5 2 2 4 4" xfId="17476"/>
    <cellStyle name="常规 19 2 5 2 2 4 5" xfId="17478"/>
    <cellStyle name="常规 19 2 5 2 2 4 6" xfId="17480"/>
    <cellStyle name="常规 19 2 5 2 2 4 7" xfId="17481"/>
    <cellStyle name="常规 19 2 5 2 2 4 8" xfId="6224"/>
    <cellStyle name="常规 19 2 5 2 2 5" xfId="17482"/>
    <cellStyle name="常规 19 2 5 2 2 5 2" xfId="17485"/>
    <cellStyle name="常规 19 2 5 2 2 5 3" xfId="17488"/>
    <cellStyle name="常规 19 2 5 2 2 5 4" xfId="17490"/>
    <cellStyle name="常规 19 2 5 2 2 5 5" xfId="17492"/>
    <cellStyle name="常规 19 2 5 2 2 5 6" xfId="17495"/>
    <cellStyle name="常规 19 2 5 2 2 5 7" xfId="17496"/>
    <cellStyle name="常规 19 2 5 2 2 5 8" xfId="17497"/>
    <cellStyle name="常规 19 2 5 2 2 6" xfId="16388"/>
    <cellStyle name="常规 19 2 5 2 2 6 2" xfId="17500"/>
    <cellStyle name="常规 19 2 5 2 2 6 3" xfId="17505"/>
    <cellStyle name="常规 19 2 5 2 2 6 4" xfId="17510"/>
    <cellStyle name="常规 19 2 5 2 2 6 5" xfId="17514"/>
    <cellStyle name="常规 19 2 5 2 2 6 6" xfId="17517"/>
    <cellStyle name="常规 19 2 5 2 2 6 7" xfId="17518"/>
    <cellStyle name="常规 19 2 5 2 2 6 8" xfId="17519"/>
    <cellStyle name="常规 19 2 5 2 2 7" xfId="16390"/>
    <cellStyle name="常规 19 2 5 2 2 7 2" xfId="17522"/>
    <cellStyle name="常规 19 2 5 2 2 7 3" xfId="17525"/>
    <cellStyle name="常规 19 2 5 2 2 7 4" xfId="17528"/>
    <cellStyle name="常规 19 2 5 2 2 7 5" xfId="9168"/>
    <cellStyle name="常规 19 2 5 2 2 7 6" xfId="9194"/>
    <cellStyle name="常规 19 2 5 2 2 7 7" xfId="17529"/>
    <cellStyle name="常规 19 2 5 2 2 7 8" xfId="17530"/>
    <cellStyle name="常规 19 2 5 2 2 8" xfId="16392"/>
    <cellStyle name="常规 19 2 5 2 2 8 2" xfId="17531"/>
    <cellStyle name="常规 19 2 5 2 2 8 3" xfId="17533"/>
    <cellStyle name="常规 19 2 5 2 2 8 4" xfId="17535"/>
    <cellStyle name="常规 19 2 5 2 2 8 5" xfId="17536"/>
    <cellStyle name="常规 19 2 5 2 2 8 6" xfId="17537"/>
    <cellStyle name="常规 19 2 5 2 2 8 7" xfId="17538"/>
    <cellStyle name="常规 19 2 5 2 2 8 8" xfId="17539"/>
    <cellStyle name="常规 19 2 5 2 2 9" xfId="16394"/>
    <cellStyle name="常规 19 2 5 2 2 9 2" xfId="17540"/>
    <cellStyle name="常规 19 2 5 2 2 9 3" xfId="17543"/>
    <cellStyle name="常规 19 2 5 2 2 9 4" xfId="17545"/>
    <cellStyle name="常规 19 2 5 2 2 9 5" xfId="17546"/>
    <cellStyle name="常规 19 2 5 2 2 9 6" xfId="17547"/>
    <cellStyle name="常规 19 2 5 2 2 9 7" xfId="17548"/>
    <cellStyle name="常规 19 2 5 2 2 9 8" xfId="17552"/>
    <cellStyle name="常规 19 2 5 2 3" xfId="17554"/>
    <cellStyle name="常规 19 2 5 2 3 2" xfId="17555"/>
    <cellStyle name="常规 19 2 5 2 3 3" xfId="11062"/>
    <cellStyle name="常规 19 2 5 2 3 4" xfId="11070"/>
    <cellStyle name="常规 19 2 5 2 3 5" xfId="17557"/>
    <cellStyle name="常规 19 2 5 2 3 6" xfId="4824"/>
    <cellStyle name="常规 19 2 5 2 3 7" xfId="4830"/>
    <cellStyle name="常规 19 2 5 2 3 8" xfId="12726"/>
    <cellStyle name="常规 19 2 5 2 4" xfId="17559"/>
    <cellStyle name="常规 19 2 5 2 4 2" xfId="17560"/>
    <cellStyle name="常规 19 2 5 2 4 3" xfId="11073"/>
    <cellStyle name="常规 19 2 5 2 4 4" xfId="11076"/>
    <cellStyle name="常规 19 2 5 2 4 5" xfId="17562"/>
    <cellStyle name="常规 19 2 5 2 4 6" xfId="16402"/>
    <cellStyle name="常规 19 2 5 2 4 7" xfId="16406"/>
    <cellStyle name="常规 19 2 5 2 4 8" xfId="16408"/>
    <cellStyle name="常规 19 2 5 2 5" xfId="17565"/>
    <cellStyle name="常规 19 2 5 2 5 2" xfId="17566"/>
    <cellStyle name="常规 19 2 5 2 5 3" xfId="17567"/>
    <cellStyle name="常规 19 2 5 2 5 4" xfId="17568"/>
    <cellStyle name="常规 19 2 5 2 5 5" xfId="17569"/>
    <cellStyle name="常规 19 2 5 2 5 6" xfId="16411"/>
    <cellStyle name="常规 19 2 5 2 5 7" xfId="16413"/>
    <cellStyle name="常规 19 2 5 2 5 8" xfId="16415"/>
    <cellStyle name="常规 19 2 5 2 6" xfId="17570"/>
    <cellStyle name="常规 19 2 5 2 6 2" xfId="17571"/>
    <cellStyle name="常规 19 2 5 2 6 3" xfId="17572"/>
    <cellStyle name="常规 19 2 5 2 6 4" xfId="17573"/>
    <cellStyle name="常规 19 2 5 2 6 5" xfId="17574"/>
    <cellStyle name="常规 19 2 5 2 6 6" xfId="16421"/>
    <cellStyle name="常规 19 2 5 2 6 7" xfId="16423"/>
    <cellStyle name="常规 19 2 5 2 6 8" xfId="16426"/>
    <cellStyle name="常规 19 2 5 2 7" xfId="17575"/>
    <cellStyle name="常规 19 2 5 2 7 2" xfId="7951"/>
    <cellStyle name="常规 19 2 5 2 7 3" xfId="17577"/>
    <cellStyle name="常规 19 2 5 2 7 4" xfId="17579"/>
    <cellStyle name="常规 19 2 5 2 7 5" xfId="17580"/>
    <cellStyle name="常规 19 2 5 2 7 6" xfId="16432"/>
    <cellStyle name="常规 19 2 5 2 7 7" xfId="16434"/>
    <cellStyle name="常规 19 2 5 2 7 8" xfId="6252"/>
    <cellStyle name="常规 19 2 5 2 8" xfId="17581"/>
    <cellStyle name="常规 19 2 5 2 8 2" xfId="8499"/>
    <cellStyle name="常规 19 2 5 2 8 3" xfId="17583"/>
    <cellStyle name="常规 19 2 5 2 8 4" xfId="17584"/>
    <cellStyle name="常规 19 2 5 2 8 5" xfId="17585"/>
    <cellStyle name="常规 19 2 5 2 8 6" xfId="16440"/>
    <cellStyle name="常规 19 2 5 2 8 7" xfId="16442"/>
    <cellStyle name="常规 19 2 5 2 8 8" xfId="16444"/>
    <cellStyle name="常规 19 2 5 2 9" xfId="17586"/>
    <cellStyle name="常规 19 2 5 2 9 2" xfId="8504"/>
    <cellStyle name="常规 19 2 5 2 9 3" xfId="17588"/>
    <cellStyle name="常规 19 2 5 2 9 4" xfId="17590"/>
    <cellStyle name="常规 19 2 5 2 9 5" xfId="17593"/>
    <cellStyle name="常规 19 2 5 2 9 6" xfId="17596"/>
    <cellStyle name="常规 19 2 5 2 9 7" xfId="17598"/>
    <cellStyle name="常规 19 2 5 2 9 8" xfId="5914"/>
    <cellStyle name="常规 19 2 5 20" xfId="687"/>
    <cellStyle name="常规 19 2 5 3" xfId="17599"/>
    <cellStyle name="常规 19 2 5 3 10" xfId="11188"/>
    <cellStyle name="常规 19 2 5 3 10 2" xfId="3675"/>
    <cellStyle name="常规 19 2 5 3 10 3" xfId="3765"/>
    <cellStyle name="常规 19 2 5 3 10 4" xfId="3845"/>
    <cellStyle name="常规 19 2 5 3 10 5" xfId="3090"/>
    <cellStyle name="常规 19 2 5 3 10 6" xfId="3137"/>
    <cellStyle name="常规 19 2 5 3 10 7" xfId="12357"/>
    <cellStyle name="常规 19 2 5 3 11" xfId="11192"/>
    <cellStyle name="常规 19 2 5 3 12" xfId="17600"/>
    <cellStyle name="常规 19 2 5 3 13" xfId="17602"/>
    <cellStyle name="常规 19 2 5 3 14" xfId="17604"/>
    <cellStyle name="常规 19 2 5 3 15" xfId="17606"/>
    <cellStyle name="常规 19 2 5 3 16" xfId="17608"/>
    <cellStyle name="常规 19 2 5 3 17" xfId="17609"/>
    <cellStyle name="常规 19 2 5 3 2" xfId="17610"/>
    <cellStyle name="常规 19 2 5 3 2 2" xfId="13465"/>
    <cellStyle name="常规 19 2 5 3 2 3" xfId="13468"/>
    <cellStyle name="常规 19 2 5 3 2 4" xfId="13471"/>
    <cellStyle name="常规 19 2 5 3 2 5" xfId="13473"/>
    <cellStyle name="常规 19 2 5 3 2 6" xfId="13475"/>
    <cellStyle name="常规 19 2 5 3 2 7" xfId="17611"/>
    <cellStyle name="常规 19 2 5 3 2 8" xfId="17612"/>
    <cellStyle name="常规 19 2 5 3 3" xfId="1622"/>
    <cellStyle name="常规 19 2 5 3 3 2" xfId="1463"/>
    <cellStyle name="常规 19 2 5 3 3 3" xfId="3059"/>
    <cellStyle name="常规 19 2 5 3 3 4" xfId="11083"/>
    <cellStyle name="常规 19 2 5 3 3 5" xfId="13482"/>
    <cellStyle name="常规 19 2 5 3 3 6" xfId="13485"/>
    <cellStyle name="常规 19 2 5 3 3 7" xfId="17613"/>
    <cellStyle name="常规 19 2 5 3 3 8" xfId="17615"/>
    <cellStyle name="常规 19 2 5 3 4" xfId="3065"/>
    <cellStyle name="常规 19 2 5 3 4 2" xfId="12113"/>
    <cellStyle name="常规 19 2 5 3 4 3" xfId="11090"/>
    <cellStyle name="常规 19 2 5 3 4 4" xfId="11098"/>
    <cellStyle name="常规 19 2 5 3 4 5" xfId="13495"/>
    <cellStyle name="常规 19 2 5 3 4 6" xfId="13501"/>
    <cellStyle name="常规 19 2 5 3 4 7" xfId="17617"/>
    <cellStyle name="常规 19 2 5 3 4 8" xfId="17618"/>
    <cellStyle name="常规 19 2 5 3 5" xfId="4175"/>
    <cellStyle name="常规 19 2 5 3 5 2" xfId="4185"/>
    <cellStyle name="常规 19 2 5 3 5 3" xfId="4192"/>
    <cellStyle name="常规 19 2 5 3 5 4" xfId="13513"/>
    <cellStyle name="常规 19 2 5 3 5 5" xfId="13518"/>
    <cellStyle name="常规 19 2 5 3 5 6" xfId="13523"/>
    <cellStyle name="常规 19 2 5 3 5 7" xfId="17619"/>
    <cellStyle name="常规 19 2 5 3 5 8" xfId="17621"/>
    <cellStyle name="常规 19 2 5 3 6" xfId="2798"/>
    <cellStyle name="常规 19 2 5 3 6 2" xfId="17623"/>
    <cellStyle name="常规 19 2 5 3 6 3" xfId="12798"/>
    <cellStyle name="常规 19 2 5 3 6 4" xfId="7396"/>
    <cellStyle name="常规 19 2 5 3 6 5" xfId="3941"/>
    <cellStyle name="常规 19 2 5 3 6 6" xfId="12804"/>
    <cellStyle name="常规 19 2 5 3 6 7" xfId="12809"/>
    <cellStyle name="常规 19 2 5 3 6 8" xfId="4811"/>
    <cellStyle name="常规 19 2 5 3 7" xfId="2986"/>
    <cellStyle name="常规 19 2 5 3 7 2" xfId="5011"/>
    <cellStyle name="常规 19 2 5 3 7 3" xfId="74"/>
    <cellStyle name="常规 19 2 5 3 7 4" xfId="12815"/>
    <cellStyle name="常规 19 2 5 3 7 5" xfId="11448"/>
    <cellStyle name="常规 19 2 5 3 7 6" xfId="11451"/>
    <cellStyle name="常规 19 2 5 3 7 7" xfId="11792"/>
    <cellStyle name="常规 19 2 5 3 7 8" xfId="4861"/>
    <cellStyle name="常规 19 2 5 3 8" xfId="5018"/>
    <cellStyle name="常规 19 2 5 3 8 2" xfId="8519"/>
    <cellStyle name="常规 19 2 5 3 8 3" xfId="12820"/>
    <cellStyle name="常规 19 2 5 3 8 4" xfId="9705"/>
    <cellStyle name="常规 19 2 5 3 8 5" xfId="3961"/>
    <cellStyle name="常规 19 2 5 3 8 6" xfId="12822"/>
    <cellStyle name="常规 19 2 5 3 8 7" xfId="1977"/>
    <cellStyle name="常规 19 2 5 3 8 8" xfId="2024"/>
    <cellStyle name="常规 19 2 5 3 9" xfId="5438"/>
    <cellStyle name="常规 19 2 5 3 9 2" xfId="17625"/>
    <cellStyle name="常规 19 2 5 3 9 3" xfId="12827"/>
    <cellStyle name="常规 19 2 5 3 9 4" xfId="12829"/>
    <cellStyle name="常规 19 2 5 3 9 5" xfId="12832"/>
    <cellStyle name="常规 19 2 5 3 9 6" xfId="12835"/>
    <cellStyle name="常规 19 2 5 3 9 7" xfId="12839"/>
    <cellStyle name="常规 19 2 5 3 9 8" xfId="12842"/>
    <cellStyle name="常规 19 2 5 4" xfId="5109"/>
    <cellStyle name="常规 19 2 5 4 2" xfId="16377"/>
    <cellStyle name="常规 19 2 5 4 3" xfId="3073"/>
    <cellStyle name="常规 19 2 5 4 4" xfId="270"/>
    <cellStyle name="常规 19 2 5 4 5" xfId="4200"/>
    <cellStyle name="常规 19 2 5 4 6" xfId="4203"/>
    <cellStyle name="常规 19 2 5 4 7" xfId="5020"/>
    <cellStyle name="常规 19 2 5 4 8" xfId="5028"/>
    <cellStyle name="常规 19 2 5 5" xfId="469"/>
    <cellStyle name="常规 19 2 5 5 2" xfId="17627"/>
    <cellStyle name="常规 19 2 5 5 3" xfId="17628"/>
    <cellStyle name="常规 19 2 5 5 4" xfId="17629"/>
    <cellStyle name="常规 19 2 5 5 5" xfId="17630"/>
    <cellStyle name="常规 19 2 5 5 6" xfId="17631"/>
    <cellStyle name="常规 19 2 5 5 7" xfId="17632"/>
    <cellStyle name="常规 19 2 5 5 8" xfId="17633"/>
    <cellStyle name="常规 19 2 5 6" xfId="17634"/>
    <cellStyle name="常规 19 2 5 6 2" xfId="17636"/>
    <cellStyle name="常规 19 2 5 6 3" xfId="17637"/>
    <cellStyle name="常规 19 2 5 6 4" xfId="17638"/>
    <cellStyle name="常规 19 2 5 6 5" xfId="6327"/>
    <cellStyle name="常规 19 2 5 6 6" xfId="6329"/>
    <cellStyle name="常规 19 2 5 6 7" xfId="17639"/>
    <cellStyle name="常规 19 2 5 6 8" xfId="17640"/>
    <cellStyle name="常规 19 2 5 7" xfId="17641"/>
    <cellStyle name="常规 19 2 5 7 2" xfId="17643"/>
    <cellStyle name="常规 19 2 5 7 3" xfId="17645"/>
    <cellStyle name="常规 19 2 5 7 4" xfId="17646"/>
    <cellStyle name="常规 19 2 5 7 5" xfId="17647"/>
    <cellStyle name="常规 19 2 5 7 6" xfId="17648"/>
    <cellStyle name="常规 19 2 5 7 7" xfId="17650"/>
    <cellStyle name="常规 19 2 5 7 8" xfId="17652"/>
    <cellStyle name="常规 19 2 5 8" xfId="17653"/>
    <cellStyle name="常规 19 2 5 8 2" xfId="17655"/>
    <cellStyle name="常规 19 2 5 8 3" xfId="17656"/>
    <cellStyle name="常规 19 2 5 8 4" xfId="8622"/>
    <cellStyle name="常规 19 2 5 8 5" xfId="8625"/>
    <cellStyle name="常规 19 2 5 8 6" xfId="17657"/>
    <cellStyle name="常规 19 2 5 8 7" xfId="17658"/>
    <cellStyle name="常规 19 2 5 8 8" xfId="17659"/>
    <cellStyle name="常规 19 2 5 9" xfId="17660"/>
    <cellStyle name="常规 19 2 5 9 2" xfId="17662"/>
    <cellStyle name="常规 19 2 5 9 3" xfId="17663"/>
    <cellStyle name="常规 19 2 5 9 4" xfId="17664"/>
    <cellStyle name="常规 19 2 5 9 5" xfId="17665"/>
    <cellStyle name="常规 19 2 5 9 6" xfId="17666"/>
    <cellStyle name="常规 19 2 5 9 7" xfId="17669"/>
    <cellStyle name="常规 19 2 5 9 8" xfId="17672"/>
    <cellStyle name="常规 19 2 6" xfId="17674"/>
    <cellStyle name="常规 19 2 6 10" xfId="17676"/>
    <cellStyle name="常规 19 2 6 10 2" xfId="17678"/>
    <cellStyle name="常规 19 2 6 10 3" xfId="17680"/>
    <cellStyle name="常规 19 2 6 10 4" xfId="17682"/>
    <cellStyle name="常规 19 2 6 10 5" xfId="8993"/>
    <cellStyle name="常规 19 2 6 10 6" xfId="9106"/>
    <cellStyle name="常规 19 2 6 10 7" xfId="8753"/>
    <cellStyle name="常规 19 2 6 10 8" xfId="8831"/>
    <cellStyle name="常规 19 2 6 11" xfId="17684"/>
    <cellStyle name="常规 19 2 6 11 2" xfId="17687"/>
    <cellStyle name="常规 19 2 6 11 3" xfId="17690"/>
    <cellStyle name="常规 19 2 6 11 4" xfId="17695"/>
    <cellStyle name="常规 19 2 6 11 5" xfId="17699"/>
    <cellStyle name="常规 19 2 6 11 6" xfId="17704"/>
    <cellStyle name="常规 19 2 6 11 7" xfId="8885"/>
    <cellStyle name="常规 19 2 6 11 8" xfId="8891"/>
    <cellStyle name="常规 19 2 6 12" xfId="6117"/>
    <cellStyle name="常规 19 2 6 12 2" xfId="17709"/>
    <cellStyle name="常规 19 2 6 12 3" xfId="17711"/>
    <cellStyle name="常规 19 2 6 12 4" xfId="17715"/>
    <cellStyle name="常规 19 2 6 12 5" xfId="17719"/>
    <cellStyle name="常规 19 2 6 12 6" xfId="17722"/>
    <cellStyle name="常规 19 2 6 12 7" xfId="2490"/>
    <cellStyle name="常规 19 2 6 12 8" xfId="3577"/>
    <cellStyle name="常规 19 2 6 13" xfId="6121"/>
    <cellStyle name="常规 19 2 6 13 2" xfId="9069"/>
    <cellStyle name="常规 19 2 6 13 3" xfId="9079"/>
    <cellStyle name="常规 19 2 6 13 4" xfId="670"/>
    <cellStyle name="常规 19 2 6 13 5" xfId="682"/>
    <cellStyle name="常规 19 2 6 13 6" xfId="2507"/>
    <cellStyle name="常规 19 2 6 13 7" xfId="2528"/>
    <cellStyle name="常规 19 2 6 14" xfId="9085"/>
    <cellStyle name="常规 19 2 6 15" xfId="8320"/>
    <cellStyle name="常规 19 2 6 16" xfId="8326"/>
    <cellStyle name="常规 19 2 6 17" xfId="15564"/>
    <cellStyle name="常规 19 2 6 18" xfId="15568"/>
    <cellStyle name="常规 19 2 6 19" xfId="14568"/>
    <cellStyle name="常规 19 2 6 2" xfId="17726"/>
    <cellStyle name="常规 19 2 6 2 10" xfId="6355"/>
    <cellStyle name="常规 19 2 6 2 10 2" xfId="17729"/>
    <cellStyle name="常规 19 2 6 2 10 3" xfId="17732"/>
    <cellStyle name="常规 19 2 6 2 10 4" xfId="17735"/>
    <cellStyle name="常规 19 2 6 2 10 5" xfId="17740"/>
    <cellStyle name="常规 19 2 6 2 10 6" xfId="5630"/>
    <cellStyle name="常规 19 2 6 2 10 7" xfId="10286"/>
    <cellStyle name="常规 19 2 6 2 10 8" xfId="17744"/>
    <cellStyle name="常规 19 2 6 2 11" xfId="16087"/>
    <cellStyle name="常规 19 2 6 2 11 2" xfId="17747"/>
    <cellStyle name="常规 19 2 6 2 11 3" xfId="17750"/>
    <cellStyle name="常规 19 2 6 2 11 4" xfId="17753"/>
    <cellStyle name="常规 19 2 6 2 11 5" xfId="17756"/>
    <cellStyle name="常规 19 2 6 2 11 6" xfId="12503"/>
    <cellStyle name="常规 19 2 6 2 11 7" xfId="5851"/>
    <cellStyle name="常规 19 2 6 2 11 8" xfId="1092"/>
    <cellStyle name="常规 19 2 6 2 12" xfId="16090"/>
    <cellStyle name="常规 19 2 6 2 12 2" xfId="17759"/>
    <cellStyle name="常规 19 2 6 2 12 3" xfId="17762"/>
    <cellStyle name="常规 19 2 6 2 12 4" xfId="17765"/>
    <cellStyle name="常规 19 2 6 2 12 5" xfId="17768"/>
    <cellStyle name="常规 19 2 6 2 12 6" xfId="17771"/>
    <cellStyle name="常规 19 2 6 2 12 7" xfId="17774"/>
    <cellStyle name="常规 19 2 6 2 13" xfId="17777"/>
    <cellStyle name="常规 19 2 6 2 14" xfId="17780"/>
    <cellStyle name="常规 19 2 6 2 15" xfId="14955"/>
    <cellStyle name="常规 19 2 6 2 16" xfId="2154"/>
    <cellStyle name="常规 19 2 6 2 17" xfId="2167"/>
    <cellStyle name="常规 19 2 6 2 18" xfId="14987"/>
    <cellStyle name="常规 19 2 6 2 19" xfId="15005"/>
    <cellStyle name="常规 19 2 6 2 2" xfId="14444"/>
    <cellStyle name="常规 19 2 6 2 2 10" xfId="17783"/>
    <cellStyle name="常规 19 2 6 2 2 10 2" xfId="17785"/>
    <cellStyle name="常规 19 2 6 2 2 10 3" xfId="17787"/>
    <cellStyle name="常规 19 2 6 2 2 10 4" xfId="16179"/>
    <cellStyle name="常规 19 2 6 2 2 10 5" xfId="16182"/>
    <cellStyle name="常规 19 2 6 2 2 10 6" xfId="16185"/>
    <cellStyle name="常规 19 2 6 2 2 10 7" xfId="16188"/>
    <cellStyle name="常规 19 2 6 2 2 11" xfId="17790"/>
    <cellStyle name="常规 19 2 6 2 2 12" xfId="17794"/>
    <cellStyle name="常规 19 2 6 2 2 13" xfId="17799"/>
    <cellStyle name="常规 19 2 6 2 2 14" xfId="17805"/>
    <cellStyle name="常规 19 2 6 2 2 15" xfId="17810"/>
    <cellStyle name="常规 19 2 6 2 2 16" xfId="17814"/>
    <cellStyle name="常规 19 2 6 2 2 17" xfId="17820"/>
    <cellStyle name="常规 19 2 6 2 2 2" xfId="17823"/>
    <cellStyle name="常规 19 2 6 2 2 2 2" xfId="12920"/>
    <cellStyle name="常规 19 2 6 2 2 2 3" xfId="17827"/>
    <cellStyle name="常规 19 2 6 2 2 2 4" xfId="17829"/>
    <cellStyle name="常规 19 2 6 2 2 2 5" xfId="9272"/>
    <cellStyle name="常规 19 2 6 2 2 2 6" xfId="9376"/>
    <cellStyle name="常规 19 2 6 2 2 2 7" xfId="9438"/>
    <cellStyle name="常规 19 2 6 2 2 2 8" xfId="5191"/>
    <cellStyle name="常规 19 2 6 2 2 3" xfId="17832"/>
    <cellStyle name="常规 19 2 6 2 2 3 2" xfId="12935"/>
    <cellStyle name="常规 19 2 6 2 2 3 3" xfId="17835"/>
    <cellStyle name="常规 19 2 6 2 2 3 4" xfId="17837"/>
    <cellStyle name="常规 19 2 6 2 2 3 5" xfId="17839"/>
    <cellStyle name="常规 19 2 6 2 2 3 6" xfId="17842"/>
    <cellStyle name="常规 19 2 6 2 2 3 7" xfId="17845"/>
    <cellStyle name="常规 19 2 6 2 2 3 8" xfId="17847"/>
    <cellStyle name="常规 19 2 6 2 2 4" xfId="7565"/>
    <cellStyle name="常规 19 2 6 2 2 4 2" xfId="7575"/>
    <cellStyle name="常规 19 2 6 2 2 4 3" xfId="7593"/>
    <cellStyle name="常规 19 2 6 2 2 4 4" xfId="736"/>
    <cellStyle name="常规 19 2 6 2 2 4 5" xfId="778"/>
    <cellStyle name="常规 19 2 6 2 2 4 6" xfId="2569"/>
    <cellStyle name="常规 19 2 6 2 2 4 7" xfId="1179"/>
    <cellStyle name="常规 19 2 6 2 2 4 8" xfId="17849"/>
    <cellStyle name="常规 19 2 6 2 2 5" xfId="7601"/>
    <cellStyle name="常规 19 2 6 2 2 5 2" xfId="7608"/>
    <cellStyle name="常规 19 2 6 2 2 5 3" xfId="7615"/>
    <cellStyle name="常规 19 2 6 2 2 5 4" xfId="814"/>
    <cellStyle name="常规 19 2 6 2 2 5 5" xfId="835"/>
    <cellStyle name="常规 19 2 6 2 2 5 6" xfId="2595"/>
    <cellStyle name="常规 19 2 6 2 2 5 7" xfId="2606"/>
    <cellStyle name="常规 19 2 6 2 2 5 8" xfId="17851"/>
    <cellStyle name="常规 19 2 6 2 2 6" xfId="3868"/>
    <cellStyle name="常规 19 2 6 2 2 6 2" xfId="10077"/>
    <cellStyle name="常规 19 2 6 2 2 6 3" xfId="10103"/>
    <cellStyle name="常规 19 2 6 2 2 6 4" xfId="10716"/>
    <cellStyle name="常规 19 2 6 2 2 6 5" xfId="17853"/>
    <cellStyle name="常规 19 2 6 2 2 6 6" xfId="17856"/>
    <cellStyle name="常规 19 2 6 2 2 6 7" xfId="17859"/>
    <cellStyle name="常规 19 2 6 2 2 6 8" xfId="17861"/>
    <cellStyle name="常规 19 2 6 2 2 7" xfId="10721"/>
    <cellStyle name="常规 19 2 6 2 2 7 2" xfId="10726"/>
    <cellStyle name="常规 19 2 6 2 2 7 3" xfId="10739"/>
    <cellStyle name="常规 19 2 6 2 2 7 4" xfId="9914"/>
    <cellStyle name="常规 19 2 6 2 2 7 5" xfId="9919"/>
    <cellStyle name="常规 19 2 6 2 2 7 6" xfId="10853"/>
    <cellStyle name="常规 19 2 6 2 2 7 7" xfId="17863"/>
    <cellStyle name="常规 19 2 6 2 2 7 8" xfId="13418"/>
    <cellStyle name="常规 19 2 6 2 2 8" xfId="10749"/>
    <cellStyle name="常规 19 2 6 2 2 8 2" xfId="10754"/>
    <cellStyle name="常规 19 2 6 2 2 8 3" xfId="10762"/>
    <cellStyle name="常规 19 2 6 2 2 8 4" xfId="17865"/>
    <cellStyle name="常规 19 2 6 2 2 8 5" xfId="17867"/>
    <cellStyle name="常规 19 2 6 2 2 8 6" xfId="17869"/>
    <cellStyle name="常规 19 2 6 2 2 8 7" xfId="17871"/>
    <cellStyle name="常规 19 2 6 2 2 8 8" xfId="17873"/>
    <cellStyle name="常规 19 2 6 2 2 9" xfId="10767"/>
    <cellStyle name="常规 19 2 6 2 2 9 2" xfId="10771"/>
    <cellStyle name="常规 19 2 6 2 2 9 3" xfId="10774"/>
    <cellStyle name="常规 19 2 6 2 2 9 4" xfId="17875"/>
    <cellStyle name="常规 19 2 6 2 2 9 5" xfId="17877"/>
    <cellStyle name="常规 19 2 6 2 2 9 6" xfId="17879"/>
    <cellStyle name="常规 19 2 6 2 2 9 7" xfId="17881"/>
    <cellStyle name="常规 19 2 6 2 2 9 8" xfId="17883"/>
    <cellStyle name="常规 19 2 6 2 3" xfId="17885"/>
    <cellStyle name="常规 19 2 6 2 3 2" xfId="17889"/>
    <cellStyle name="常规 19 2 6 2 3 3" xfId="11146"/>
    <cellStyle name="常规 19 2 6 2 3 4" xfId="4762"/>
    <cellStyle name="常规 19 2 6 2 3 5" xfId="4769"/>
    <cellStyle name="常规 19 2 6 2 3 6" xfId="5502"/>
    <cellStyle name="常规 19 2 6 2 3 7" xfId="5509"/>
    <cellStyle name="常规 19 2 6 2 3 8" xfId="10860"/>
    <cellStyle name="常规 19 2 6 2 4" xfId="17891"/>
    <cellStyle name="常规 19 2 6 2 4 2" xfId="3893"/>
    <cellStyle name="常规 19 2 6 2 4 3" xfId="11161"/>
    <cellStyle name="常规 19 2 6 2 4 4" xfId="10877"/>
    <cellStyle name="常规 19 2 6 2 4 5" xfId="10884"/>
    <cellStyle name="常规 19 2 6 2 4 6" xfId="10892"/>
    <cellStyle name="常规 19 2 6 2 4 7" xfId="15573"/>
    <cellStyle name="常规 19 2 6 2 4 8" xfId="15577"/>
    <cellStyle name="常规 19 2 6 2 5" xfId="17895"/>
    <cellStyle name="常规 19 2 6 2 5 2" xfId="12135"/>
    <cellStyle name="常规 19 2 6 2 5 3" xfId="14945"/>
    <cellStyle name="常规 19 2 6 2 5 4" xfId="10897"/>
    <cellStyle name="常规 19 2 6 2 5 5" xfId="10907"/>
    <cellStyle name="常规 19 2 6 2 5 6" xfId="10919"/>
    <cellStyle name="常规 19 2 6 2 5 7" xfId="14949"/>
    <cellStyle name="常规 19 2 6 2 5 8" xfId="15581"/>
    <cellStyle name="常规 19 2 6 2 6" xfId="17900"/>
    <cellStyle name="常规 19 2 6 2 6 2" xfId="17908"/>
    <cellStyle name="常规 19 2 6 2 6 3" xfId="17912"/>
    <cellStyle name="常规 19 2 6 2 6 4" xfId="1952"/>
    <cellStyle name="常规 19 2 6 2 6 5" xfId="9317"/>
    <cellStyle name="常规 19 2 6 2 6 6" xfId="10944"/>
    <cellStyle name="常规 19 2 6 2 6 7" xfId="15593"/>
    <cellStyle name="常规 19 2 6 2 6 8" xfId="15601"/>
    <cellStyle name="常规 19 2 6 2 7" xfId="17914"/>
    <cellStyle name="常规 19 2 6 2 7 2" xfId="17917"/>
    <cellStyle name="常规 19 2 6 2 7 3" xfId="17920"/>
    <cellStyle name="常规 19 2 6 2 7 4" xfId="10954"/>
    <cellStyle name="常规 19 2 6 2 7 5" xfId="10964"/>
    <cellStyle name="常规 19 2 6 2 7 6" xfId="15621"/>
    <cellStyle name="常规 19 2 6 2 7 7" xfId="11513"/>
    <cellStyle name="常规 19 2 6 2 7 8" xfId="6282"/>
    <cellStyle name="常规 19 2 6 2 8" xfId="17923"/>
    <cellStyle name="常规 19 2 6 2 8 2" xfId="17926"/>
    <cellStyle name="常规 19 2 6 2 8 3" xfId="17928"/>
    <cellStyle name="常规 19 2 6 2 8 4" xfId="2048"/>
    <cellStyle name="常规 19 2 6 2 8 5" xfId="2055"/>
    <cellStyle name="常规 19 2 6 2 8 6" xfId="6292"/>
    <cellStyle name="常规 19 2 6 2 8 7" xfId="6900"/>
    <cellStyle name="常规 19 2 6 2 8 8" xfId="6922"/>
    <cellStyle name="常规 19 2 6 2 9" xfId="17930"/>
    <cellStyle name="常规 19 2 6 2 9 2" xfId="17934"/>
    <cellStyle name="常规 19 2 6 2 9 3" xfId="17937"/>
    <cellStyle name="常规 19 2 6 2 9 4" xfId="17940"/>
    <cellStyle name="常规 19 2 6 2 9 5" xfId="17943"/>
    <cellStyle name="常规 19 2 6 2 9 6" xfId="17946"/>
    <cellStyle name="常规 19 2 6 2 9 7" xfId="17949"/>
    <cellStyle name="常规 19 2 6 2 9 8" xfId="6908"/>
    <cellStyle name="常规 19 2 6 20" xfId="8321"/>
    <cellStyle name="常规 19 2 6 3" xfId="17951"/>
    <cellStyle name="常规 19 2 6 3 10" xfId="17953"/>
    <cellStyle name="常规 19 2 6 3 10 2" xfId="17955"/>
    <cellStyle name="常规 19 2 6 3 10 3" xfId="17957"/>
    <cellStyle name="常规 19 2 6 3 10 4" xfId="17959"/>
    <cellStyle name="常规 19 2 6 3 10 5" xfId="17961"/>
    <cellStyle name="常规 19 2 6 3 10 6" xfId="17964"/>
    <cellStyle name="常规 19 2 6 3 10 7" xfId="17967"/>
    <cellStyle name="常规 19 2 6 3 11" xfId="17971"/>
    <cellStyle name="常规 19 2 6 3 12" xfId="17973"/>
    <cellStyle name="常规 19 2 6 3 13" xfId="17975"/>
    <cellStyle name="常规 19 2 6 3 14" xfId="17978"/>
    <cellStyle name="常规 19 2 6 3 15" xfId="15078"/>
    <cellStyle name="常规 19 2 6 3 16" xfId="7036"/>
    <cellStyle name="常规 19 2 6 3 17" xfId="7181"/>
    <cellStyle name="常规 19 2 6 3 2" xfId="10153"/>
    <cellStyle name="常规 19 2 6 3 2 2" xfId="17982"/>
    <cellStyle name="常规 19 2 6 3 2 3" xfId="17986"/>
    <cellStyle name="常规 19 2 6 3 2 4" xfId="10971"/>
    <cellStyle name="常规 19 2 6 3 2 5" xfId="7758"/>
    <cellStyle name="常规 19 2 6 3 2 6" xfId="7780"/>
    <cellStyle name="常规 19 2 6 3 2 7" xfId="11020"/>
    <cellStyle name="常规 19 2 6 3 2 8" xfId="11036"/>
    <cellStyle name="常规 19 2 6 3 3" xfId="999"/>
    <cellStyle name="常规 19 2 6 3 3 2" xfId="3101"/>
    <cellStyle name="常规 19 2 6 3 3 3" xfId="3117"/>
    <cellStyle name="常规 19 2 6 3 3 4" xfId="11043"/>
    <cellStyle name="常规 19 2 6 3 3 5" xfId="7802"/>
    <cellStyle name="常规 19 2 6 3 3 6" xfId="9204"/>
    <cellStyle name="常规 19 2 6 3 3 7" xfId="11103"/>
    <cellStyle name="常规 19 2 6 3 3 8" xfId="11111"/>
    <cellStyle name="常规 19 2 6 3 4" xfId="3126"/>
    <cellStyle name="常规 19 2 6 3 4 2" xfId="17989"/>
    <cellStyle name="常规 19 2 6 3 4 3" xfId="11176"/>
    <cellStyle name="常规 19 2 6 3 4 4" xfId="11116"/>
    <cellStyle name="常规 19 2 6 3 4 5" xfId="11140"/>
    <cellStyle name="常规 19 2 6 3 4 6" xfId="11167"/>
    <cellStyle name="常规 19 2 6 3 4 7" xfId="11182"/>
    <cellStyle name="常规 19 2 6 3 4 8" xfId="11189"/>
    <cellStyle name="常规 19 2 6 3 5" xfId="4218"/>
    <cellStyle name="常规 19 2 6 3 5 2" xfId="4223"/>
    <cellStyle name="常规 19 2 6 3 5 3" xfId="4239"/>
    <cellStyle name="常规 19 2 6 3 5 4" xfId="11201"/>
    <cellStyle name="常规 19 2 6 3 5 5" xfId="11214"/>
    <cellStyle name="常规 19 2 6 3 5 6" xfId="11222"/>
    <cellStyle name="常规 19 2 6 3 5 7" xfId="11233"/>
    <cellStyle name="常规 19 2 6 3 5 8" xfId="17992"/>
    <cellStyle name="常规 19 2 6 3 6" xfId="4244"/>
    <cellStyle name="常规 19 2 6 3 6 2" xfId="17994"/>
    <cellStyle name="常规 19 2 6 3 6 3" xfId="17996"/>
    <cellStyle name="常规 19 2 6 3 6 4" xfId="11236"/>
    <cellStyle name="常规 19 2 6 3 6 5" xfId="11241"/>
    <cellStyle name="常规 19 2 6 3 6 6" xfId="11248"/>
    <cellStyle name="常规 19 2 6 3 6 7" xfId="17998"/>
    <cellStyle name="常规 19 2 6 3 6 8" xfId="18001"/>
    <cellStyle name="常规 19 2 6 3 7" xfId="5061"/>
    <cellStyle name="常规 19 2 6 3 7 2" xfId="5074"/>
    <cellStyle name="常规 19 2 6 3 7 3" xfId="3023"/>
    <cellStyle name="常规 19 2 6 3 7 4" xfId="11252"/>
    <cellStyle name="常规 19 2 6 3 7 5" xfId="11262"/>
    <cellStyle name="常规 19 2 6 3 7 6" xfId="11271"/>
    <cellStyle name="常规 19 2 6 3 7 7" xfId="11521"/>
    <cellStyle name="常规 19 2 6 3 7 8" xfId="11524"/>
    <cellStyle name="常规 19 2 6 3 8" xfId="5084"/>
    <cellStyle name="常规 19 2 6 3 8 2" xfId="17334"/>
    <cellStyle name="常规 19 2 6 3 8 3" xfId="17337"/>
    <cellStyle name="常规 19 2 6 3 8 4" xfId="11275"/>
    <cellStyle name="常规 19 2 6 3 8 5" xfId="4147"/>
    <cellStyle name="常规 19 2 6 3 8 6" xfId="17340"/>
    <cellStyle name="常规 19 2 6 3 8 7" xfId="18003"/>
    <cellStyle name="常规 19 2 6 3 8 8" xfId="18005"/>
    <cellStyle name="常规 19 2 6 3 9" xfId="18007"/>
    <cellStyle name="常规 19 2 6 3 9 2" xfId="17345"/>
    <cellStyle name="常规 19 2 6 3 9 3" xfId="17348"/>
    <cellStyle name="常规 19 2 6 3 9 4" xfId="11286"/>
    <cellStyle name="常规 19 2 6 3 9 5" xfId="17352"/>
    <cellStyle name="常规 19 2 6 3 9 6" xfId="17356"/>
    <cellStyle name="常规 19 2 6 3 9 7" xfId="18010"/>
    <cellStyle name="常规 19 2 6 3 9 8" xfId="18013"/>
    <cellStyle name="常规 19 2 6 4" xfId="18015"/>
    <cellStyle name="常规 19 2 6 4 2" xfId="18017"/>
    <cellStyle name="常规 19 2 6 4 3" xfId="240"/>
    <cellStyle name="常规 19 2 6 4 4" xfId="3147"/>
    <cellStyle name="常规 19 2 6 4 5" xfId="3979"/>
    <cellStyle name="常规 19 2 6 4 6" xfId="4258"/>
    <cellStyle name="常规 19 2 6 4 7" xfId="5104"/>
    <cellStyle name="常规 19 2 6 4 8" xfId="464"/>
    <cellStyle name="常规 19 2 6 5" xfId="18020"/>
    <cellStyle name="常规 19 2 6 5 2" xfId="18022"/>
    <cellStyle name="常规 19 2 6 5 3" xfId="18024"/>
    <cellStyle name="常规 19 2 6 5 4" xfId="18026"/>
    <cellStyle name="常规 19 2 6 5 5" xfId="18028"/>
    <cellStyle name="常规 19 2 6 5 6" xfId="18030"/>
    <cellStyle name="常规 19 2 6 5 7" xfId="18032"/>
    <cellStyle name="常规 19 2 6 5 8" xfId="18034"/>
    <cellStyle name="常规 19 2 6 6" xfId="18036"/>
    <cellStyle name="常规 19 2 6 6 2" xfId="18038"/>
    <cellStyle name="常规 19 2 6 6 3" xfId="18040"/>
    <cellStyle name="常规 19 2 6 6 4" xfId="18042"/>
    <cellStyle name="常规 19 2 6 6 5" xfId="18044"/>
    <cellStyle name="常规 19 2 6 6 6" xfId="18046"/>
    <cellStyle name="常规 19 2 6 6 7" xfId="18048"/>
    <cellStyle name="常规 19 2 6 6 8" xfId="18050"/>
    <cellStyle name="常规 19 2 6 7" xfId="18052"/>
    <cellStyle name="常规 19 2 6 7 2" xfId="18054"/>
    <cellStyle name="常规 19 2 6 7 3" xfId="18056"/>
    <cellStyle name="常规 19 2 6 7 4" xfId="18058"/>
    <cellStyle name="常规 19 2 6 7 5" xfId="18060"/>
    <cellStyle name="常规 19 2 6 7 6" xfId="18062"/>
    <cellStyle name="常规 19 2 6 7 7" xfId="18064"/>
    <cellStyle name="常规 19 2 6 7 8" xfId="18066"/>
    <cellStyle name="常规 19 2 6 8" xfId="9996"/>
    <cellStyle name="常规 19 2 6 8 2" xfId="18068"/>
    <cellStyle name="常规 19 2 6 8 3" xfId="18070"/>
    <cellStyle name="常规 19 2 6 8 4" xfId="18072"/>
    <cellStyle name="常规 19 2 6 8 5" xfId="18074"/>
    <cellStyle name="常规 19 2 6 8 6" xfId="18076"/>
    <cellStyle name="常规 19 2 6 8 7" xfId="2211"/>
    <cellStyle name="常规 19 2 6 8 8" xfId="2222"/>
    <cellStyle name="常规 19 2 6 9" xfId="10003"/>
    <cellStyle name="常规 19 2 6 9 2" xfId="17792"/>
    <cellStyle name="常规 19 2 6 9 3" xfId="17797"/>
    <cellStyle name="常规 19 2 6 9 4" xfId="17803"/>
    <cellStyle name="常规 19 2 6 9 5" xfId="17808"/>
    <cellStyle name="常规 19 2 6 9 6" xfId="17812"/>
    <cellStyle name="常规 19 2 6 9 7" xfId="17818"/>
    <cellStyle name="常规 19 2 6 9 8" xfId="18079"/>
    <cellStyle name="常规 19 2 7" xfId="18081"/>
    <cellStyle name="常规 19 2 7 10" xfId="17904"/>
    <cellStyle name="常规 19 2 7 10 2" xfId="13342"/>
    <cellStyle name="常规 19 2 7 10 3" xfId="13345"/>
    <cellStyle name="常规 19 2 7 10 4" xfId="18084"/>
    <cellStyle name="常规 19 2 7 10 5" xfId="10481"/>
    <cellStyle name="常规 19 2 7 10 6" xfId="10487"/>
    <cellStyle name="常规 19 2 7 10 7" xfId="18086"/>
    <cellStyle name="常规 19 2 7 10 8" xfId="18090"/>
    <cellStyle name="常规 19 2 7 11" xfId="17910"/>
    <cellStyle name="常规 19 2 7 11 2" xfId="13350"/>
    <cellStyle name="常规 19 2 7 11 3" xfId="13354"/>
    <cellStyle name="常规 19 2 7 11 4" xfId="18096"/>
    <cellStyle name="常规 19 2 7 11 5" xfId="18099"/>
    <cellStyle name="常规 19 2 7 11 6" xfId="18102"/>
    <cellStyle name="常规 19 2 7 11 7" xfId="18106"/>
    <cellStyle name="常规 19 2 7 11 8" xfId="18112"/>
    <cellStyle name="常规 19 2 7 12" xfId="1949"/>
    <cellStyle name="常规 19 2 7 12 2" xfId="10926"/>
    <cellStyle name="常规 19 2 7 12 3" xfId="10934"/>
    <cellStyle name="常规 19 2 7 12 4" xfId="18117"/>
    <cellStyle name="常规 19 2 7 12 5" xfId="18119"/>
    <cellStyle name="常规 19 2 7 12 6" xfId="18121"/>
    <cellStyle name="常规 19 2 7 12 7" xfId="18124"/>
    <cellStyle name="常规 19 2 7 13" xfId="9320"/>
    <cellStyle name="常规 19 2 7 14" xfId="10948"/>
    <cellStyle name="常规 19 2 7 15" xfId="15597"/>
    <cellStyle name="常规 19 2 7 16" xfId="15605"/>
    <cellStyle name="常规 19 2 7 17" xfId="15611"/>
    <cellStyle name="常规 19 2 7 18" xfId="15617"/>
    <cellStyle name="常规 19 2 7 19" xfId="18131"/>
    <cellStyle name="常规 19 2 7 2" xfId="18134"/>
    <cellStyle name="常规 19 2 7 2 10" xfId="1082"/>
    <cellStyle name="常规 19 2 7 2 10 2" xfId="134"/>
    <cellStyle name="常规 19 2 7 2 10 3" xfId="15998"/>
    <cellStyle name="常规 19 2 7 2 10 4" xfId="18137"/>
    <cellStyle name="常规 19 2 7 2 10 5" xfId="18139"/>
    <cellStyle name="常规 19 2 7 2 10 6" xfId="18141"/>
    <cellStyle name="常规 19 2 7 2 10 7" xfId="18143"/>
    <cellStyle name="常规 19 2 7 2 11" xfId="2881"/>
    <cellStyle name="常规 19 2 7 2 12" xfId="13405"/>
    <cellStyle name="常规 19 2 7 2 13" xfId="13408"/>
    <cellStyle name="常规 19 2 7 2 14" xfId="13411"/>
    <cellStyle name="常规 19 2 7 2 15" xfId="18145"/>
    <cellStyle name="常规 19 2 7 2 16" xfId="18148"/>
    <cellStyle name="常规 19 2 7 2 17" xfId="18152"/>
    <cellStyle name="常规 19 2 7 2 2" xfId="13529"/>
    <cellStyle name="常规 19 2 7 2 2 2" xfId="13534"/>
    <cellStyle name="常规 19 2 7 2 2 3" xfId="13539"/>
    <cellStyle name="常规 19 2 7 2 2 4" xfId="13543"/>
    <cellStyle name="常规 19 2 7 2 2 5" xfId="13547"/>
    <cellStyle name="常规 19 2 7 2 2 6" xfId="13551"/>
    <cellStyle name="常规 19 2 7 2 2 7" xfId="13556"/>
    <cellStyle name="常规 19 2 7 2 2 8" xfId="13559"/>
    <cellStyle name="常规 19 2 7 2 3" xfId="4036"/>
    <cellStyle name="常规 19 2 7 2 3 2" xfId="4043"/>
    <cellStyle name="常规 19 2 7 2 3 3" xfId="4046"/>
    <cellStyle name="常规 19 2 7 2 3 4" xfId="4908"/>
    <cellStyle name="常规 19 2 7 2 3 5" xfId="4325"/>
    <cellStyle name="常规 19 2 7 2 3 6" xfId="4337"/>
    <cellStyle name="常规 19 2 7 2 3 7" xfId="5605"/>
    <cellStyle name="常规 19 2 7 2 3 8" xfId="13563"/>
    <cellStyle name="常规 19 2 7 2 4" xfId="1862"/>
    <cellStyle name="常规 19 2 7 2 4 2" xfId="13569"/>
    <cellStyle name="常规 19 2 7 2 4 3" xfId="13574"/>
    <cellStyle name="常规 19 2 7 2 4 4" xfId="13579"/>
    <cellStyle name="常规 19 2 7 2 4 5" xfId="13584"/>
    <cellStyle name="常规 19 2 7 2 4 6" xfId="13589"/>
    <cellStyle name="常规 19 2 7 2 4 7" xfId="13594"/>
    <cellStyle name="常规 19 2 7 2 4 8" xfId="13600"/>
    <cellStyle name="常规 19 2 7 2 5" xfId="13605"/>
    <cellStyle name="常规 19 2 7 2 5 2" xfId="13613"/>
    <cellStyle name="常规 19 2 7 2 5 3" xfId="13619"/>
    <cellStyle name="常规 19 2 7 2 5 4" xfId="13624"/>
    <cellStyle name="常规 19 2 7 2 5 5" xfId="13629"/>
    <cellStyle name="常规 19 2 7 2 5 6" xfId="13634"/>
    <cellStyle name="常规 19 2 7 2 5 7" xfId="13638"/>
    <cellStyle name="常规 19 2 7 2 5 8" xfId="13642"/>
    <cellStyle name="常规 19 2 7 2 6" xfId="13647"/>
    <cellStyle name="常规 19 2 7 2 6 2" xfId="13655"/>
    <cellStyle name="常规 19 2 7 2 6 3" xfId="13660"/>
    <cellStyle name="常规 19 2 7 2 6 4" xfId="9347"/>
    <cellStyle name="常规 19 2 7 2 6 5" xfId="9355"/>
    <cellStyle name="常规 19 2 7 2 6 6" xfId="13665"/>
    <cellStyle name="常规 19 2 7 2 6 7" xfId="13669"/>
    <cellStyle name="常规 19 2 7 2 6 8" xfId="11279"/>
    <cellStyle name="常规 19 2 7 2 7" xfId="13674"/>
    <cellStyle name="常规 19 2 7 2 7 2" xfId="13682"/>
    <cellStyle name="常规 19 2 7 2 7 3" xfId="13687"/>
    <cellStyle name="常规 19 2 7 2 7 4" xfId="13692"/>
    <cellStyle name="常规 19 2 7 2 7 5" xfId="13697"/>
    <cellStyle name="常规 19 2 7 2 7 6" xfId="13702"/>
    <cellStyle name="常规 19 2 7 2 7 7" xfId="11533"/>
    <cellStyle name="常规 19 2 7 2 7 8" xfId="11538"/>
    <cellStyle name="常规 19 2 7 2 8" xfId="13708"/>
    <cellStyle name="常规 19 2 7 2 8 2" xfId="13716"/>
    <cellStyle name="常规 19 2 7 2 8 3" xfId="5316"/>
    <cellStyle name="常规 19 2 7 2 8 4" xfId="5352"/>
    <cellStyle name="常规 19 2 7 2 8 5" xfId="5367"/>
    <cellStyle name="常规 19 2 7 2 8 6" xfId="6397"/>
    <cellStyle name="常规 19 2 7 2 8 7" xfId="7015"/>
    <cellStyle name="常规 19 2 7 2 8 8" xfId="7030"/>
    <cellStyle name="常规 19 2 7 2 9" xfId="14031"/>
    <cellStyle name="常规 19 2 7 2 9 2" xfId="18157"/>
    <cellStyle name="常规 19 2 7 2 9 3" xfId="18162"/>
    <cellStyle name="常规 19 2 7 2 9 4" xfId="18167"/>
    <cellStyle name="常规 19 2 7 2 9 5" xfId="18171"/>
    <cellStyle name="常规 19 2 7 2 9 6" xfId="18175"/>
    <cellStyle name="常规 19 2 7 2 9 7" xfId="18179"/>
    <cellStyle name="常规 19 2 7 2 9 8" xfId="18182"/>
    <cellStyle name="常规 19 2 7 3" xfId="18186"/>
    <cellStyle name="常规 19 2 7 3 2" xfId="13750"/>
    <cellStyle name="常规 19 2 7 3 3" xfId="511"/>
    <cellStyle name="常规 19 2 7 3 4" xfId="3163"/>
    <cellStyle name="常规 19 2 7 3 5" xfId="4278"/>
    <cellStyle name="常规 19 2 7 3 6" xfId="4066"/>
    <cellStyle name="常规 19 2 7 3 7" xfId="4079"/>
    <cellStyle name="常规 19 2 7 3 8" xfId="2941"/>
    <cellStyle name="常规 19 2 7 4" xfId="8069"/>
    <cellStyle name="常规 19 2 7 4 2" xfId="13820"/>
    <cellStyle name="常规 19 2 7 4 3" xfId="13824"/>
    <cellStyle name="常规 19 2 7 4 4" xfId="13828"/>
    <cellStyle name="常规 19 2 7 4 5" xfId="13833"/>
    <cellStyle name="常规 19 2 7 4 6" xfId="13840"/>
    <cellStyle name="常规 19 2 7 4 7" xfId="8584"/>
    <cellStyle name="常规 19 2 7 4 8" xfId="8604"/>
    <cellStyle name="常规 19 2 7 5" xfId="8074"/>
    <cellStyle name="常规 19 2 7 5 2" xfId="13845"/>
    <cellStyle name="常规 19 2 7 5 3" xfId="13850"/>
    <cellStyle name="常规 19 2 7 5 4" xfId="13855"/>
    <cellStyle name="常规 19 2 7 5 5" xfId="13861"/>
    <cellStyle name="常规 19 2 7 5 6" xfId="13868"/>
    <cellStyle name="常规 19 2 7 5 7" xfId="10392"/>
    <cellStyle name="常规 19 2 7 5 8" xfId="10399"/>
    <cellStyle name="常规 19 2 7 6" xfId="18189"/>
    <cellStyle name="常规 19 2 7 6 2" xfId="13875"/>
    <cellStyle name="常规 19 2 7 6 3" xfId="13881"/>
    <cellStyle name="常规 19 2 7 6 4" xfId="13887"/>
    <cellStyle name="常规 19 2 7 6 5" xfId="6940"/>
    <cellStyle name="常规 19 2 7 6 6" xfId="6950"/>
    <cellStyle name="常规 19 2 7 6 7" xfId="10408"/>
    <cellStyle name="常规 19 2 7 6 8" xfId="10415"/>
    <cellStyle name="常规 19 2 7 7" xfId="18192"/>
    <cellStyle name="常规 19 2 7 7 2" xfId="13893"/>
    <cellStyle name="常规 19 2 7 7 3" xfId="13899"/>
    <cellStyle name="常规 19 2 7 7 4" xfId="13905"/>
    <cellStyle name="常规 19 2 7 7 5" xfId="13910"/>
    <cellStyle name="常规 19 2 7 7 6" xfId="13917"/>
    <cellStyle name="常规 19 2 7 7 7" xfId="13384"/>
    <cellStyle name="常规 19 2 7 7 8" xfId="13397"/>
    <cellStyle name="常规 19 2 7 8" xfId="18195"/>
    <cellStyle name="常规 19 2 7 8 2" xfId="13924"/>
    <cellStyle name="常规 19 2 7 8 3" xfId="13930"/>
    <cellStyle name="常规 19 2 7 8 4" xfId="13935"/>
    <cellStyle name="常规 19 2 7 8 5" xfId="13940"/>
    <cellStyle name="常规 19 2 7 8 6" xfId="5973"/>
    <cellStyle name="常规 19 2 7 8 7" xfId="5985"/>
    <cellStyle name="常规 19 2 7 8 8" xfId="6504"/>
    <cellStyle name="常规 19 2 7 9" xfId="18197"/>
    <cellStyle name="常规 19 2 7 9 2" xfId="13947"/>
    <cellStyle name="常规 19 2 7 9 3" xfId="13952"/>
    <cellStyle name="常规 19 2 7 9 4" xfId="13956"/>
    <cellStyle name="常规 19 2 7 9 5" xfId="13960"/>
    <cellStyle name="常规 19 2 7 9 6" xfId="5995"/>
    <cellStyle name="常规 19 2 7 9 7" xfId="6002"/>
    <cellStyle name="常规 19 2 7 9 8" xfId="18201"/>
    <cellStyle name="常规 19 2 8" xfId="18204"/>
    <cellStyle name="常规 19 2 8 10" xfId="18207"/>
    <cellStyle name="常规 19 2 8 10 2" xfId="13968"/>
    <cellStyle name="常规 19 2 8 10 3" xfId="13972"/>
    <cellStyle name="常规 19 2 8 10 4" xfId="15388"/>
    <cellStyle name="常规 19 2 8 10 5" xfId="15401"/>
    <cellStyle name="常规 19 2 8 10 6" xfId="15412"/>
    <cellStyle name="常规 19 2 8 10 7" xfId="18210"/>
    <cellStyle name="常规 19 2 8 10 8" xfId="18214"/>
    <cellStyle name="常规 19 2 8 11" xfId="18219"/>
    <cellStyle name="常规 19 2 8 11 2" xfId="13982"/>
    <cellStyle name="常规 19 2 8 11 3" xfId="13987"/>
    <cellStyle name="常规 19 2 8 11 4" xfId="16199"/>
    <cellStyle name="常规 19 2 8 11 5" xfId="16213"/>
    <cellStyle name="常规 19 2 8 11 6" xfId="16226"/>
    <cellStyle name="常规 19 2 8 11 7" xfId="18222"/>
    <cellStyle name="常规 19 2 8 11 8" xfId="18225"/>
    <cellStyle name="常规 19 2 8 12" xfId="18227"/>
    <cellStyle name="常规 19 2 8 12 2" xfId="13996"/>
    <cellStyle name="常规 19 2 8 12 3" xfId="17295"/>
    <cellStyle name="常规 19 2 8 12 4" xfId="17306"/>
    <cellStyle name="常规 19 2 8 12 5" xfId="9627"/>
    <cellStyle name="常规 19 2 8 12 6" xfId="9632"/>
    <cellStyle name="常规 19 2 8 12 7" xfId="18232"/>
    <cellStyle name="常规 19 2 8 13" xfId="18234"/>
    <cellStyle name="常规 19 2 8 14" xfId="18239"/>
    <cellStyle name="常规 19 2 8 15" xfId="18243"/>
    <cellStyle name="常规 19 2 8 16" xfId="7295"/>
    <cellStyle name="常规 19 2 8 17" xfId="6475"/>
    <cellStyle name="常规 19 2 8 18" xfId="18247"/>
    <cellStyle name="常规 19 2 8 19" xfId="18252"/>
    <cellStyle name="常规 19 2 8 2" xfId="18255"/>
    <cellStyle name="常规 19 2 8 2 10" xfId="7008"/>
    <cellStyle name="常规 19 2 8 2 10 2" xfId="5530"/>
    <cellStyle name="常规 19 2 8 2 10 3" xfId="5620"/>
    <cellStyle name="常规 19 2 8 2 10 4" xfId="5664"/>
    <cellStyle name="常规 19 2 8 2 10 5" xfId="5684"/>
    <cellStyle name="常规 19 2 8 2 10 6" xfId="3741"/>
    <cellStyle name="常规 19 2 8 2 10 7" xfId="1340"/>
    <cellStyle name="常规 19 2 8 2 11" xfId="14010"/>
    <cellStyle name="常规 19 2 8 2 12" xfId="14014"/>
    <cellStyle name="常规 19 2 8 2 13" xfId="18260"/>
    <cellStyle name="常规 19 2 8 2 14" xfId="18264"/>
    <cellStyle name="常规 19 2 8 2 15" xfId="18268"/>
    <cellStyle name="常规 19 2 8 2 16" xfId="18271"/>
    <cellStyle name="常规 19 2 8 2 17" xfId="18273"/>
    <cellStyle name="常规 19 2 8 2 2" xfId="12994"/>
    <cellStyle name="常规 19 2 8 2 2 2" xfId="13606"/>
    <cellStyle name="常规 19 2 8 2 2 3" xfId="13648"/>
    <cellStyle name="常规 19 2 8 2 2 4" xfId="13675"/>
    <cellStyle name="常规 19 2 8 2 2 5" xfId="13709"/>
    <cellStyle name="常规 19 2 8 2 2 6" xfId="14032"/>
    <cellStyle name="常规 19 2 8 2 2 7" xfId="14037"/>
    <cellStyle name="常规 19 2 8 2 2 8" xfId="14040"/>
    <cellStyle name="常规 19 2 8 2 3" xfId="4269"/>
    <cellStyle name="常规 19 2 8 2 3 2" xfId="4277"/>
    <cellStyle name="常规 19 2 8 2 3 3" xfId="4065"/>
    <cellStyle name="常规 19 2 8 2 3 4" xfId="4078"/>
    <cellStyle name="常规 19 2 8 2 3 5" xfId="2942"/>
    <cellStyle name="常规 19 2 8 2 3 6" xfId="14044"/>
    <cellStyle name="常规 19 2 8 2 3 7" xfId="14047"/>
    <cellStyle name="常规 19 2 8 2 3 8" xfId="14050"/>
    <cellStyle name="常规 19 2 8 2 4" xfId="4286"/>
    <cellStyle name="常规 19 2 8 2 4 2" xfId="13834"/>
    <cellStyle name="常规 19 2 8 2 4 3" xfId="13841"/>
    <cellStyle name="常规 19 2 8 2 4 4" xfId="8585"/>
    <cellStyle name="常规 19 2 8 2 4 5" xfId="8605"/>
    <cellStyle name="常规 19 2 8 2 4 6" xfId="8642"/>
    <cellStyle name="常规 19 2 8 2 4 7" xfId="14053"/>
    <cellStyle name="常规 19 2 8 2 4 8" xfId="10350"/>
    <cellStyle name="常规 19 2 8 2 5" xfId="13002"/>
    <cellStyle name="常规 19 2 8 2 5 2" xfId="13862"/>
    <cellStyle name="常规 19 2 8 2 5 3" xfId="13869"/>
    <cellStyle name="常规 19 2 8 2 5 4" xfId="10393"/>
    <cellStyle name="常规 19 2 8 2 5 5" xfId="10400"/>
    <cellStyle name="常规 19 2 8 2 5 6" xfId="14058"/>
    <cellStyle name="常规 19 2 8 2 5 7" xfId="14061"/>
    <cellStyle name="常规 19 2 8 2 5 8" xfId="14064"/>
    <cellStyle name="常规 19 2 8 2 6" xfId="6651"/>
    <cellStyle name="常规 19 2 8 2 6 2" xfId="6939"/>
    <cellStyle name="常规 19 2 8 2 6 3" xfId="6949"/>
    <cellStyle name="常规 19 2 8 2 6 4" xfId="10409"/>
    <cellStyle name="常规 19 2 8 2 6 5" xfId="10416"/>
    <cellStyle name="常规 19 2 8 2 6 6" xfId="14070"/>
    <cellStyle name="常规 19 2 8 2 6 7" xfId="9443"/>
    <cellStyle name="常规 19 2 8 2 6 8" xfId="9470"/>
    <cellStyle name="常规 19 2 8 2 7" xfId="6663"/>
    <cellStyle name="常规 19 2 8 2 7 2" xfId="13911"/>
    <cellStyle name="常规 19 2 8 2 7 3" xfId="13918"/>
    <cellStyle name="常规 19 2 8 2 7 4" xfId="13385"/>
    <cellStyle name="常规 19 2 8 2 7 5" xfId="13398"/>
    <cellStyle name="常规 19 2 8 2 7 6" xfId="937"/>
    <cellStyle name="常规 19 2 8 2 7 7" xfId="1025"/>
    <cellStyle name="常规 19 2 8 2 7 8" xfId="1058"/>
    <cellStyle name="常规 19 2 8 2 8" xfId="14075"/>
    <cellStyle name="常规 19 2 8 2 8 2" xfId="13941"/>
    <cellStyle name="常规 19 2 8 2 8 3" xfId="5972"/>
    <cellStyle name="常规 19 2 8 2 8 4" xfId="5984"/>
    <cellStyle name="常规 19 2 8 2 8 5" xfId="6503"/>
    <cellStyle name="常规 19 2 8 2 8 6" xfId="1109"/>
    <cellStyle name="常规 19 2 8 2 8 7" xfId="1127"/>
    <cellStyle name="常规 19 2 8 2 8 8" xfId="1160"/>
    <cellStyle name="常规 19 2 8 2 9" xfId="18275"/>
    <cellStyle name="常规 19 2 8 2 9 2" xfId="13961"/>
    <cellStyle name="常规 19 2 8 2 9 3" xfId="5994"/>
    <cellStyle name="常规 19 2 8 2 9 4" xfId="6001"/>
    <cellStyle name="常规 19 2 8 2 9 5" xfId="18200"/>
    <cellStyle name="常规 19 2 8 2 9 6" xfId="18278"/>
    <cellStyle name="常规 19 2 8 2 9 7" xfId="1216"/>
    <cellStyle name="常规 19 2 8 2 9 8" xfId="1247"/>
    <cellStyle name="常规 19 2 8 3" xfId="18281"/>
    <cellStyle name="常规 19 2 8 3 2" xfId="14081"/>
    <cellStyle name="常规 19 2 8 3 3" xfId="4293"/>
    <cellStyle name="常规 19 2 8 3 4" xfId="2953"/>
    <cellStyle name="常规 19 2 8 3 5" xfId="14086"/>
    <cellStyle name="常规 19 2 8 3 6" xfId="6957"/>
    <cellStyle name="常规 19 2 8 3 7" xfId="6963"/>
    <cellStyle name="常规 19 2 8 3 8" xfId="18285"/>
    <cellStyle name="常规 19 2 8 4" xfId="18289"/>
    <cellStyle name="常规 19 2 8 4 2" xfId="14092"/>
    <cellStyle name="常规 19 2 8 4 3" xfId="14098"/>
    <cellStyle name="常规 19 2 8 4 4" xfId="14103"/>
    <cellStyle name="常规 19 2 8 4 5" xfId="14108"/>
    <cellStyle name="常规 19 2 8 4 6" xfId="7337"/>
    <cellStyle name="常规 19 2 8 4 7" xfId="7346"/>
    <cellStyle name="常规 19 2 8 4 8" xfId="18294"/>
    <cellStyle name="常规 19 2 8 5" xfId="18297"/>
    <cellStyle name="常规 19 2 8 5 2" xfId="14114"/>
    <cellStyle name="常规 19 2 8 5 3" xfId="14120"/>
    <cellStyle name="常规 19 2 8 5 4" xfId="14127"/>
    <cellStyle name="常规 19 2 8 5 5" xfId="14133"/>
    <cellStyle name="常规 19 2 8 5 6" xfId="14139"/>
    <cellStyle name="常规 19 2 8 5 7" xfId="10426"/>
    <cellStyle name="常规 19 2 8 5 8" xfId="18303"/>
    <cellStyle name="常规 19 2 8 6" xfId="18307"/>
    <cellStyle name="常规 19 2 8 6 2" xfId="14143"/>
    <cellStyle name="常规 19 2 8 6 3" xfId="14149"/>
    <cellStyle name="常规 19 2 8 6 4" xfId="14155"/>
    <cellStyle name="常规 19 2 8 6 5" xfId="14160"/>
    <cellStyle name="常规 19 2 8 6 6" xfId="14165"/>
    <cellStyle name="常规 19 2 8 6 7" xfId="14170"/>
    <cellStyle name="常规 19 2 8 6 8" xfId="18313"/>
    <cellStyle name="常规 19 2 8 7" xfId="18316"/>
    <cellStyle name="常规 19 2 8 7 2" xfId="14174"/>
    <cellStyle name="常规 19 2 8 7 3" xfId="14180"/>
    <cellStyle name="常规 19 2 8 7 4" xfId="14186"/>
    <cellStyle name="常规 19 2 8 7 5" xfId="14190"/>
    <cellStyle name="常规 19 2 8 7 6" xfId="14194"/>
    <cellStyle name="常规 19 2 8 7 7" xfId="14198"/>
    <cellStyle name="常规 19 2 8 7 8" xfId="18320"/>
    <cellStyle name="常规 19 2 8 8" xfId="18323"/>
    <cellStyle name="常规 19 2 8 8 2" xfId="12209"/>
    <cellStyle name="常规 19 2 8 8 3" xfId="14205"/>
    <cellStyle name="常规 19 2 8 8 4" xfId="14211"/>
    <cellStyle name="常规 19 2 8 8 5" xfId="14216"/>
    <cellStyle name="常规 19 2 8 8 6" xfId="3544"/>
    <cellStyle name="常规 19 2 8 8 7" xfId="3560"/>
    <cellStyle name="常规 19 2 8 8 8" xfId="18328"/>
    <cellStyle name="常规 19 2 8 9" xfId="18331"/>
    <cellStyle name="常规 19 2 8 9 2" xfId="14224"/>
    <cellStyle name="常规 19 2 8 9 3" xfId="14231"/>
    <cellStyle name="常规 19 2 8 9 4" xfId="14238"/>
    <cellStyle name="常规 19 2 8 9 5" xfId="14244"/>
    <cellStyle name="常规 19 2 8 9 6" xfId="4634"/>
    <cellStyle name="常规 19 2 8 9 7" xfId="4610"/>
    <cellStyle name="常规 19 2 8 9 8" xfId="11749"/>
    <cellStyle name="常规 19 2 9" xfId="18336"/>
    <cellStyle name="常规 19 2 9 10" xfId="9136"/>
    <cellStyle name="常规 19 2 9 10 2" xfId="14253"/>
    <cellStyle name="常规 19 2 9 10 3" xfId="14256"/>
    <cellStyle name="常规 19 2 9 10 4" xfId="18339"/>
    <cellStyle name="常规 19 2 9 10 5" xfId="18341"/>
    <cellStyle name="常规 19 2 9 10 6" xfId="18343"/>
    <cellStyle name="常规 19 2 9 10 7" xfId="18345"/>
    <cellStyle name="常规 19 2 9 11" xfId="12552"/>
    <cellStyle name="常规 19 2 9 12" xfId="18347"/>
    <cellStyle name="常规 19 2 9 13" xfId="7072"/>
    <cellStyle name="常规 19 2 9 14" xfId="14587"/>
    <cellStyle name="常规 19 2 9 15" xfId="14592"/>
    <cellStyle name="常规 19 2 9 16" xfId="14597"/>
    <cellStyle name="常规 19 2 9 17" xfId="14603"/>
    <cellStyle name="常规 19 2 9 2" xfId="11926"/>
    <cellStyle name="常规 19 2 9 2 2" xfId="14286"/>
    <cellStyle name="常规 19 2 9 2 3" xfId="2701"/>
    <cellStyle name="常规 19 2 9 2 4" xfId="2721"/>
    <cellStyle name="常规 19 2 9 2 5" xfId="14366"/>
    <cellStyle name="常规 19 2 9 2 6" xfId="6970"/>
    <cellStyle name="常规 19 2 9 2 7" xfId="1318"/>
    <cellStyle name="常规 19 2 9 2 8" xfId="14447"/>
    <cellStyle name="常规 19 2 9 3" xfId="18351"/>
    <cellStyle name="常规 19 2 9 3 2" xfId="14456"/>
    <cellStyle name="常规 19 2 9 3 3" xfId="4154"/>
    <cellStyle name="常规 19 2 9 3 4" xfId="4502"/>
    <cellStyle name="常规 19 2 9 3 5" xfId="14462"/>
    <cellStyle name="常规 19 2 9 3 6" xfId="14465"/>
    <cellStyle name="常规 19 2 9 3 7" xfId="14468"/>
    <cellStyle name="常规 19 2 9 3 8" xfId="18354"/>
    <cellStyle name="常规 19 2 9 4" xfId="18356"/>
    <cellStyle name="常规 19 2 9 4 2" xfId="14474"/>
    <cellStyle name="常规 19 2 9 4 3" xfId="14478"/>
    <cellStyle name="常规 19 2 9 4 4" xfId="14482"/>
    <cellStyle name="常规 19 2 9 4 5" xfId="14485"/>
    <cellStyle name="常规 19 2 9 4 6" xfId="14488"/>
    <cellStyle name="常规 19 2 9 4 7" xfId="8837"/>
    <cellStyle name="常规 19 2 9 4 8" xfId="18359"/>
    <cellStyle name="常规 19 2 9 5" xfId="18361"/>
    <cellStyle name="常规 19 2 9 5 2" xfId="14495"/>
    <cellStyle name="常规 19 2 9 5 3" xfId="14500"/>
    <cellStyle name="常规 19 2 9 5 4" xfId="14504"/>
    <cellStyle name="常规 19 2 9 5 5" xfId="14507"/>
    <cellStyle name="常规 19 2 9 5 6" xfId="12264"/>
    <cellStyle name="常规 19 2 9 5 7" xfId="8897"/>
    <cellStyle name="常规 19 2 9 5 8" xfId="8919"/>
    <cellStyle name="常规 19 2 9 6" xfId="18364"/>
    <cellStyle name="常规 19 2 9 6 2" xfId="14514"/>
    <cellStyle name="常规 19 2 9 6 3" xfId="14519"/>
    <cellStyle name="常规 19 2 9 6 4" xfId="14523"/>
    <cellStyle name="常规 19 2 9 6 5" xfId="14526"/>
    <cellStyle name="常规 19 2 9 6 6" xfId="12275"/>
    <cellStyle name="常规 19 2 9 6 7" xfId="12285"/>
    <cellStyle name="常规 19 2 9 6 8" xfId="18367"/>
    <cellStyle name="常规 19 2 9 7" xfId="18370"/>
    <cellStyle name="常规 19 2 9 7 2" xfId="14533"/>
    <cellStyle name="常规 19 2 9 7 3" xfId="689"/>
    <cellStyle name="常规 19 2 9 7 4" xfId="2512"/>
    <cellStyle name="常规 19 2 9 7 5" xfId="2532"/>
    <cellStyle name="常规 19 2 9 7 6" xfId="3596"/>
    <cellStyle name="常规 19 2 9 7 7" xfId="10731"/>
    <cellStyle name="常规 19 2 9 7 8" xfId="18373"/>
    <cellStyle name="常规 19 2 9 8" xfId="18375"/>
    <cellStyle name="常规 19 2 9 8 2" xfId="14540"/>
    <cellStyle name="常规 19 2 9 8 3" xfId="9421"/>
    <cellStyle name="常规 19 2 9 8 4" xfId="9805"/>
    <cellStyle name="常规 19 2 9 8 5" xfId="14544"/>
    <cellStyle name="常规 19 2 9 8 6" xfId="4649"/>
    <cellStyle name="常规 19 2 9 8 7" xfId="4662"/>
    <cellStyle name="常规 19 2 9 8 8" xfId="18378"/>
    <cellStyle name="常规 19 2 9 9" xfId="9429"/>
    <cellStyle name="常规 19 2 9 9 2" xfId="10335"/>
    <cellStyle name="常规 19 2 9 9 3" xfId="10341"/>
    <cellStyle name="常规 19 2 9 9 4" xfId="14549"/>
    <cellStyle name="常规 19 2 9 9 5" xfId="14552"/>
    <cellStyle name="常规 19 2 9 9 6" xfId="14555"/>
    <cellStyle name="常规 19 2 9 9 7" xfId="14558"/>
    <cellStyle name="常规 19 2 9 9 8" xfId="18380"/>
    <cellStyle name="常规 19 20" xfId="3769"/>
    <cellStyle name="常规 19 20 2" xfId="3777"/>
    <cellStyle name="常规 19 20 3" xfId="3822"/>
    <cellStyle name="常规 19 20 4" xfId="13127"/>
    <cellStyle name="常规 19 20 5" xfId="13131"/>
    <cellStyle name="常规 19 20 6" xfId="13134"/>
    <cellStyle name="常规 19 20 7" xfId="13137"/>
    <cellStyle name="常规 19 20 8" xfId="13140"/>
    <cellStyle name="常规 19 21" xfId="3847"/>
    <cellStyle name="常规 19 21 2" xfId="13145"/>
    <cellStyle name="常规 19 21 3" xfId="12129"/>
    <cellStyle name="常规 19 21 4" xfId="12133"/>
    <cellStyle name="常规 19 21 5" xfId="13148"/>
    <cellStyle name="常规 19 21 6" xfId="13150"/>
    <cellStyle name="常规 19 21 7" xfId="13152"/>
    <cellStyle name="常规 19 22" xfId="3092"/>
    <cellStyle name="常规 19 23" xfId="3140"/>
    <cellStyle name="常规 19 24" xfId="1679"/>
    <cellStyle name="常规 19 25" xfId="1701"/>
    <cellStyle name="常规 19 26" xfId="7143"/>
    <cellStyle name="常规 19 27" xfId="7146"/>
    <cellStyle name="常规 19 28" xfId="7628"/>
    <cellStyle name="常规 19 3" xfId="5257"/>
    <cellStyle name="常规 19 3 10" xfId="18381"/>
    <cellStyle name="常规 19 3 10 2" xfId="18383"/>
    <cellStyle name="常规 19 3 10 3" xfId="1241"/>
    <cellStyle name="常规 19 3 10 4" xfId="2774"/>
    <cellStyle name="常规 19 3 10 5" xfId="11026"/>
    <cellStyle name="常规 19 3 10 6" xfId="17122"/>
    <cellStyle name="常规 19 3 10 7" xfId="17127"/>
    <cellStyle name="常规 19 3 10 8" xfId="17132"/>
    <cellStyle name="常规 19 3 11" xfId="18384"/>
    <cellStyle name="常规 19 3 11 2" xfId="18386"/>
    <cellStyle name="常规 19 3 11 3" xfId="17135"/>
    <cellStyle name="常规 19 3 11 4" xfId="17138"/>
    <cellStyle name="常规 19 3 11 5" xfId="17141"/>
    <cellStyle name="常规 19 3 11 6" xfId="17144"/>
    <cellStyle name="常规 19 3 11 7" xfId="5278"/>
    <cellStyle name="常规 19 3 11 8" xfId="6032"/>
    <cellStyle name="常规 19 3 12" xfId="18387"/>
    <cellStyle name="常规 19 3 12 2" xfId="18389"/>
    <cellStyle name="常规 19 3 12 3" xfId="4134"/>
    <cellStyle name="常规 19 3 12 4" xfId="4138"/>
    <cellStyle name="常规 19 3 12 5" xfId="17148"/>
    <cellStyle name="常规 19 3 12 6" xfId="17150"/>
    <cellStyle name="常规 19 3 12 7" xfId="17153"/>
    <cellStyle name="常规 19 3 12 8" xfId="17156"/>
    <cellStyle name="常规 19 3 13" xfId="18391"/>
    <cellStyle name="常规 19 3 13 2" xfId="18393"/>
    <cellStyle name="常规 19 3 13 3" xfId="17161"/>
    <cellStyle name="常规 19 3 13 4" xfId="17166"/>
    <cellStyle name="常规 19 3 13 5" xfId="17170"/>
    <cellStyle name="常规 19 3 13 6" xfId="3692"/>
    <cellStyle name="常规 19 3 13 7" xfId="3702"/>
    <cellStyle name="常规 19 3 13 8" xfId="3717"/>
    <cellStyle name="常规 19 3 14" xfId="16270"/>
    <cellStyle name="常规 19 3 14 2" xfId="18395"/>
    <cellStyle name="常规 19 3 14 3" xfId="4971"/>
    <cellStyle name="常规 19 3 14 4" xfId="207"/>
    <cellStyle name="常规 19 3 14 5" xfId="17174"/>
    <cellStyle name="常规 19 3 14 6" xfId="101"/>
    <cellStyle name="常规 19 3 14 7" xfId="218"/>
    <cellStyle name="常规 19 3 14 8" xfId="17176"/>
    <cellStyle name="常规 19 3 15" xfId="7003"/>
    <cellStyle name="常规 19 3 15 2" xfId="18397"/>
    <cellStyle name="常规 19 3 15 3" xfId="17180"/>
    <cellStyle name="常规 19 3 15 4" xfId="17183"/>
    <cellStyle name="常规 19 3 15 5" xfId="17186"/>
    <cellStyle name="常规 19 3 15 6" xfId="3746"/>
    <cellStyle name="常规 19 3 15 7" xfId="1335"/>
    <cellStyle name="常规 19 3 15 8" xfId="191"/>
    <cellStyle name="常规 19 3 16" xfId="8450"/>
    <cellStyle name="常规 19 3 16 2" xfId="18399"/>
    <cellStyle name="常规 19 3 16 3" xfId="17192"/>
    <cellStyle name="常规 19 3 16 4" xfId="17195"/>
    <cellStyle name="常规 19 3 16 5" xfId="17199"/>
    <cellStyle name="常规 19 3 16 6" xfId="17203"/>
    <cellStyle name="常规 19 3 16 7" xfId="17208"/>
    <cellStyle name="常规 19 3 16 8" xfId="17213"/>
    <cellStyle name="常规 19 3 17" xfId="11304"/>
    <cellStyle name="常规 19 3 17 2" xfId="18401"/>
    <cellStyle name="常规 19 3 17 3" xfId="18402"/>
    <cellStyle name="常规 19 3 17 4" xfId="9453"/>
    <cellStyle name="常规 19 3 17 5" xfId="9454"/>
    <cellStyle name="常规 19 3 17 6" xfId="18404"/>
    <cellStyle name="常规 19 3 17 7" xfId="18406"/>
    <cellStyle name="常规 19 3 17 8" xfId="18408"/>
    <cellStyle name="常规 19 3 18" xfId="16272"/>
    <cellStyle name="常规 19 3 18 2" xfId="18410"/>
    <cellStyle name="常规 19 3 18 3" xfId="18411"/>
    <cellStyle name="常规 19 3 18 4" xfId="18412"/>
    <cellStyle name="常规 19 3 18 5" xfId="18415"/>
    <cellStyle name="常规 19 3 18 6" xfId="18418"/>
    <cellStyle name="常规 19 3 18 7" xfId="18420"/>
    <cellStyle name="常规 19 3 18 8" xfId="18422"/>
    <cellStyle name="常规 19 3 19" xfId="16275"/>
    <cellStyle name="常规 19 3 19 2" xfId="18426"/>
    <cellStyle name="常规 19 3 19 3" xfId="18428"/>
    <cellStyle name="常规 19 3 19 4" xfId="18429"/>
    <cellStyle name="常规 19 3 19 5" xfId="18431"/>
    <cellStyle name="常规 19 3 19 6" xfId="18433"/>
    <cellStyle name="常规 19 3 19 7" xfId="18435"/>
    <cellStyle name="常规 19 3 2" xfId="12663"/>
    <cellStyle name="常规 19 3 2 10" xfId="16110"/>
    <cellStyle name="常规 19 3 2 10 2" xfId="18436"/>
    <cellStyle name="常规 19 3 2 10 3" xfId="18438"/>
    <cellStyle name="常规 19 3 2 10 4" xfId="18441"/>
    <cellStyle name="常规 19 3 2 10 5" xfId="18444"/>
    <cellStyle name="常规 19 3 2 10 6" xfId="18446"/>
    <cellStyle name="常规 19 3 2 10 7" xfId="18448"/>
    <cellStyle name="常规 19 3 2 10 8" xfId="18449"/>
    <cellStyle name="常规 19 3 2 11" xfId="18450"/>
    <cellStyle name="常规 19 3 2 11 2" xfId="18451"/>
    <cellStyle name="常规 19 3 2 11 3" xfId="18453"/>
    <cellStyle name="常规 19 3 2 11 4" xfId="18456"/>
    <cellStyle name="常规 19 3 2 11 5" xfId="18459"/>
    <cellStyle name="常规 19 3 2 11 6" xfId="18461"/>
    <cellStyle name="常规 19 3 2 11 7" xfId="18462"/>
    <cellStyle name="常规 19 3 2 11 8" xfId="18463"/>
    <cellStyle name="常规 19 3 2 12" xfId="18465"/>
    <cellStyle name="常规 19 3 2 12 2" xfId="18466"/>
    <cellStyle name="常规 19 3 2 12 3" xfId="18468"/>
    <cellStyle name="常规 19 3 2 12 4" xfId="18469"/>
    <cellStyle name="常规 19 3 2 12 5" xfId="18470"/>
    <cellStyle name="常规 19 3 2 12 6" xfId="18471"/>
    <cellStyle name="常规 19 3 2 12 7" xfId="18473"/>
    <cellStyle name="常规 19 3 2 12 8" xfId="18474"/>
    <cellStyle name="常规 19 3 2 13" xfId="18476"/>
    <cellStyle name="常规 19 3 2 13 2" xfId="18477"/>
    <cellStyle name="常规 19 3 2 13 3" xfId="18478"/>
    <cellStyle name="常规 19 3 2 13 4" xfId="12153"/>
    <cellStyle name="常规 19 3 2 13 5" xfId="12155"/>
    <cellStyle name="常规 19 3 2 13 6" xfId="18479"/>
    <cellStyle name="常规 19 3 2 13 7" xfId="18480"/>
    <cellStyle name="常规 19 3 2 13 8" xfId="18481"/>
    <cellStyle name="常规 19 3 2 14" xfId="18483"/>
    <cellStyle name="常规 19 3 2 14 2" xfId="2006"/>
    <cellStyle name="常规 19 3 2 14 3" xfId="18484"/>
    <cellStyle name="常规 19 3 2 14 4" xfId="822"/>
    <cellStyle name="常规 19 3 2 14 5" xfId="2585"/>
    <cellStyle name="常规 19 3 2 14 6" xfId="4359"/>
    <cellStyle name="常规 19 3 2 14 7" xfId="18485"/>
    <cellStyle name="常规 19 3 2 14 8" xfId="18487"/>
    <cellStyle name="常规 19 3 2 15" xfId="18491"/>
    <cellStyle name="常规 19 3 2 15 2" xfId="2065"/>
    <cellStyle name="常规 19 3 2 15 3" xfId="3222"/>
    <cellStyle name="常规 19 3 2 15 4" xfId="3246"/>
    <cellStyle name="常规 19 3 2 15 5" xfId="18492"/>
    <cellStyle name="常规 19 3 2 15 6" xfId="18494"/>
    <cellStyle name="常规 19 3 2 15 7" xfId="18496"/>
    <cellStyle name="常规 19 3 2 15 8" xfId="18498"/>
    <cellStyle name="常规 19 3 2 16" xfId="18502"/>
    <cellStyle name="常规 19 3 2 16 2" xfId="2091"/>
    <cellStyle name="常规 19 3 2 16 3" xfId="1848"/>
    <cellStyle name="常规 19 3 2 16 4" xfId="3279"/>
    <cellStyle name="常规 19 3 2 16 5" xfId="18503"/>
    <cellStyle name="常规 19 3 2 16 6" xfId="18504"/>
    <cellStyle name="常规 19 3 2 16 7" xfId="18505"/>
    <cellStyle name="常规 19 3 2 17" xfId="18508"/>
    <cellStyle name="常规 19 3 2 18" xfId="18514"/>
    <cellStyle name="常规 19 3 2 19" xfId="18520"/>
    <cellStyle name="常规 19 3 2 2" xfId="12444"/>
    <cellStyle name="常规 19 3 2 2 10" xfId="3467"/>
    <cellStyle name="常规 19 3 2 2 10 2" xfId="51"/>
    <cellStyle name="常规 19 3 2 2 10 3" xfId="5702"/>
    <cellStyle name="常规 19 3 2 2 10 4" xfId="9258"/>
    <cellStyle name="常规 19 3 2 2 10 5" xfId="9263"/>
    <cellStyle name="常规 19 3 2 2 10 6" xfId="18523"/>
    <cellStyle name="常规 19 3 2 2 10 7" xfId="18525"/>
    <cellStyle name="常规 19 3 2 2 10 8" xfId="18527"/>
    <cellStyle name="常规 19 3 2 2 11" xfId="5708"/>
    <cellStyle name="常规 19 3 2 2 11 2" xfId="5716"/>
    <cellStyle name="常规 19 3 2 2 11 3" xfId="5726"/>
    <cellStyle name="常规 19 3 2 2 11 4" xfId="9225"/>
    <cellStyle name="常规 19 3 2 2 11 5" xfId="9229"/>
    <cellStyle name="常规 19 3 2 2 11 6" xfId="18529"/>
    <cellStyle name="常规 19 3 2 2 11 7" xfId="10930"/>
    <cellStyle name="常规 19 3 2 2 11 8" xfId="7132"/>
    <cellStyle name="常规 19 3 2 2 12" xfId="5736"/>
    <cellStyle name="常规 19 3 2 2 12 2" xfId="18533"/>
    <cellStyle name="常规 19 3 2 2 12 3" xfId="18537"/>
    <cellStyle name="常规 19 3 2 2 12 4" xfId="18540"/>
    <cellStyle name="常规 19 3 2 2 12 5" xfId="18542"/>
    <cellStyle name="常规 19 3 2 2 12 6" xfId="18544"/>
    <cellStyle name="常规 19 3 2 2 12 7" xfId="18546"/>
    <cellStyle name="常规 19 3 2 2 12 8" xfId="18548"/>
    <cellStyle name="常规 19 3 2 2 13" xfId="18549"/>
    <cellStyle name="常规 19 3 2 2 13 2" xfId="18553"/>
    <cellStyle name="常规 19 3 2 2 13 3" xfId="18557"/>
    <cellStyle name="常规 19 3 2 2 13 4" xfId="18559"/>
    <cellStyle name="常规 19 3 2 2 13 5" xfId="18561"/>
    <cellStyle name="常规 19 3 2 2 13 6" xfId="18563"/>
    <cellStyle name="常规 19 3 2 2 13 7" xfId="18565"/>
    <cellStyle name="常规 19 3 2 2 13 8" xfId="18568"/>
    <cellStyle name="常规 19 3 2 2 14" xfId="18569"/>
    <cellStyle name="常规 19 3 2 2 14 2" xfId="18571"/>
    <cellStyle name="常规 19 3 2 2 14 3" xfId="18574"/>
    <cellStyle name="常规 19 3 2 2 14 4" xfId="18576"/>
    <cellStyle name="常规 19 3 2 2 14 5" xfId="18578"/>
    <cellStyle name="常规 19 3 2 2 14 6" xfId="18580"/>
    <cellStyle name="常规 19 3 2 2 14 7" xfId="18582"/>
    <cellStyle name="常规 19 3 2 2 14 8" xfId="18585"/>
    <cellStyle name="常规 19 3 2 2 15" xfId="18587"/>
    <cellStyle name="常规 19 3 2 2 15 2" xfId="11845"/>
    <cellStyle name="常规 19 3 2 2 15 3" xfId="11859"/>
    <cellStyle name="常规 19 3 2 2 15 4" xfId="11864"/>
    <cellStyle name="常规 19 3 2 2 15 5" xfId="18589"/>
    <cellStyle name="常规 19 3 2 2 15 6" xfId="18591"/>
    <cellStyle name="常规 19 3 2 2 15 7" xfId="18594"/>
    <cellStyle name="常规 19 3 2 2 16" xfId="18597"/>
    <cellStyle name="常规 19 3 2 2 17" xfId="11494"/>
    <cellStyle name="常规 19 3 2 2 18" xfId="409"/>
    <cellStyle name="常规 19 3 2 2 19" xfId="18598"/>
    <cellStyle name="常规 19 3 2 2 2" xfId="10655"/>
    <cellStyle name="常规 19 3 2 2 2 10" xfId="35"/>
    <cellStyle name="常规 19 3 2 2 2 10 2" xfId="18601"/>
    <cellStyle name="常规 19 3 2 2 2 10 3" xfId="18603"/>
    <cellStyle name="常规 19 3 2 2 2 10 4" xfId="18606"/>
    <cellStyle name="常规 19 3 2 2 2 10 5" xfId="18610"/>
    <cellStyle name="常规 19 3 2 2 2 10 6" xfId="2267"/>
    <cellStyle name="常规 19 3 2 2 2 10 7" xfId="2453"/>
    <cellStyle name="常规 19 3 2 2 2 10 8" xfId="2547"/>
    <cellStyle name="常规 19 3 2 2 2 11" xfId="392"/>
    <cellStyle name="常规 19 3 2 2 2 11 2" xfId="8609"/>
    <cellStyle name="常规 19 3 2 2 2 11 3" xfId="8645"/>
    <cellStyle name="常规 19 3 2 2 2 11 4" xfId="18615"/>
    <cellStyle name="常规 19 3 2 2 2 11 5" xfId="18618"/>
    <cellStyle name="常规 19 3 2 2 2 11 6" xfId="2629"/>
    <cellStyle name="常规 19 3 2 2 2 11 7" xfId="2675"/>
    <cellStyle name="常规 19 3 2 2 2 11 8" xfId="2739"/>
    <cellStyle name="常规 19 3 2 2 2 12" xfId="18621"/>
    <cellStyle name="常规 19 3 2 2 2 12 2" xfId="18625"/>
    <cellStyle name="常规 19 3 2 2 2 12 3" xfId="18629"/>
    <cellStyle name="常规 19 3 2 2 2 12 4" xfId="18633"/>
    <cellStyle name="常规 19 3 2 2 2 12 5" xfId="18638"/>
    <cellStyle name="常规 19 3 2 2 2 12 6" xfId="18644"/>
    <cellStyle name="常规 19 3 2 2 2 12 7" xfId="16008"/>
    <cellStyle name="常规 19 3 2 2 2 12 8" xfId="16010"/>
    <cellStyle name="常规 19 3 2 2 2 13" xfId="18648"/>
    <cellStyle name="常规 19 3 2 2 2 13 2" xfId="18653"/>
    <cellStyle name="常规 19 3 2 2 2 13 3" xfId="18658"/>
    <cellStyle name="常规 19 3 2 2 2 13 4" xfId="18663"/>
    <cellStyle name="常规 19 3 2 2 2 13 5" xfId="18667"/>
    <cellStyle name="常规 19 3 2 2 2 13 6" xfId="18671"/>
    <cellStyle name="常规 19 3 2 2 2 13 7" xfId="16015"/>
    <cellStyle name="常规 19 3 2 2 2 14" xfId="18675"/>
    <cellStyle name="常规 19 3 2 2 2 15" xfId="18681"/>
    <cellStyle name="常规 19 3 2 2 2 16" xfId="18685"/>
    <cellStyle name="常规 19 3 2 2 2 17" xfId="18687"/>
    <cellStyle name="常规 19 3 2 2 2 18" xfId="18690"/>
    <cellStyle name="常规 19 3 2 2 2 19" xfId="18693"/>
    <cellStyle name="常规 19 3 2 2 2 2" xfId="5701"/>
    <cellStyle name="常规 19 3 2 2 2 2 10" xfId="11961"/>
    <cellStyle name="常规 19 3 2 2 2 2 10 2" xfId="111"/>
    <cellStyle name="常规 19 3 2 2 2 2 10 3" xfId="18695"/>
    <cellStyle name="常规 19 3 2 2 2 2 10 4" xfId="12046"/>
    <cellStyle name="常规 19 3 2 2 2 2 10 5" xfId="18697"/>
    <cellStyle name="常规 19 3 2 2 2 2 10 6" xfId="18698"/>
    <cellStyle name="常规 19 3 2 2 2 2 10 7" xfId="18699"/>
    <cellStyle name="常规 19 3 2 2 2 2 10 8" xfId="18700"/>
    <cellStyle name="常规 19 3 2 2 2 2 11" xfId="18701"/>
    <cellStyle name="常规 19 3 2 2 2 2 11 2" xfId="1616"/>
    <cellStyle name="常规 19 3 2 2 2 2 11 3" xfId="18702"/>
    <cellStyle name="常规 19 3 2 2 2 2 11 4" xfId="18703"/>
    <cellStyle name="常规 19 3 2 2 2 2 11 5" xfId="18704"/>
    <cellStyle name="常规 19 3 2 2 2 2 11 6" xfId="18705"/>
    <cellStyle name="常规 19 3 2 2 2 2 11 7" xfId="18706"/>
    <cellStyle name="常规 19 3 2 2 2 2 11 8" xfId="9351"/>
    <cellStyle name="常规 19 3 2 2 2 2 12" xfId="18708"/>
    <cellStyle name="常规 19 3 2 2 2 2 12 2" xfId="18709"/>
    <cellStyle name="常规 19 3 2 2 2 2 12 3" xfId="18710"/>
    <cellStyle name="常规 19 3 2 2 2 2 12 4" xfId="7121"/>
    <cellStyle name="常规 19 3 2 2 2 2 12 5" xfId="7126"/>
    <cellStyle name="常规 19 3 2 2 2 2 12 6" xfId="18711"/>
    <cellStyle name="常规 19 3 2 2 2 2 12 7" xfId="18712"/>
    <cellStyle name="常规 19 3 2 2 2 2 13" xfId="12493"/>
    <cellStyle name="常规 19 3 2 2 2 2 14" xfId="12496"/>
    <cellStyle name="常规 19 3 2 2 2 2 15" xfId="18714"/>
    <cellStyle name="常规 19 3 2 2 2 2 16" xfId="18715"/>
    <cellStyle name="常规 19 3 2 2 2 2 17" xfId="18717"/>
    <cellStyle name="常规 19 3 2 2 2 2 18" xfId="18719"/>
    <cellStyle name="常规 19 3 2 2 2 2 19" xfId="18721"/>
    <cellStyle name="常规 19 3 2 2 2 2 2" xfId="18722"/>
    <cellStyle name="常规 19 3 2 2 2 2 2 10" xfId="18723"/>
    <cellStyle name="常规 19 3 2 2 2 2 2 10 2" xfId="10941"/>
    <cellStyle name="常规 19 3 2 2 2 2 2 10 3" xfId="18725"/>
    <cellStyle name="常规 19 3 2 2 2 2 2 10 4" xfId="18726"/>
    <cellStyle name="常规 19 3 2 2 2 2 2 10 5" xfId="18728"/>
    <cellStyle name="常规 19 3 2 2 2 2 2 10 6" xfId="18730"/>
    <cellStyle name="常规 19 3 2 2 2 2 2 10 7" xfId="18731"/>
    <cellStyle name="常规 19 3 2 2 2 2 2 11" xfId="3002"/>
    <cellStyle name="常规 19 3 2 2 2 2 2 12" xfId="7254"/>
    <cellStyle name="常规 19 3 2 2 2 2 2 13" xfId="6182"/>
    <cellStyle name="常规 19 3 2 2 2 2 2 14" xfId="6232"/>
    <cellStyle name="常规 19 3 2 2 2 2 2 15" xfId="6268"/>
    <cellStyle name="常规 19 3 2 2 2 2 2 16" xfId="18732"/>
    <cellStyle name="常规 19 3 2 2 2 2 2 17" xfId="18733"/>
    <cellStyle name="常规 19 3 2 2 2 2 2 2" xfId="18735"/>
    <cellStyle name="常规 19 3 2 2 2 2 2 2 2" xfId="18739"/>
    <cellStyle name="常规 19 3 2 2 2 2 2 2 3" xfId="18743"/>
    <cellStyle name="常规 19 3 2 2 2 2 2 2 4" xfId="18746"/>
    <cellStyle name="常规 19 3 2 2 2 2 2 2 5" xfId="7237"/>
    <cellStyle name="常规 19 3 2 2 2 2 2 2 6" xfId="7245"/>
    <cellStyle name="常规 19 3 2 2 2 2 2 2 7" xfId="18748"/>
    <cellStyle name="常规 19 3 2 2 2 2 2 2 8" xfId="18751"/>
    <cellStyle name="常规 19 3 2 2 2 2 2 3" xfId="18754"/>
    <cellStyle name="常规 19 3 2 2 2 2 2 3 2" xfId="18757"/>
    <cellStyle name="常规 19 3 2 2 2 2 2 3 3" xfId="18760"/>
    <cellStyle name="常规 19 3 2 2 2 2 2 3 4" xfId="18762"/>
    <cellStyle name="常规 19 3 2 2 2 2 2 3 5" xfId="7850"/>
    <cellStyle name="常规 19 3 2 2 2 2 2 3 6" xfId="7855"/>
    <cellStyle name="常规 19 3 2 2 2 2 2 3 7" xfId="7382"/>
    <cellStyle name="常规 19 3 2 2 2 2 2 3 8" xfId="5947"/>
    <cellStyle name="常规 19 3 2 2 2 2 2 4" xfId="18763"/>
    <cellStyle name="常规 19 3 2 2 2 2 2 4 2" xfId="18765"/>
    <cellStyle name="常规 19 3 2 2 2 2 2 4 3" xfId="17414"/>
    <cellStyle name="常规 19 3 2 2 2 2 2 4 4" xfId="17423"/>
    <cellStyle name="常规 19 3 2 2 2 2 2 4 5" xfId="17426"/>
    <cellStyle name="常规 19 3 2 2 2 2 2 4 6" xfId="17430"/>
    <cellStyle name="常规 19 3 2 2 2 2 2 4 7" xfId="2963"/>
    <cellStyle name="常规 19 3 2 2 2 2 2 4 8" xfId="3044"/>
    <cellStyle name="常规 19 3 2 2 2 2 2 5" xfId="18766"/>
    <cellStyle name="常规 19 3 2 2 2 2 2 5 2" xfId="18768"/>
    <cellStyle name="常规 19 3 2 2 2 2 2 5 3" xfId="18772"/>
    <cellStyle name="常规 19 3 2 2 2 2 2 5 4" xfId="18775"/>
    <cellStyle name="常规 19 3 2 2 2 2 2 5 5" xfId="18778"/>
    <cellStyle name="常规 19 3 2 2 2 2 2 5 6" xfId="18783"/>
    <cellStyle name="常规 19 3 2 2 2 2 2 5 7" xfId="3183"/>
    <cellStyle name="常规 19 3 2 2 2 2 2 5 8" xfId="3299"/>
    <cellStyle name="常规 19 3 2 2 2 2 2 6" xfId="18787"/>
    <cellStyle name="常规 19 3 2 2 2 2 2 6 2" xfId="18789"/>
    <cellStyle name="常规 19 3 2 2 2 2 2 6 3" xfId="18791"/>
    <cellStyle name="常规 19 3 2 2 2 2 2 6 4" xfId="18793"/>
    <cellStyle name="常规 19 3 2 2 2 2 2 6 5" xfId="18795"/>
    <cellStyle name="常规 19 3 2 2 2 2 2 6 6" xfId="18798"/>
    <cellStyle name="常规 19 3 2 2 2 2 2 6 7" xfId="3483"/>
    <cellStyle name="常规 19 3 2 2 2 2 2 6 8" xfId="635"/>
    <cellStyle name="常规 19 3 2 2 2 2 2 7" xfId="18799"/>
    <cellStyle name="常规 19 3 2 2 2 2 2 7 2" xfId="18800"/>
    <cellStyle name="常规 19 3 2 2 2 2 2 7 3" xfId="18801"/>
    <cellStyle name="常规 19 3 2 2 2 2 2 7 4" xfId="18802"/>
    <cellStyle name="常规 19 3 2 2 2 2 2 7 5" xfId="18803"/>
    <cellStyle name="常规 19 3 2 2 2 2 2 7 6" xfId="18804"/>
    <cellStyle name="常规 19 3 2 2 2 2 2 7 7" xfId="3684"/>
    <cellStyle name="常规 19 3 2 2 2 2 2 7 8" xfId="674"/>
    <cellStyle name="常规 19 3 2 2 2 2 2 8" xfId="18805"/>
    <cellStyle name="常规 19 3 2 2 2 2 2 8 2" xfId="18807"/>
    <cellStyle name="常规 19 3 2 2 2 2 2 8 3" xfId="18809"/>
    <cellStyle name="常规 19 3 2 2 2 2 2 8 4" xfId="18811"/>
    <cellStyle name="常规 19 3 2 2 2 2 2 8 5" xfId="18812"/>
    <cellStyle name="常规 19 3 2 2 2 2 2 8 6" xfId="18813"/>
    <cellStyle name="常规 19 3 2 2 2 2 2 8 7" xfId="3774"/>
    <cellStyle name="常规 19 3 2 2 2 2 2 8 8" xfId="3819"/>
    <cellStyle name="常规 19 3 2 2 2 2 2 9" xfId="18814"/>
    <cellStyle name="常规 19 3 2 2 2 2 2 9 2" xfId="10071"/>
    <cellStyle name="常规 19 3 2 2 2 2 2 9 3" xfId="18817"/>
    <cellStyle name="常规 19 3 2 2 2 2 2 9 4" xfId="18820"/>
    <cellStyle name="常规 19 3 2 2 2 2 2 9 5" xfId="18823"/>
    <cellStyle name="常规 19 3 2 2 2 2 2 9 6" xfId="18825"/>
    <cellStyle name="常规 19 3 2 2 2 2 2 9 7" xfId="3859"/>
    <cellStyle name="常规 19 3 2 2 2 2 2 9 8" xfId="3883"/>
    <cellStyle name="常规 19 3 2 2 2 2 3" xfId="18827"/>
    <cellStyle name="常规 19 3 2 2 2 2 3 2" xfId="18828"/>
    <cellStyle name="常规 19 3 2 2 2 2 3 3" xfId="18830"/>
    <cellStyle name="常规 19 3 2 2 2 2 3 4" xfId="18831"/>
    <cellStyle name="常规 19 3 2 2 2 2 3 5" xfId="18832"/>
    <cellStyle name="常规 19 3 2 2 2 2 3 6" xfId="18833"/>
    <cellStyle name="常规 19 3 2 2 2 2 3 7" xfId="12186"/>
    <cellStyle name="常规 19 3 2 2 2 2 3 8" xfId="12189"/>
    <cellStyle name="常规 19 3 2 2 2 2 4" xfId="13531"/>
    <cellStyle name="常规 19 3 2 2 2 2 4 2" xfId="18834"/>
    <cellStyle name="常规 19 3 2 2 2 2 4 3" xfId="18835"/>
    <cellStyle name="常规 19 3 2 2 2 2 4 4" xfId="16356"/>
    <cellStyle name="常规 19 3 2 2 2 2 4 5" xfId="16358"/>
    <cellStyle name="常规 19 3 2 2 2 2 4 6" xfId="16360"/>
    <cellStyle name="常规 19 3 2 2 2 2 4 7" xfId="16362"/>
    <cellStyle name="常规 19 3 2 2 2 2 4 8" xfId="16364"/>
    <cellStyle name="常规 19 3 2 2 2 2 5" xfId="13536"/>
    <cellStyle name="常规 19 3 2 2 2 2 5 2" xfId="18836"/>
    <cellStyle name="常规 19 3 2 2 2 2 5 3" xfId="18837"/>
    <cellStyle name="常规 19 3 2 2 2 2 5 4" xfId="18838"/>
    <cellStyle name="常规 19 3 2 2 2 2 5 5" xfId="18840"/>
    <cellStyle name="常规 19 3 2 2 2 2 5 6" xfId="9557"/>
    <cellStyle name="常规 19 3 2 2 2 2 5 7" xfId="8670"/>
    <cellStyle name="常规 19 3 2 2 2 2 5 8" xfId="8672"/>
    <cellStyle name="常规 19 3 2 2 2 2 6" xfId="13541"/>
    <cellStyle name="常规 19 3 2 2 2 2 6 2" xfId="18841"/>
    <cellStyle name="常规 19 3 2 2 2 2 6 3" xfId="18842"/>
    <cellStyle name="常规 19 3 2 2 2 2 6 4" xfId="18843"/>
    <cellStyle name="常规 19 3 2 2 2 2 6 5" xfId="18844"/>
    <cellStyle name="常规 19 3 2 2 2 2 6 6" xfId="18845"/>
    <cellStyle name="常规 19 3 2 2 2 2 6 7" xfId="8679"/>
    <cellStyle name="常规 19 3 2 2 2 2 6 8" xfId="8688"/>
    <cellStyle name="常规 19 3 2 2 2 2 7" xfId="13545"/>
    <cellStyle name="常规 19 3 2 2 2 2 7 2" xfId="18846"/>
    <cellStyle name="常规 19 3 2 2 2 2 7 3" xfId="18847"/>
    <cellStyle name="常规 19 3 2 2 2 2 7 4" xfId="18848"/>
    <cellStyle name="常规 19 3 2 2 2 2 7 5" xfId="18849"/>
    <cellStyle name="常规 19 3 2 2 2 2 7 6" xfId="18850"/>
    <cellStyle name="常规 19 3 2 2 2 2 7 7" xfId="8698"/>
    <cellStyle name="常规 19 3 2 2 2 2 7 8" xfId="8700"/>
    <cellStyle name="常规 19 3 2 2 2 2 8" xfId="13549"/>
    <cellStyle name="常规 19 3 2 2 2 2 8 2" xfId="18851"/>
    <cellStyle name="常规 19 3 2 2 2 2 8 3" xfId="18852"/>
    <cellStyle name="常规 19 3 2 2 2 2 8 4" xfId="18853"/>
    <cellStyle name="常规 19 3 2 2 2 2 8 5" xfId="18854"/>
    <cellStyle name="常规 19 3 2 2 2 2 8 6" xfId="18855"/>
    <cellStyle name="常规 19 3 2 2 2 2 8 7" xfId="18856"/>
    <cellStyle name="常规 19 3 2 2 2 2 8 8" xfId="18857"/>
    <cellStyle name="常规 19 3 2 2 2 2 9" xfId="13554"/>
    <cellStyle name="常规 19 3 2 2 2 2 9 2" xfId="18858"/>
    <cellStyle name="常规 19 3 2 2 2 2 9 3" xfId="18859"/>
    <cellStyle name="常规 19 3 2 2 2 2 9 4" xfId="18861"/>
    <cellStyle name="常规 19 3 2 2 2 2 9 5" xfId="10001"/>
    <cellStyle name="常规 19 3 2 2 2 2 9 6" xfId="11108"/>
    <cellStyle name="常规 19 3 2 2 2 2 9 7" xfId="18863"/>
    <cellStyle name="常规 19 3 2 2 2 2 9 8" xfId="18865"/>
    <cellStyle name="常规 19 3 2 2 2 20" xfId="18680"/>
    <cellStyle name="常规 19 3 2 2 2 3" xfId="9260"/>
    <cellStyle name="常规 19 3 2 2 2 3 10" xfId="18867"/>
    <cellStyle name="常规 19 3 2 2 2 3 10 2" xfId="7474"/>
    <cellStyle name="常规 19 3 2 2 2 3 10 3" xfId="8133"/>
    <cellStyle name="常规 19 3 2 2 2 3 10 4" xfId="8137"/>
    <cellStyle name="常规 19 3 2 2 2 3 10 5" xfId="18869"/>
    <cellStyle name="常规 19 3 2 2 2 3 10 6" xfId="18872"/>
    <cellStyle name="常规 19 3 2 2 2 3 10 7" xfId="18875"/>
    <cellStyle name="常规 19 3 2 2 2 3 11" xfId="18877"/>
    <cellStyle name="常规 19 3 2 2 2 3 12" xfId="947"/>
    <cellStyle name="常规 19 3 2 2 2 3 13" xfId="1007"/>
    <cellStyle name="常规 19 3 2 2 2 3 14" xfId="490"/>
    <cellStyle name="常规 19 3 2 2 2 3 15" xfId="564"/>
    <cellStyle name="常规 19 3 2 2 2 3 16" xfId="1547"/>
    <cellStyle name="常规 19 3 2 2 2 3 17" xfId="3696"/>
    <cellStyle name="常规 19 3 2 2 2 3 2" xfId="18879"/>
    <cellStyle name="常规 19 3 2 2 2 3 2 2" xfId="18881"/>
    <cellStyle name="常规 19 3 2 2 2 3 2 3" xfId="18883"/>
    <cellStyle name="常规 19 3 2 2 2 3 2 4" xfId="18885"/>
    <cellStyle name="常规 19 3 2 2 2 3 2 5" xfId="6805"/>
    <cellStyle name="常规 19 3 2 2 2 3 2 6" xfId="6875"/>
    <cellStyle name="常规 19 3 2 2 2 3 2 7" xfId="18886"/>
    <cellStyle name="常规 19 3 2 2 2 3 2 8" xfId="18887"/>
    <cellStyle name="常规 19 3 2 2 2 3 3" xfId="18888"/>
    <cellStyle name="常规 19 3 2 2 2 3 3 2" xfId="18890"/>
    <cellStyle name="常规 19 3 2 2 2 3 3 3" xfId="18891"/>
    <cellStyle name="常规 19 3 2 2 2 3 3 4" xfId="18892"/>
    <cellStyle name="常规 19 3 2 2 2 3 3 5" xfId="6631"/>
    <cellStyle name="常规 19 3 2 2 2 3 3 6" xfId="18893"/>
    <cellStyle name="常规 19 3 2 2 2 3 3 7" xfId="18894"/>
    <cellStyle name="常规 19 3 2 2 2 3 3 8" xfId="18895"/>
    <cellStyle name="常规 19 3 2 2 2 3 4" xfId="4040"/>
    <cellStyle name="常规 19 3 2 2 2 3 4 2" xfId="18896"/>
    <cellStyle name="常规 19 3 2 2 2 3 4 3" xfId="18899"/>
    <cellStyle name="常规 19 3 2 2 2 3 4 4" xfId="18902"/>
    <cellStyle name="常规 19 3 2 2 2 3 4 5" xfId="18904"/>
    <cellStyle name="常规 19 3 2 2 2 3 4 6" xfId="18906"/>
    <cellStyle name="常规 19 3 2 2 2 3 4 7" xfId="18908"/>
    <cellStyle name="常规 19 3 2 2 2 3 4 8" xfId="18909"/>
    <cellStyle name="常规 19 3 2 2 2 3 5" xfId="4049"/>
    <cellStyle name="常规 19 3 2 2 2 3 5 2" xfId="18910"/>
    <cellStyle name="常规 19 3 2 2 2 3 5 3" xfId="18912"/>
    <cellStyle name="常规 19 3 2 2 2 3 5 4" xfId="18914"/>
    <cellStyle name="常规 19 3 2 2 2 3 5 5" xfId="18916"/>
    <cellStyle name="常规 19 3 2 2 2 3 5 6" xfId="18918"/>
    <cellStyle name="常规 19 3 2 2 2 3 5 7" xfId="2661"/>
    <cellStyle name="常规 19 3 2 2 2 3 5 8" xfId="1984"/>
    <cellStyle name="常规 19 3 2 2 2 3 6" xfId="4912"/>
    <cellStyle name="常规 19 3 2 2 2 3 6 2" xfId="18920"/>
    <cellStyle name="常规 19 3 2 2 2 3 6 3" xfId="18922"/>
    <cellStyle name="常规 19 3 2 2 2 3 6 4" xfId="18924"/>
    <cellStyle name="常规 19 3 2 2 2 3 6 5" xfId="1692"/>
    <cellStyle name="常规 19 3 2 2 2 3 6 6" xfId="2099"/>
    <cellStyle name="常规 19 3 2 2 2 3 6 7" xfId="2180"/>
    <cellStyle name="常规 19 3 2 2 2 3 6 8" xfId="2117"/>
    <cellStyle name="常规 19 3 2 2 2 3 7" xfId="4329"/>
    <cellStyle name="常规 19 3 2 2 2 3 7 2" xfId="18510"/>
    <cellStyle name="常规 19 3 2 2 2 3 7 3" xfId="18516"/>
    <cellStyle name="常规 19 3 2 2 2 3 7 4" xfId="18518"/>
    <cellStyle name="常规 19 3 2 2 2 3 7 5" xfId="2273"/>
    <cellStyle name="常规 19 3 2 2 2 3 7 6" xfId="2455"/>
    <cellStyle name="常规 19 3 2 2 2 3 7 7" xfId="2549"/>
    <cellStyle name="常规 19 3 2 2 2 3 7 8" xfId="2190"/>
    <cellStyle name="常规 19 3 2 2 2 3 8" xfId="4340"/>
    <cellStyle name="常规 19 3 2 2 2 3 8 2" xfId="8650"/>
    <cellStyle name="常规 19 3 2 2 2 3 8 3" xfId="8655"/>
    <cellStyle name="常规 19 3 2 2 2 3 8 4" xfId="18926"/>
    <cellStyle name="常规 19 3 2 2 2 3 8 5" xfId="2636"/>
    <cellStyle name="常规 19 3 2 2 2 3 8 6" xfId="2677"/>
    <cellStyle name="常规 19 3 2 2 2 3 8 7" xfId="2741"/>
    <cellStyle name="常规 19 3 2 2 2 3 8 8" xfId="2124"/>
    <cellStyle name="常规 19 3 2 2 2 3 9" xfId="5608"/>
    <cellStyle name="常规 19 3 2 2 2 3 9 2" xfId="18927"/>
    <cellStyle name="常规 19 3 2 2 2 3 9 3" xfId="18929"/>
    <cellStyle name="常规 19 3 2 2 2 3 9 4" xfId="18931"/>
    <cellStyle name="常规 19 3 2 2 2 3 9 5" xfId="2819"/>
    <cellStyle name="常规 19 3 2 2 2 3 9 6" xfId="2843"/>
    <cellStyle name="常规 19 3 2 2 2 3 9 7" xfId="1939"/>
    <cellStyle name="常规 19 3 2 2 2 3 9 8" xfId="2144"/>
    <cellStyle name="常规 19 3 2 2 2 4" xfId="9265"/>
    <cellStyle name="常规 19 3 2 2 2 4 2" xfId="8043"/>
    <cellStyle name="常规 19 3 2 2 2 4 3" xfId="18932"/>
    <cellStyle name="常规 19 3 2 2 2 4 4" xfId="13566"/>
    <cellStyle name="常规 19 3 2 2 2 4 5" xfId="13571"/>
    <cellStyle name="常规 19 3 2 2 2 4 6" xfId="13576"/>
    <cellStyle name="常规 19 3 2 2 2 4 7" xfId="13581"/>
    <cellStyle name="常规 19 3 2 2 2 4 8" xfId="13586"/>
    <cellStyle name="常规 19 3 2 2 2 5" xfId="18522"/>
    <cellStyle name="常规 19 3 2 2 2 5 2" xfId="18933"/>
    <cellStyle name="常规 19 3 2 2 2 5 3" xfId="18936"/>
    <cellStyle name="常规 19 3 2 2 2 5 4" xfId="13610"/>
    <cellStyle name="常规 19 3 2 2 2 5 5" xfId="13616"/>
    <cellStyle name="常规 19 3 2 2 2 5 6" xfId="13621"/>
    <cellStyle name="常规 19 3 2 2 2 5 7" xfId="13626"/>
    <cellStyle name="常规 19 3 2 2 2 5 8" xfId="13631"/>
    <cellStyle name="常规 19 3 2 2 2 6" xfId="18524"/>
    <cellStyle name="常规 19 3 2 2 2 6 2" xfId="18938"/>
    <cellStyle name="常规 19 3 2 2 2 6 3" xfId="18940"/>
    <cellStyle name="常规 19 3 2 2 2 6 4" xfId="13652"/>
    <cellStyle name="常规 19 3 2 2 2 6 5" xfId="13657"/>
    <cellStyle name="常规 19 3 2 2 2 6 6" xfId="9344"/>
    <cellStyle name="常规 19 3 2 2 2 6 7" xfId="9352"/>
    <cellStyle name="常规 19 3 2 2 2 6 8" xfId="13662"/>
    <cellStyle name="常规 19 3 2 2 2 7" xfId="18526"/>
    <cellStyle name="常规 19 3 2 2 2 7 2" xfId="18942"/>
    <cellStyle name="常规 19 3 2 2 2 7 3" xfId="18945"/>
    <cellStyle name="常规 19 3 2 2 2 7 4" xfId="13679"/>
    <cellStyle name="常规 19 3 2 2 2 7 5" xfId="13684"/>
    <cellStyle name="常规 19 3 2 2 2 7 6" xfId="13689"/>
    <cellStyle name="常规 19 3 2 2 2 7 7" xfId="13694"/>
    <cellStyle name="常规 19 3 2 2 2 7 8" xfId="13699"/>
    <cellStyle name="常规 19 3 2 2 2 8" xfId="18948"/>
    <cellStyle name="常规 19 3 2 2 2 8 2" xfId="18949"/>
    <cellStyle name="常规 19 3 2 2 2 8 3" xfId="18951"/>
    <cellStyle name="常规 19 3 2 2 2 8 4" xfId="13713"/>
    <cellStyle name="常规 19 3 2 2 2 8 5" xfId="5319"/>
    <cellStyle name="常规 19 3 2 2 2 8 6" xfId="5355"/>
    <cellStyle name="常规 19 3 2 2 2 8 7" xfId="5370"/>
    <cellStyle name="常规 19 3 2 2 2 8 8" xfId="6400"/>
    <cellStyle name="常规 19 3 2 2 2 9" xfId="18953"/>
    <cellStyle name="常规 19 3 2 2 2 9 2" xfId="18956"/>
    <cellStyle name="常规 19 3 2 2 2 9 3" xfId="18961"/>
    <cellStyle name="常规 19 3 2 2 2 9 4" xfId="18159"/>
    <cellStyle name="常规 19 3 2 2 2 9 5" xfId="18164"/>
    <cellStyle name="常规 19 3 2 2 2 9 6" xfId="18169"/>
    <cellStyle name="常规 19 3 2 2 2 9 7" xfId="18173"/>
    <cellStyle name="常规 19 3 2 2 2 9 8" xfId="18177"/>
    <cellStyle name="常规 19 3 2 2 20" xfId="18586"/>
    <cellStyle name="常规 19 3 2 2 21" xfId="18596"/>
    <cellStyle name="常规 19 3 2 2 22" xfId="11495"/>
    <cellStyle name="常规 19 3 2 2 3" xfId="18963"/>
    <cellStyle name="常规 19 3 2 2 3 10" xfId="551"/>
    <cellStyle name="常规 19 3 2 2 3 10 2" xfId="11556"/>
    <cellStyle name="常规 19 3 2 2 3 10 3" xfId="6388"/>
    <cellStyle name="常规 19 3 2 2 3 10 4" xfId="6390"/>
    <cellStyle name="常规 19 3 2 2 3 10 5" xfId="18964"/>
    <cellStyle name="常规 19 3 2 2 3 10 6" xfId="18966"/>
    <cellStyle name="常规 19 3 2 2 3 10 7" xfId="18968"/>
    <cellStyle name="常规 19 3 2 2 3 10 8" xfId="18970"/>
    <cellStyle name="常规 19 3 2 2 3 11" xfId="7409"/>
    <cellStyle name="常规 19 3 2 2 3 11 2" xfId="7423"/>
    <cellStyle name="常规 19 3 2 2 3 11 3" xfId="7520"/>
    <cellStyle name="常规 19 3 2 2 3 11 4" xfId="7686"/>
    <cellStyle name="常规 19 3 2 2 3 11 5" xfId="7834"/>
    <cellStyle name="常规 19 3 2 2 3 11 6" xfId="7877"/>
    <cellStyle name="常规 19 3 2 2 3 11 7" xfId="3918"/>
    <cellStyle name="常规 19 3 2 2 3 11 8" xfId="4055"/>
    <cellStyle name="常规 19 3 2 2 3 12" xfId="11564"/>
    <cellStyle name="常规 19 3 2 2 3 12 2" xfId="18974"/>
    <cellStyle name="常规 19 3 2 2 3 12 3" xfId="7021"/>
    <cellStyle name="常规 19 3 2 2 3 12 4" xfId="7024"/>
    <cellStyle name="常规 19 3 2 2 3 12 5" xfId="18976"/>
    <cellStyle name="常规 19 3 2 2 3 12 6" xfId="18978"/>
    <cellStyle name="常规 19 3 2 2 3 12 7" xfId="8427"/>
    <cellStyle name="常规 19 3 2 2 3 13" xfId="14607"/>
    <cellStyle name="常规 19 3 2 2 3 14" xfId="5390"/>
    <cellStyle name="常规 19 3 2 2 3 15" xfId="5394"/>
    <cellStyle name="常规 19 3 2 2 3 16" xfId="5167"/>
    <cellStyle name="常规 19 3 2 2 3 17" xfId="1449"/>
    <cellStyle name="常规 19 3 2 2 3 18" xfId="1455"/>
    <cellStyle name="常规 19 3 2 2 3 19" xfId="3054"/>
    <cellStyle name="常规 19 3 2 2 3 2" xfId="5724"/>
    <cellStyle name="常规 19 3 2 2 3 2 10" xfId="18980"/>
    <cellStyle name="常规 19 3 2 2 3 2 10 2" xfId="18983"/>
    <cellStyle name="常规 19 3 2 2 3 2 10 3" xfId="18986"/>
    <cellStyle name="常规 19 3 2 2 3 2 10 4" xfId="15041"/>
    <cellStyle name="常规 19 3 2 2 3 2 10 5" xfId="15043"/>
    <cellStyle name="常规 19 3 2 2 3 2 10 6" xfId="15046"/>
    <cellStyle name="常规 19 3 2 2 3 2 10 7" xfId="15048"/>
    <cellStyle name="常规 19 3 2 2 3 2 11" xfId="18990"/>
    <cellStyle name="常规 19 3 2 2 3 2 12" xfId="18994"/>
    <cellStyle name="常规 19 3 2 2 3 2 13" xfId="18997"/>
    <cellStyle name="常规 19 3 2 2 3 2 14" xfId="19000"/>
    <cellStyle name="常规 19 3 2 2 3 2 15" xfId="19003"/>
    <cellStyle name="常规 19 3 2 2 3 2 16" xfId="19006"/>
    <cellStyle name="常规 19 3 2 2 3 2 17" xfId="17644"/>
    <cellStyle name="常规 19 3 2 2 3 2 2" xfId="19010"/>
    <cellStyle name="常规 19 3 2 2 3 2 2 2" xfId="19013"/>
    <cellStyle name="常规 19 3 2 2 3 2 2 3" xfId="19016"/>
    <cellStyle name="常规 19 3 2 2 3 2 2 4" xfId="19019"/>
    <cellStyle name="常规 19 3 2 2 3 2 2 5" xfId="19022"/>
    <cellStyle name="常规 19 3 2 2 3 2 2 6" xfId="19025"/>
    <cellStyle name="常规 19 3 2 2 3 2 2 7" xfId="19026"/>
    <cellStyle name="常规 19 3 2 2 3 2 2 8" xfId="19027"/>
    <cellStyle name="常规 19 3 2 2 3 2 3" xfId="19029"/>
    <cellStyle name="常规 19 3 2 2 3 2 3 2" xfId="19032"/>
    <cellStyle name="常规 19 3 2 2 3 2 3 3" xfId="19035"/>
    <cellStyle name="常规 19 3 2 2 3 2 3 4" xfId="19038"/>
    <cellStyle name="常规 19 3 2 2 3 2 3 5" xfId="19042"/>
    <cellStyle name="常规 19 3 2 2 3 2 3 6" xfId="19043"/>
    <cellStyle name="常规 19 3 2 2 3 2 3 7" xfId="19044"/>
    <cellStyle name="常规 19 3 2 2 3 2 3 8" xfId="19045"/>
    <cellStyle name="常规 19 3 2 2 3 2 4" xfId="13753"/>
    <cellStyle name="常规 19 3 2 2 3 2 4 2" xfId="19047"/>
    <cellStyle name="常规 19 3 2 2 3 2 4 3" xfId="19051"/>
    <cellStyle name="常规 19 3 2 2 3 2 4 4" xfId="19055"/>
    <cellStyle name="常规 19 3 2 2 3 2 4 5" xfId="19058"/>
    <cellStyle name="常规 19 3 2 2 3 2 4 6" xfId="19059"/>
    <cellStyle name="常规 19 3 2 2 3 2 4 7" xfId="19061"/>
    <cellStyle name="常规 19 3 2 2 3 2 4 8" xfId="19063"/>
    <cellStyle name="常规 19 3 2 2 3 2 5" xfId="13222"/>
    <cellStyle name="常规 19 3 2 2 3 2 5 2" xfId="19065"/>
    <cellStyle name="常规 19 3 2 2 3 2 5 3" xfId="19068"/>
    <cellStyle name="常规 19 3 2 2 3 2 5 4" xfId="19072"/>
    <cellStyle name="常规 19 3 2 2 3 2 5 5" xfId="8309"/>
    <cellStyle name="常规 19 3 2 2 3 2 5 6" xfId="8332"/>
    <cellStyle name="常规 19 3 2 2 3 2 5 7" xfId="8340"/>
    <cellStyle name="常规 19 3 2 2 3 2 5 8" xfId="8788"/>
    <cellStyle name="常规 19 3 2 2 3 2 6" xfId="13228"/>
    <cellStyle name="常规 19 3 2 2 3 2 6 2" xfId="19074"/>
    <cellStyle name="常规 19 3 2 2 3 2 6 3" xfId="19076"/>
    <cellStyle name="常规 19 3 2 2 3 2 6 4" xfId="19079"/>
    <cellStyle name="常规 19 3 2 2 3 2 6 5" xfId="8344"/>
    <cellStyle name="常规 19 3 2 2 3 2 6 6" xfId="6161"/>
    <cellStyle name="常规 19 3 2 2 3 2 6 7" xfId="6165"/>
    <cellStyle name="常规 19 3 2 2 3 2 6 8" xfId="8811"/>
    <cellStyle name="常规 19 3 2 2 3 2 7" xfId="13231"/>
    <cellStyle name="常规 19 3 2 2 3 2 7 2" xfId="19081"/>
    <cellStyle name="常规 19 3 2 2 3 2 7 3" xfId="19084"/>
    <cellStyle name="常规 19 3 2 2 3 2 7 4" xfId="19088"/>
    <cellStyle name="常规 19 3 2 2 3 2 7 5" xfId="8352"/>
    <cellStyle name="常规 19 3 2 2 3 2 7 6" xfId="8358"/>
    <cellStyle name="常规 19 3 2 2 3 2 7 7" xfId="8818"/>
    <cellStyle name="常规 19 3 2 2 3 2 7 8" xfId="8823"/>
    <cellStyle name="常规 19 3 2 2 3 2 8" xfId="13234"/>
    <cellStyle name="常规 19 3 2 2 3 2 8 2" xfId="19090"/>
    <cellStyle name="常规 19 3 2 2 3 2 8 3" xfId="19092"/>
    <cellStyle name="常规 19 3 2 2 3 2 8 4" xfId="19095"/>
    <cellStyle name="常规 19 3 2 2 3 2 8 5" xfId="19098"/>
    <cellStyle name="常规 19 3 2 2 3 2 8 6" xfId="11296"/>
    <cellStyle name="常规 19 3 2 2 3 2 8 7" xfId="7864"/>
    <cellStyle name="常规 19 3 2 2 3 2 8 8" xfId="9253"/>
    <cellStyle name="常规 19 3 2 2 3 2 9" xfId="13238"/>
    <cellStyle name="常规 19 3 2 2 3 2 9 2" xfId="19100"/>
    <cellStyle name="常规 19 3 2 2 3 2 9 3" xfId="19102"/>
    <cellStyle name="常规 19 3 2 2 3 2 9 4" xfId="19104"/>
    <cellStyle name="常规 19 3 2 2 3 2 9 5" xfId="30"/>
    <cellStyle name="常规 19 3 2 2 3 2 9 6" xfId="380"/>
    <cellStyle name="常规 19 3 2 2 3 2 9 7" xfId="316"/>
    <cellStyle name="常规 19 3 2 2 3 2 9 8" xfId="274"/>
    <cellStyle name="常规 19 3 2 2 3 3" xfId="9226"/>
    <cellStyle name="常规 19 3 2 2 3 3 2" xfId="19107"/>
    <cellStyle name="常规 19 3 2 2 3 3 3" xfId="19111"/>
    <cellStyle name="常规 19 3 2 2 3 3 4" xfId="13756"/>
    <cellStyle name="常规 19 3 2 2 3 3 5" xfId="13243"/>
    <cellStyle name="常规 19 3 2 2 3 3 6" xfId="13248"/>
    <cellStyle name="常规 19 3 2 2 3 3 7" xfId="13253"/>
    <cellStyle name="常规 19 3 2 2 3 3 8" xfId="13257"/>
    <cellStyle name="常规 19 3 2 2 3 4" xfId="9227"/>
    <cellStyle name="常规 19 3 2 2 3 4 2" xfId="19113"/>
    <cellStyle name="常规 19 3 2 2 3 4 3" xfId="19116"/>
    <cellStyle name="常规 19 3 2 2 3 4 4" xfId="13760"/>
    <cellStyle name="常规 19 3 2 2 3 4 5" xfId="13763"/>
    <cellStyle name="常规 19 3 2 2 3 4 6" xfId="13766"/>
    <cellStyle name="常规 19 3 2 2 3 4 7" xfId="13769"/>
    <cellStyle name="常规 19 3 2 2 3 4 8" xfId="13773"/>
    <cellStyle name="常规 19 3 2 2 3 5" xfId="18530"/>
    <cellStyle name="常规 19 3 2 2 3 5 2" xfId="19117"/>
    <cellStyle name="常规 19 3 2 2 3 5 3" xfId="19119"/>
    <cellStyle name="常规 19 3 2 2 3 5 4" xfId="13777"/>
    <cellStyle name="常规 19 3 2 2 3 5 5" xfId="13782"/>
    <cellStyle name="常规 19 3 2 2 3 5 6" xfId="13785"/>
    <cellStyle name="常规 19 3 2 2 3 5 7" xfId="13788"/>
    <cellStyle name="常规 19 3 2 2 3 5 8" xfId="13790"/>
    <cellStyle name="常规 19 3 2 2 3 6" xfId="10928"/>
    <cellStyle name="常规 19 3 2 2 3 6 2" xfId="19122"/>
    <cellStyle name="常规 19 3 2 2 3 6 3" xfId="19125"/>
    <cellStyle name="常规 19 3 2 2 3 6 4" xfId="13793"/>
    <cellStyle name="常规 19 3 2 2 3 6 5" xfId="13796"/>
    <cellStyle name="常规 19 3 2 2 3 6 6" xfId="13799"/>
    <cellStyle name="常规 19 3 2 2 3 6 7" xfId="13801"/>
    <cellStyle name="常规 19 3 2 2 3 6 8" xfId="13803"/>
    <cellStyle name="常规 19 3 2 2 3 7" xfId="7134"/>
    <cellStyle name="常规 19 3 2 2 3 7 2" xfId="14579"/>
    <cellStyle name="常规 19 3 2 2 3 7 3" xfId="19127"/>
    <cellStyle name="常规 19 3 2 2 3 7 4" xfId="13809"/>
    <cellStyle name="常规 19 3 2 2 3 7 5" xfId="13811"/>
    <cellStyle name="常规 19 3 2 2 3 7 6" xfId="13813"/>
    <cellStyle name="常规 19 3 2 2 3 7 7" xfId="11485"/>
    <cellStyle name="常规 19 3 2 2 3 7 8" xfId="11488"/>
    <cellStyle name="常规 19 3 2 2 3 8" xfId="19130"/>
    <cellStyle name="常规 19 3 2 2 3 8 2" xfId="19132"/>
    <cellStyle name="常规 19 3 2 2 3 8 3" xfId="19135"/>
    <cellStyle name="常规 19 3 2 2 3 8 4" xfId="13816"/>
    <cellStyle name="常规 19 3 2 2 3 8 5" xfId="1857"/>
    <cellStyle name="常规 19 3 2 2 3 8 6" xfId="3267"/>
    <cellStyle name="常规 19 3 2 2 3 8 7" xfId="3665"/>
    <cellStyle name="常规 19 3 2 2 3 8 8" xfId="3752"/>
    <cellStyle name="常规 19 3 2 2 3 9" xfId="19138"/>
    <cellStyle name="常规 19 3 2 2 3 9 2" xfId="12123"/>
    <cellStyle name="常规 19 3 2 2 3 9 3" xfId="19139"/>
    <cellStyle name="常规 19 3 2 2 3 9 4" xfId="19141"/>
    <cellStyle name="常规 19 3 2 2 3 9 5" xfId="19142"/>
    <cellStyle name="常规 19 3 2 2 3 9 6" xfId="19143"/>
    <cellStyle name="常规 19 3 2 2 3 9 7" xfId="19144"/>
    <cellStyle name="常规 19 3 2 2 3 9 8" xfId="19145"/>
    <cellStyle name="常规 19 3 2 2 4" xfId="19146"/>
    <cellStyle name="常规 19 3 2 2 4 10" xfId="19148"/>
    <cellStyle name="常规 19 3 2 2 4 10 2" xfId="10084"/>
    <cellStyle name="常规 19 3 2 2 4 10 3" xfId="19151"/>
    <cellStyle name="常规 19 3 2 2 4 10 4" xfId="19153"/>
    <cellStyle name="常规 19 3 2 2 4 10 5" xfId="11933"/>
    <cellStyle name="常规 19 3 2 2 4 10 6" xfId="5589"/>
    <cellStyle name="常规 19 3 2 2 4 10 7" xfId="8480"/>
    <cellStyle name="常规 19 3 2 2 4 10 8" xfId="19155"/>
    <cellStyle name="常规 19 3 2 2 4 11" xfId="10106"/>
    <cellStyle name="常规 19 3 2 2 4 11 2" xfId="19156"/>
    <cellStyle name="常规 19 3 2 2 4 11 3" xfId="19157"/>
    <cellStyle name="常规 19 3 2 2 4 11 4" xfId="19158"/>
    <cellStyle name="常规 19 3 2 2 4 11 5" xfId="11944"/>
    <cellStyle name="常规 19 3 2 2 4 11 6" xfId="11948"/>
    <cellStyle name="常规 19 3 2 2 4 11 7" xfId="11950"/>
    <cellStyle name="常规 19 3 2 2 4 11 8" xfId="19159"/>
    <cellStyle name="常规 19 3 2 2 4 12" xfId="14625"/>
    <cellStyle name="常规 19 3 2 2 4 12 2" xfId="19160"/>
    <cellStyle name="常规 19 3 2 2 4 12 3" xfId="19161"/>
    <cellStyle name="常规 19 3 2 2 4 12 4" xfId="19162"/>
    <cellStyle name="常规 19 3 2 2 4 12 5" xfId="19163"/>
    <cellStyle name="常规 19 3 2 2 4 12 6" xfId="19164"/>
    <cellStyle name="常规 19 3 2 2 4 12 7" xfId="19165"/>
    <cellStyle name="常规 19 3 2 2 4 13" xfId="14629"/>
    <cellStyle name="常规 19 3 2 2 4 14" xfId="14634"/>
    <cellStyle name="常规 19 3 2 2 4 15" xfId="14638"/>
    <cellStyle name="常规 19 3 2 2 4 16" xfId="14641"/>
    <cellStyle name="常规 19 3 2 2 4 17" xfId="14643"/>
    <cellStyle name="常规 19 3 2 2 4 18" xfId="19166"/>
    <cellStyle name="常规 19 3 2 2 4 19" xfId="19167"/>
    <cellStyle name="常规 19 3 2 2 4 2" xfId="18536"/>
    <cellStyle name="常规 19 3 2 2 4 2 10" xfId="9230"/>
    <cellStyle name="常规 19 3 2 2 4 2 10 2" xfId="19112"/>
    <cellStyle name="常规 19 3 2 2 4 2 10 3" xfId="19115"/>
    <cellStyle name="常规 19 3 2 2 4 2 10 4" xfId="13762"/>
    <cellStyle name="常规 19 3 2 2 4 2 10 5" xfId="13765"/>
    <cellStyle name="常规 19 3 2 2 4 2 10 6" xfId="13768"/>
    <cellStyle name="常规 19 3 2 2 4 2 10 7" xfId="13771"/>
    <cellStyle name="常规 19 3 2 2 4 2 11" xfId="18528"/>
    <cellStyle name="常规 19 3 2 2 4 2 12" xfId="10931"/>
    <cellStyle name="常规 19 3 2 2 4 2 13" xfId="7131"/>
    <cellStyle name="常规 19 3 2 2 4 2 14" xfId="19129"/>
    <cellStyle name="常规 19 3 2 2 4 2 15" xfId="19137"/>
    <cellStyle name="常规 19 3 2 2 4 2 16" xfId="7620"/>
    <cellStyle name="常规 19 3 2 2 4 2 17" xfId="808"/>
    <cellStyle name="常规 19 3 2 2 4 2 2" xfId="19170"/>
    <cellStyle name="常规 19 3 2 2 4 2 2 2" xfId="19172"/>
    <cellStyle name="常规 19 3 2 2 4 2 2 3" xfId="19174"/>
    <cellStyle name="常规 19 3 2 2 4 2 2 4" xfId="19176"/>
    <cellStyle name="常规 19 3 2 2 4 2 2 5" xfId="19180"/>
    <cellStyle name="常规 19 3 2 2 4 2 2 6" xfId="19182"/>
    <cellStyle name="常规 19 3 2 2 4 2 2 7" xfId="19183"/>
    <cellStyle name="常规 19 3 2 2 4 2 2 8" xfId="19184"/>
    <cellStyle name="常规 19 3 2 2 4 2 3" xfId="19187"/>
    <cellStyle name="常规 19 3 2 2 4 2 3 2" xfId="19189"/>
    <cellStyle name="常规 19 3 2 2 4 2 3 3" xfId="19191"/>
    <cellStyle name="常规 19 3 2 2 4 2 3 4" xfId="19194"/>
    <cellStyle name="常规 19 3 2 2 4 2 3 5" xfId="19197"/>
    <cellStyle name="常规 19 3 2 2 4 2 3 6" xfId="19198"/>
    <cellStyle name="常规 19 3 2 2 4 2 3 7" xfId="19199"/>
    <cellStyle name="常规 19 3 2 2 4 2 3 8" xfId="19200"/>
    <cellStyle name="常规 19 3 2 2 4 2 4" xfId="19203"/>
    <cellStyle name="常规 19 3 2 2 4 2 4 2" xfId="19205"/>
    <cellStyle name="常规 19 3 2 2 4 2 4 3" xfId="19207"/>
    <cellStyle name="常规 19 3 2 2 4 2 4 4" xfId="19210"/>
    <cellStyle name="常规 19 3 2 2 4 2 4 5" xfId="19214"/>
    <cellStyle name="常规 19 3 2 2 4 2 4 6" xfId="19215"/>
    <cellStyle name="常规 19 3 2 2 4 2 4 7" xfId="19217"/>
    <cellStyle name="常规 19 3 2 2 4 2 4 8" xfId="19220"/>
    <cellStyle name="常规 19 3 2 2 4 2 5" xfId="19225"/>
    <cellStyle name="常规 19 3 2 2 4 2 5 2" xfId="19227"/>
    <cellStyle name="常规 19 3 2 2 4 2 5 3" xfId="19229"/>
    <cellStyle name="常规 19 3 2 2 4 2 5 4" xfId="19232"/>
    <cellStyle name="常规 19 3 2 2 4 2 5 5" xfId="2622"/>
    <cellStyle name="常规 19 3 2 2 4 2 5 6" xfId="2817"/>
    <cellStyle name="常规 19 3 2 2 4 2 5 7" xfId="2858"/>
    <cellStyle name="常规 19 3 2 2 4 2 5 8" xfId="2872"/>
    <cellStyle name="常规 19 3 2 2 4 2 6" xfId="19234"/>
    <cellStyle name="常规 19 3 2 2 4 2 6 2" xfId="19236"/>
    <cellStyle name="常规 19 3 2 2 4 2 6 3" xfId="19238"/>
    <cellStyle name="常规 19 3 2 2 4 2 6 4" xfId="19240"/>
    <cellStyle name="常规 19 3 2 2 4 2 6 5" xfId="8410"/>
    <cellStyle name="常规 19 3 2 2 4 2 6 6" xfId="8413"/>
    <cellStyle name="常规 19 3 2 2 4 2 6 7" xfId="50"/>
    <cellStyle name="常规 19 3 2 2 4 2 6 8" xfId="5700"/>
    <cellStyle name="常规 19 3 2 2 4 2 7" xfId="18532"/>
    <cellStyle name="常规 19 3 2 2 4 2 7 2" xfId="19242"/>
    <cellStyle name="常规 19 3 2 2 4 2 7 3" xfId="19244"/>
    <cellStyle name="常规 19 3 2 2 4 2 7 4" xfId="19247"/>
    <cellStyle name="常规 19 3 2 2 4 2 7 5" xfId="8416"/>
    <cellStyle name="常规 19 3 2 2 4 2 7 6" xfId="8419"/>
    <cellStyle name="常规 19 3 2 2 4 2 7 7" xfId="5714"/>
    <cellStyle name="常规 19 3 2 2 4 2 7 8" xfId="5723"/>
    <cellStyle name="常规 19 3 2 2 4 2 8" xfId="18535"/>
    <cellStyle name="常规 19 3 2 2 4 2 8 2" xfId="19169"/>
    <cellStyle name="常规 19 3 2 2 4 2 8 3" xfId="19186"/>
    <cellStyle name="常规 19 3 2 2 4 2 8 4" xfId="19202"/>
    <cellStyle name="常规 19 3 2 2 4 2 8 5" xfId="19224"/>
    <cellStyle name="常规 19 3 2 2 4 2 8 6" xfId="19233"/>
    <cellStyle name="常规 19 3 2 2 4 2 8 7" xfId="18531"/>
    <cellStyle name="常规 19 3 2 2 4 2 8 8" xfId="18534"/>
    <cellStyle name="常规 19 3 2 2 4 2 9" xfId="18539"/>
    <cellStyle name="常规 19 3 2 2 4 2 9 2" xfId="19249"/>
    <cellStyle name="常规 19 3 2 2 4 2 9 3" xfId="19252"/>
    <cellStyle name="常规 19 3 2 2 4 2 9 4" xfId="19254"/>
    <cellStyle name="常规 19 3 2 2 4 2 9 5" xfId="19256"/>
    <cellStyle name="常规 19 3 2 2 4 2 9 6" xfId="19258"/>
    <cellStyle name="常规 19 3 2 2 4 2 9 7" xfId="18552"/>
    <cellStyle name="常规 19 3 2 2 4 2 9 8" xfId="18556"/>
    <cellStyle name="常规 19 3 2 2 4 3" xfId="18538"/>
    <cellStyle name="常规 19 3 2 2 4 3 2" xfId="19248"/>
    <cellStyle name="常规 19 3 2 2 4 3 3" xfId="19251"/>
    <cellStyle name="常规 19 3 2 2 4 3 4" xfId="19253"/>
    <cellStyle name="常规 19 3 2 2 4 3 5" xfId="19255"/>
    <cellStyle name="常规 19 3 2 2 4 3 6" xfId="19257"/>
    <cellStyle name="常规 19 3 2 2 4 3 7" xfId="18551"/>
    <cellStyle name="常规 19 3 2 2 4 3 8" xfId="18555"/>
    <cellStyle name="常规 19 3 2 2 4 4" xfId="18541"/>
    <cellStyle name="常规 19 3 2 2 4 4 2" xfId="19259"/>
    <cellStyle name="常规 19 3 2 2 4 4 3" xfId="19260"/>
    <cellStyle name="常规 19 3 2 2 4 4 4" xfId="19261"/>
    <cellStyle name="常规 19 3 2 2 4 4 5" xfId="19262"/>
    <cellStyle name="常规 19 3 2 2 4 4 6" xfId="19263"/>
    <cellStyle name="常规 19 3 2 2 4 4 7" xfId="18570"/>
    <cellStyle name="常规 19 3 2 2 4 4 8" xfId="18573"/>
    <cellStyle name="常规 19 3 2 2 4 5" xfId="18543"/>
    <cellStyle name="常规 19 3 2 2 4 5 2" xfId="17404"/>
    <cellStyle name="常规 19 3 2 2 4 5 3" xfId="17408"/>
    <cellStyle name="常规 19 3 2 2 4 5 4" xfId="19264"/>
    <cellStyle name="常规 19 3 2 2 4 5 5" xfId="11743"/>
    <cellStyle name="常规 19 3 2 2 4 5 6" xfId="11808"/>
    <cellStyle name="常规 19 3 2 2 4 5 7" xfId="11846"/>
    <cellStyle name="常规 19 3 2 2 4 5 8" xfId="11860"/>
    <cellStyle name="常规 19 3 2 2 4 6" xfId="18545"/>
    <cellStyle name="常规 19 3 2 2 4 6 2" xfId="19266"/>
    <cellStyle name="常规 19 3 2 2 4 6 3" xfId="19268"/>
    <cellStyle name="常规 19 3 2 2 4 6 4" xfId="19271"/>
    <cellStyle name="常规 19 3 2 2 4 6 5" xfId="11870"/>
    <cellStyle name="常规 19 3 2 2 4 6 6" xfId="11895"/>
    <cellStyle name="常规 19 3 2 2 4 6 7" xfId="11902"/>
    <cellStyle name="常规 19 3 2 2 4 6 8" xfId="16566"/>
    <cellStyle name="常规 19 3 2 2 4 7" xfId="18547"/>
    <cellStyle name="常规 19 3 2 2 4 7 2" xfId="19274"/>
    <cellStyle name="常规 19 3 2 2 4 7 3" xfId="19276"/>
    <cellStyle name="常规 19 3 2 2 4 7 4" xfId="19278"/>
    <cellStyle name="常规 19 3 2 2 4 7 5" xfId="3330"/>
    <cellStyle name="常规 19 3 2 2 4 7 6" xfId="3342"/>
    <cellStyle name="常规 19 3 2 2 4 7 7" xfId="4446"/>
    <cellStyle name="常规 19 3 2 2 4 7 8" xfId="11918"/>
    <cellStyle name="常规 19 3 2 2 4 8" xfId="19279"/>
    <cellStyle name="常规 19 3 2 2 4 8 2" xfId="9365"/>
    <cellStyle name="常规 19 3 2 2 4 8 3" xfId="19280"/>
    <cellStyle name="常规 19 3 2 2 4 8 4" xfId="19282"/>
    <cellStyle name="常规 19 3 2 2 4 8 5" xfId="8627"/>
    <cellStyle name="常规 19 3 2 2 4 8 6" xfId="11929"/>
    <cellStyle name="常规 19 3 2 2 4 8 7" xfId="11931"/>
    <cellStyle name="常规 19 3 2 2 4 8 8" xfId="19283"/>
    <cellStyle name="常规 19 3 2 2 4 9" xfId="19147"/>
    <cellStyle name="常规 19 3 2 2 4 9 2" xfId="10087"/>
    <cellStyle name="常规 19 3 2 2 4 9 3" xfId="19149"/>
    <cellStyle name="常规 19 3 2 2 4 9 4" xfId="19152"/>
    <cellStyle name="常规 19 3 2 2 4 9 5" xfId="11934"/>
    <cellStyle name="常规 19 3 2 2 4 9 6" xfId="5588"/>
    <cellStyle name="常规 19 3 2 2 4 9 7" xfId="8481"/>
    <cellStyle name="常规 19 3 2 2 4 9 8" xfId="19154"/>
    <cellStyle name="常规 19 3 2 2 5" xfId="15448"/>
    <cellStyle name="常规 19 3 2 2 5 10" xfId="10969"/>
    <cellStyle name="常规 19 3 2 2 5 10 2" xfId="10975"/>
    <cellStyle name="常规 19 3 2 2 5 10 3" xfId="10981"/>
    <cellStyle name="常规 19 3 2 2 5 10 4" xfId="184"/>
    <cellStyle name="常规 19 3 2 2 5 10 5" xfId="1212"/>
    <cellStyle name="常规 19 3 2 2 5 10 6" xfId="19284"/>
    <cellStyle name="常规 19 3 2 2 5 10 7" xfId="2761"/>
    <cellStyle name="常规 19 3 2 2 5 11" xfId="7761"/>
    <cellStyle name="常规 19 3 2 2 5 12" xfId="7784"/>
    <cellStyle name="常规 19 3 2 2 5 13" xfId="11017"/>
    <cellStyle name="常规 19 3 2 2 5 14" xfId="11033"/>
    <cellStyle name="常规 19 3 2 2 5 15" xfId="11040"/>
    <cellStyle name="常规 19 3 2 2 5 16" xfId="19286"/>
    <cellStyle name="常规 19 3 2 2 5 17" xfId="19287"/>
    <cellStyle name="常规 19 3 2 2 5 2" xfId="18554"/>
    <cellStyle name="常规 19 3 2 2 5 2 2" xfId="19290"/>
    <cellStyle name="常规 19 3 2 2 5 2 3" xfId="19292"/>
    <cellStyle name="常规 19 3 2 2 5 2 4" xfId="19294"/>
    <cellStyle name="常规 19 3 2 2 5 2 5" xfId="4310"/>
    <cellStyle name="常规 19 3 2 2 5 2 6" xfId="66"/>
    <cellStyle name="常规 19 3 2 2 5 2 7" xfId="1113"/>
    <cellStyle name="常规 19 3 2 2 5 2 8" xfId="2689"/>
    <cellStyle name="常规 19 3 2 2 5 3" xfId="18558"/>
    <cellStyle name="常规 19 3 2 2 5 3 2" xfId="19296"/>
    <cellStyle name="常规 19 3 2 2 5 3 3" xfId="19297"/>
    <cellStyle name="常规 19 3 2 2 5 3 4" xfId="19298"/>
    <cellStyle name="常规 19 3 2 2 5 3 5" xfId="2422"/>
    <cellStyle name="常规 19 3 2 2 5 3 6" xfId="1130"/>
    <cellStyle name="常规 19 3 2 2 5 3 7" xfId="1138"/>
    <cellStyle name="常规 19 3 2 2 5 3 8" xfId="2377"/>
    <cellStyle name="常规 19 3 2 2 5 4" xfId="18560"/>
    <cellStyle name="常规 19 3 2 2 5 4 2" xfId="19300"/>
    <cellStyle name="常规 19 3 2 2 5 4 3" xfId="19301"/>
    <cellStyle name="常规 19 3 2 2 5 4 4" xfId="19302"/>
    <cellStyle name="常规 19 3 2 2 5 4 5" xfId="2537"/>
    <cellStyle name="常规 19 3 2 2 5 4 6" xfId="117"/>
    <cellStyle name="常规 19 3 2 2 5 4 7" xfId="3009"/>
    <cellStyle name="常规 19 3 2 2 5 4 8" xfId="19305"/>
    <cellStyle name="常规 19 3 2 2 5 5" xfId="18562"/>
    <cellStyle name="常规 19 3 2 2 5 5 2" xfId="19307"/>
    <cellStyle name="常规 19 3 2 2 5 5 3" xfId="19309"/>
    <cellStyle name="常规 19 3 2 2 5 5 4" xfId="19311"/>
    <cellStyle name="常规 19 3 2 2 5 5 5" xfId="2611"/>
    <cellStyle name="常规 19 3 2 2 5 5 6" xfId="2921"/>
    <cellStyle name="常规 19 3 2 2 5 5 7" xfId="2928"/>
    <cellStyle name="常规 19 3 2 2 5 5 8" xfId="11964"/>
    <cellStyle name="常规 19 3 2 2 5 6" xfId="18564"/>
    <cellStyle name="常规 19 3 2 2 5 6 2" xfId="19313"/>
    <cellStyle name="常规 19 3 2 2 5 6 3" xfId="19315"/>
    <cellStyle name="常规 19 3 2 2 5 6 4" xfId="19317"/>
    <cellStyle name="常规 19 3 2 2 5 6 5" xfId="3368"/>
    <cellStyle name="常规 19 3 2 2 5 6 6" xfId="3392"/>
    <cellStyle name="常规 19 3 2 2 5 6 7" xfId="11971"/>
    <cellStyle name="常规 19 3 2 2 5 6 8" xfId="19319"/>
    <cellStyle name="常规 19 3 2 2 5 7" xfId="18566"/>
    <cellStyle name="常规 19 3 2 2 5 7 2" xfId="19320"/>
    <cellStyle name="常规 19 3 2 2 5 7 3" xfId="19323"/>
    <cellStyle name="常规 19 3 2 2 5 7 4" xfId="19326"/>
    <cellStyle name="常规 19 3 2 2 5 7 5" xfId="3416"/>
    <cellStyle name="常规 19 3 2 2 5 7 6" xfId="11974"/>
    <cellStyle name="常规 19 3 2 2 5 7 7" xfId="19328"/>
    <cellStyle name="常规 19 3 2 2 5 7 8" xfId="19330"/>
    <cellStyle name="常规 19 3 2 2 5 8" xfId="19331"/>
    <cellStyle name="常规 19 3 2 2 5 8 2" xfId="19333"/>
    <cellStyle name="常规 19 3 2 2 5 8 3" xfId="19335"/>
    <cellStyle name="常规 19 3 2 2 5 8 4" xfId="19337"/>
    <cellStyle name="常规 19 3 2 2 5 8 5" xfId="11977"/>
    <cellStyle name="常规 19 3 2 2 5 8 6" xfId="11979"/>
    <cellStyle name="常规 19 3 2 2 5 8 7" xfId="19338"/>
    <cellStyle name="常规 19 3 2 2 5 8 8" xfId="19339"/>
    <cellStyle name="常规 19 3 2 2 5 9" xfId="19340"/>
    <cellStyle name="常规 19 3 2 2 5 9 2" xfId="12176"/>
    <cellStyle name="常规 19 3 2 2 5 9 3" xfId="19342"/>
    <cellStyle name="常规 19 3 2 2 5 9 4" xfId="19344"/>
    <cellStyle name="常规 19 3 2 2 5 9 5" xfId="19346"/>
    <cellStyle name="常规 19 3 2 2 5 9 6" xfId="19348"/>
    <cellStyle name="常规 19 3 2 2 5 9 7" xfId="19349"/>
    <cellStyle name="常规 19 3 2 2 5 9 8" xfId="19350"/>
    <cellStyle name="常规 19 3 2 2 6" xfId="15450"/>
    <cellStyle name="常规 19 3 2 2 6 2" xfId="18572"/>
    <cellStyle name="常规 19 3 2 2 6 3" xfId="18575"/>
    <cellStyle name="常规 19 3 2 2 6 4" xfId="18577"/>
    <cellStyle name="常规 19 3 2 2 6 5" xfId="18579"/>
    <cellStyle name="常规 19 3 2 2 6 6" xfId="18581"/>
    <cellStyle name="常规 19 3 2 2 6 7" xfId="18583"/>
    <cellStyle name="常规 19 3 2 2 6 8" xfId="19351"/>
    <cellStyle name="常规 19 3 2 2 7" xfId="15452"/>
    <cellStyle name="常规 19 3 2 2 7 2" xfId="11861"/>
    <cellStyle name="常规 19 3 2 2 7 3" xfId="11865"/>
    <cellStyle name="常规 19 3 2 2 7 4" xfId="18588"/>
    <cellStyle name="常规 19 3 2 2 7 5" xfId="18590"/>
    <cellStyle name="常规 19 3 2 2 7 6" xfId="18592"/>
    <cellStyle name="常规 19 3 2 2 7 7" xfId="19353"/>
    <cellStyle name="常规 19 3 2 2 7 8" xfId="19356"/>
    <cellStyle name="常规 19 3 2 2 8" xfId="1242"/>
    <cellStyle name="常规 19 3 2 2 8 2" xfId="16565"/>
    <cellStyle name="常规 19 3 2 2 8 3" xfId="16568"/>
    <cellStyle name="常规 19 3 2 2 8 4" xfId="16570"/>
    <cellStyle name="常规 19 3 2 2 8 5" xfId="19358"/>
    <cellStyle name="常规 19 3 2 2 8 6" xfId="19359"/>
    <cellStyle name="常规 19 3 2 2 8 7" xfId="19360"/>
    <cellStyle name="常规 19 3 2 2 8 8" xfId="19362"/>
    <cellStyle name="常规 19 3 2 2 9" xfId="2772"/>
    <cellStyle name="常规 19 3 2 2 9 2" xfId="11919"/>
    <cellStyle name="常规 19 3 2 2 9 3" xfId="19364"/>
    <cellStyle name="常规 19 3 2 2 9 4" xfId="19365"/>
    <cellStyle name="常规 19 3 2 2 9 5" xfId="19366"/>
    <cellStyle name="常规 19 3 2 2 9 6" xfId="19367"/>
    <cellStyle name="常规 19 3 2 2 9 7" xfId="17981"/>
    <cellStyle name="常规 19 3 2 2 9 8" xfId="17985"/>
    <cellStyle name="常规 19 3 2 20" xfId="18490"/>
    <cellStyle name="常规 19 3 2 21" xfId="18501"/>
    <cellStyle name="常规 19 3 2 22" xfId="18507"/>
    <cellStyle name="常规 19 3 2 23" xfId="18513"/>
    <cellStyle name="常规 19 3 2 3" xfId="19368"/>
    <cellStyle name="常规 19 3 2 3 10" xfId="19370"/>
    <cellStyle name="常规 19 3 2 3 10 2" xfId="17280"/>
    <cellStyle name="常规 19 3 2 3 10 3" xfId="17283"/>
    <cellStyle name="常规 19 3 2 3 10 4" xfId="17286"/>
    <cellStyle name="常规 19 3 2 3 10 5" xfId="7497"/>
    <cellStyle name="常规 19 3 2 3 10 6" xfId="7504"/>
    <cellStyle name="常规 19 3 2 3 10 7" xfId="17289"/>
    <cellStyle name="常规 19 3 2 3 10 8" xfId="19372"/>
    <cellStyle name="常规 19 3 2 3 11" xfId="9462"/>
    <cellStyle name="常规 19 3 2 3 11 2" xfId="19375"/>
    <cellStyle name="常规 19 3 2 3 11 3" xfId="19376"/>
    <cellStyle name="常规 19 3 2 3 11 4" xfId="19377"/>
    <cellStyle name="常规 19 3 2 3 11 5" xfId="19379"/>
    <cellStyle name="常规 19 3 2 3 11 6" xfId="19380"/>
    <cellStyle name="常规 19 3 2 3 11 7" xfId="19382"/>
    <cellStyle name="常规 19 3 2 3 11 8" xfId="19384"/>
    <cellStyle name="常规 19 3 2 3 12" xfId="9464"/>
    <cellStyle name="常规 19 3 2 3 12 2" xfId="19386"/>
    <cellStyle name="常规 19 3 2 3 12 3" xfId="19387"/>
    <cellStyle name="常规 19 3 2 3 12 4" xfId="19388"/>
    <cellStyle name="常规 19 3 2 3 12 5" xfId="19389"/>
    <cellStyle name="常规 19 3 2 3 12 6" xfId="19390"/>
    <cellStyle name="常规 19 3 2 3 12 7" xfId="19392"/>
    <cellStyle name="常规 19 3 2 3 12 8" xfId="19394"/>
    <cellStyle name="常规 19 3 2 3 13" xfId="17686"/>
    <cellStyle name="常规 19 3 2 3 13 2" xfId="19396"/>
    <cellStyle name="常规 19 3 2 3 13 3" xfId="19397"/>
    <cellStyle name="常规 19 3 2 3 13 4" xfId="19398"/>
    <cellStyle name="常规 19 3 2 3 13 5" xfId="19399"/>
    <cellStyle name="常规 19 3 2 3 13 6" xfId="19400"/>
    <cellStyle name="常规 19 3 2 3 13 7" xfId="19402"/>
    <cellStyle name="常规 19 3 2 3 14" xfId="17689"/>
    <cellStyle name="常规 19 3 2 3 15" xfId="17694"/>
    <cellStyle name="常规 19 3 2 3 16" xfId="17698"/>
    <cellStyle name="常规 19 3 2 3 17" xfId="17703"/>
    <cellStyle name="常规 19 3 2 3 18" xfId="8886"/>
    <cellStyle name="常规 19 3 2 3 19" xfId="8892"/>
    <cellStyle name="常规 19 3 2 3 2" xfId="19404"/>
    <cellStyle name="常规 19 3 2 3 2 10" xfId="10815"/>
    <cellStyle name="常规 19 3 2 3 2 10 2" xfId="18088"/>
    <cellStyle name="常规 19 3 2 3 2 10 3" xfId="18093"/>
    <cellStyle name="常规 19 3 2 3 2 10 4" xfId="19406"/>
    <cellStyle name="常规 19 3 2 3 2 10 5" xfId="7549"/>
    <cellStyle name="常规 19 3 2 3 2 10 6" xfId="7553"/>
    <cellStyle name="常规 19 3 2 3 2 10 7" xfId="19407"/>
    <cellStyle name="常规 19 3 2 3 2 10 8" xfId="19408"/>
    <cellStyle name="常规 19 3 2 3 2 11" xfId="19410"/>
    <cellStyle name="常规 19 3 2 3 2 11 2" xfId="18108"/>
    <cellStyle name="常规 19 3 2 3 2 11 3" xfId="18114"/>
    <cellStyle name="常规 19 3 2 3 2 11 4" xfId="19411"/>
    <cellStyle name="常规 19 3 2 3 2 11 5" xfId="8182"/>
    <cellStyle name="常规 19 3 2 3 2 11 6" xfId="8190"/>
    <cellStyle name="常规 19 3 2 3 2 11 7" xfId="19413"/>
    <cellStyle name="常规 19 3 2 3 2 11 8" xfId="19414"/>
    <cellStyle name="常规 19 3 2 3 2 12" xfId="19416"/>
    <cellStyle name="常规 19 3 2 3 2 12 2" xfId="18126"/>
    <cellStyle name="常规 19 3 2 3 2 12 3" xfId="19417"/>
    <cellStyle name="常规 19 3 2 3 2 12 4" xfId="19419"/>
    <cellStyle name="常规 19 3 2 3 2 12 5" xfId="8201"/>
    <cellStyle name="常规 19 3 2 3 2 12 6" xfId="8207"/>
    <cellStyle name="常规 19 3 2 3 2 12 7" xfId="19420"/>
    <cellStyle name="常规 19 3 2 3 2 13" xfId="19423"/>
    <cellStyle name="常规 19 3 2 3 2 14" xfId="8274"/>
    <cellStyle name="常规 19 3 2 3 2 15" xfId="1487"/>
    <cellStyle name="常规 19 3 2 3 2 16" xfId="19426"/>
    <cellStyle name="常规 19 3 2 3 2 17" xfId="19428"/>
    <cellStyle name="常规 19 3 2 3 2 18" xfId="19430"/>
    <cellStyle name="常规 19 3 2 3 2 19" xfId="19431"/>
    <cellStyle name="常规 19 3 2 3 2 2" xfId="4030"/>
    <cellStyle name="常规 19 3 2 3 2 2 10" xfId="18146"/>
    <cellStyle name="常规 19 3 2 3 2 2 10 2" xfId="5577"/>
    <cellStyle name="常规 19 3 2 3 2 2 10 3" xfId="15434"/>
    <cellStyle name="常规 19 3 2 3 2 2 10 4" xfId="9598"/>
    <cellStyle name="常规 19 3 2 3 2 2 10 5" xfId="9605"/>
    <cellStyle name="常规 19 3 2 3 2 2 10 6" xfId="15437"/>
    <cellStyle name="常规 19 3 2 3 2 2 10 7" xfId="15441"/>
    <cellStyle name="常规 19 3 2 3 2 2 11" xfId="18149"/>
    <cellStyle name="常规 19 3 2 3 2 2 12" xfId="18153"/>
    <cellStyle name="常规 19 3 2 3 2 2 13" xfId="19432"/>
    <cellStyle name="常规 19 3 2 3 2 2 14" xfId="19434"/>
    <cellStyle name="常规 19 3 2 3 2 2 15" xfId="19436"/>
    <cellStyle name="常规 19 3 2 3 2 2 16" xfId="19438"/>
    <cellStyle name="常规 19 3 2 3 2 2 17" xfId="19439"/>
    <cellStyle name="常规 19 3 2 3 2 2 2" xfId="4033"/>
    <cellStyle name="常规 19 3 2 3 2 2 2 2" xfId="4041"/>
    <cellStyle name="常规 19 3 2 3 2 2 2 3" xfId="4048"/>
    <cellStyle name="常规 19 3 2 3 2 2 2 4" xfId="4911"/>
    <cellStyle name="常规 19 3 2 3 2 2 2 5" xfId="4328"/>
    <cellStyle name="常规 19 3 2 3 2 2 2 6" xfId="4339"/>
    <cellStyle name="常规 19 3 2 3 2 2 2 7" xfId="5607"/>
    <cellStyle name="常规 19 3 2 3 2 2 2 8" xfId="13561"/>
    <cellStyle name="常规 19 3 2 3 2 2 3" xfId="1865"/>
    <cellStyle name="常规 19 3 2 3 2 2 3 2" xfId="13567"/>
    <cellStyle name="常规 19 3 2 3 2 2 3 3" xfId="13572"/>
    <cellStyle name="常规 19 3 2 3 2 2 3 4" xfId="13577"/>
    <cellStyle name="常规 19 3 2 3 2 2 3 5" xfId="13582"/>
    <cellStyle name="常规 19 3 2 3 2 2 3 6" xfId="13587"/>
    <cellStyle name="常规 19 3 2 3 2 2 3 7" xfId="13592"/>
    <cellStyle name="常规 19 3 2 3 2 2 3 8" xfId="13598"/>
    <cellStyle name="常规 19 3 2 3 2 2 4" xfId="13602"/>
    <cellStyle name="常规 19 3 2 3 2 2 4 2" xfId="13611"/>
    <cellStyle name="常规 19 3 2 3 2 2 4 3" xfId="13617"/>
    <cellStyle name="常规 19 3 2 3 2 2 4 4" xfId="13622"/>
    <cellStyle name="常规 19 3 2 3 2 2 4 5" xfId="13627"/>
    <cellStyle name="常规 19 3 2 3 2 2 4 6" xfId="13632"/>
    <cellStyle name="常规 19 3 2 3 2 2 4 7" xfId="13636"/>
    <cellStyle name="常规 19 3 2 3 2 2 4 8" xfId="13640"/>
    <cellStyle name="常规 19 3 2 3 2 2 5" xfId="13644"/>
    <cellStyle name="常规 19 3 2 3 2 2 5 2" xfId="13653"/>
    <cellStyle name="常规 19 3 2 3 2 2 5 3" xfId="13658"/>
    <cellStyle name="常规 19 3 2 3 2 2 5 4" xfId="9345"/>
    <cellStyle name="常规 19 3 2 3 2 2 5 5" xfId="9353"/>
    <cellStyle name="常规 19 3 2 3 2 2 5 6" xfId="13663"/>
    <cellStyle name="常规 19 3 2 3 2 2 5 7" xfId="13667"/>
    <cellStyle name="常规 19 3 2 3 2 2 5 8" xfId="11277"/>
    <cellStyle name="常规 19 3 2 3 2 2 6" xfId="13671"/>
    <cellStyle name="常规 19 3 2 3 2 2 6 2" xfId="13680"/>
    <cellStyle name="常规 19 3 2 3 2 2 6 3" xfId="13685"/>
    <cellStyle name="常规 19 3 2 3 2 2 6 4" xfId="13690"/>
    <cellStyle name="常规 19 3 2 3 2 2 6 5" xfId="13695"/>
    <cellStyle name="常规 19 3 2 3 2 2 6 6" xfId="13700"/>
    <cellStyle name="常规 19 3 2 3 2 2 6 7" xfId="11530"/>
    <cellStyle name="常规 19 3 2 3 2 2 6 8" xfId="11535"/>
    <cellStyle name="常规 19 3 2 3 2 2 7" xfId="13704"/>
    <cellStyle name="常规 19 3 2 3 2 2 7 2" xfId="13714"/>
    <cellStyle name="常规 19 3 2 3 2 2 7 3" xfId="5318"/>
    <cellStyle name="常规 19 3 2 3 2 2 7 4" xfId="5354"/>
    <cellStyle name="常规 19 3 2 3 2 2 7 5" xfId="5369"/>
    <cellStyle name="常规 19 3 2 3 2 2 7 6" xfId="6399"/>
    <cellStyle name="常规 19 3 2 3 2 2 7 7" xfId="7017"/>
    <cellStyle name="常规 19 3 2 3 2 2 7 8" xfId="7032"/>
    <cellStyle name="常规 19 3 2 3 2 2 8" xfId="14028"/>
    <cellStyle name="常规 19 3 2 3 2 2 8 2" xfId="18158"/>
    <cellStyle name="常规 19 3 2 3 2 2 8 3" xfId="18163"/>
    <cellStyle name="常规 19 3 2 3 2 2 8 4" xfId="18168"/>
    <cellStyle name="常规 19 3 2 3 2 2 8 5" xfId="18172"/>
    <cellStyle name="常规 19 3 2 3 2 2 8 6" xfId="18176"/>
    <cellStyle name="常规 19 3 2 3 2 2 8 7" xfId="18180"/>
    <cellStyle name="常规 19 3 2 3 2 2 8 8" xfId="18183"/>
    <cellStyle name="常规 19 3 2 3 2 2 9" xfId="14035"/>
    <cellStyle name="常规 19 3 2 3 2 2 9 2" xfId="19440"/>
    <cellStyle name="常规 19 3 2 3 2 2 9 3" xfId="19441"/>
    <cellStyle name="常规 19 3 2 3 2 2 9 4" xfId="19442"/>
    <cellStyle name="常规 19 3 2 3 2 2 9 5" xfId="19443"/>
    <cellStyle name="常规 19 3 2 3 2 2 9 6" xfId="19444"/>
    <cellStyle name="常规 19 3 2 3 2 2 9 7" xfId="19445"/>
    <cellStyle name="常规 19 3 2 3 2 2 9 8" xfId="19446"/>
    <cellStyle name="常规 19 3 2 3 2 3" xfId="311"/>
    <cellStyle name="常规 19 3 2 3 2 3 2" xfId="508"/>
    <cellStyle name="常规 19 3 2 3 2 3 3" xfId="3160"/>
    <cellStyle name="常规 19 3 2 3 2 3 4" xfId="4281"/>
    <cellStyle name="常规 19 3 2 3 2 3 5" xfId="4069"/>
    <cellStyle name="常规 19 3 2 3 2 3 6" xfId="4084"/>
    <cellStyle name="常规 19 3 2 3 2 3 7" xfId="2936"/>
    <cellStyle name="常规 19 3 2 3 2 3 8" xfId="14042"/>
    <cellStyle name="常规 19 3 2 3 2 4" xfId="3171"/>
    <cellStyle name="常规 19 3 2 3 2 4 2" xfId="13822"/>
    <cellStyle name="常规 19 3 2 3 2 4 3" xfId="13826"/>
    <cellStyle name="常规 19 3 2 3 2 4 4" xfId="13830"/>
    <cellStyle name="常规 19 3 2 3 2 4 5" xfId="13837"/>
    <cellStyle name="常规 19 3 2 3 2 4 6" xfId="8581"/>
    <cellStyle name="常规 19 3 2 3 2 4 7" xfId="8601"/>
    <cellStyle name="常规 19 3 2 3 2 4 8" xfId="8639"/>
    <cellStyle name="常规 19 3 2 3 2 5" xfId="519"/>
    <cellStyle name="常规 19 3 2 3 2 5 2" xfId="13848"/>
    <cellStyle name="常规 19 3 2 3 2 5 3" xfId="13853"/>
    <cellStyle name="常规 19 3 2 3 2 5 4" xfId="13858"/>
    <cellStyle name="常规 19 3 2 3 2 5 5" xfId="13865"/>
    <cellStyle name="常规 19 3 2 3 2 5 6" xfId="10389"/>
    <cellStyle name="常规 19 3 2 3 2 5 7" xfId="10397"/>
    <cellStyle name="常规 19 3 2 3 2 5 8" xfId="14056"/>
    <cellStyle name="常规 19 3 2 3 2 6" xfId="19447"/>
    <cellStyle name="常规 19 3 2 3 2 6 2" xfId="13879"/>
    <cellStyle name="常规 19 3 2 3 2 6 3" xfId="13885"/>
    <cellStyle name="常规 19 3 2 3 2 6 4" xfId="6944"/>
    <cellStyle name="常规 19 3 2 3 2 6 5" xfId="6953"/>
    <cellStyle name="常规 19 3 2 3 2 6 6" xfId="10405"/>
    <cellStyle name="常规 19 3 2 3 2 6 7" xfId="10413"/>
    <cellStyle name="常规 19 3 2 3 2 6 8" xfId="14067"/>
    <cellStyle name="常规 19 3 2 3 2 7" xfId="19449"/>
    <cellStyle name="常规 19 3 2 3 2 7 2" xfId="13897"/>
    <cellStyle name="常规 19 3 2 3 2 7 3" xfId="13903"/>
    <cellStyle name="常规 19 3 2 3 2 7 4" xfId="13907"/>
    <cellStyle name="常规 19 3 2 3 2 7 5" xfId="13914"/>
    <cellStyle name="常规 19 3 2 3 2 7 6" xfId="13381"/>
    <cellStyle name="常规 19 3 2 3 2 7 7" xfId="13395"/>
    <cellStyle name="常规 19 3 2 3 2 7 8" xfId="935"/>
    <cellStyle name="常规 19 3 2 3 2 8" xfId="19451"/>
    <cellStyle name="常规 19 3 2 3 2 8 2" xfId="13928"/>
    <cellStyle name="常规 19 3 2 3 2 8 3" xfId="13933"/>
    <cellStyle name="常规 19 3 2 3 2 8 4" xfId="13937"/>
    <cellStyle name="常规 19 3 2 3 2 8 5" xfId="5976"/>
    <cellStyle name="常规 19 3 2 3 2 8 6" xfId="5988"/>
    <cellStyle name="常规 19 3 2 3 2 8 7" xfId="6506"/>
    <cellStyle name="常规 19 3 2 3 2 8 8" xfId="1111"/>
    <cellStyle name="常规 19 3 2 3 2 9" xfId="19454"/>
    <cellStyle name="常规 19 3 2 3 2 9 2" xfId="13950"/>
    <cellStyle name="常规 19 3 2 3 2 9 3" xfId="13954"/>
    <cellStyle name="常规 19 3 2 3 2 9 4" xfId="13958"/>
    <cellStyle name="常规 19 3 2 3 2 9 5" xfId="5997"/>
    <cellStyle name="常规 19 3 2 3 2 9 6" xfId="6004"/>
    <cellStyle name="常规 19 3 2 3 2 9 7" xfId="18202"/>
    <cellStyle name="常规 19 3 2 3 2 9 8" xfId="18279"/>
    <cellStyle name="常规 19 3 2 3 20" xfId="17693"/>
    <cellStyle name="常规 19 3 2 3 3" xfId="19457"/>
    <cellStyle name="常规 19 3 2 3 3 10" xfId="19459"/>
    <cellStyle name="常规 19 3 2 3 3 10 2" xfId="18211"/>
    <cellStyle name="常规 19 3 2 3 3 10 3" xfId="18215"/>
    <cellStyle name="常规 19 3 2 3 3 10 4" xfId="19460"/>
    <cellStyle name="常规 19 3 2 3 3 10 5" xfId="19463"/>
    <cellStyle name="常规 19 3 2 3 3 10 6" xfId="19466"/>
    <cellStyle name="常规 19 3 2 3 3 10 7" xfId="19469"/>
    <cellStyle name="常规 19 3 2 3 3 11" xfId="19473"/>
    <cellStyle name="常规 19 3 2 3 3 12" xfId="19476"/>
    <cellStyle name="常规 19 3 2 3 3 13" xfId="19479"/>
    <cellStyle name="常规 19 3 2 3 3 14" xfId="19481"/>
    <cellStyle name="常规 19 3 2 3 3 15" xfId="19484"/>
    <cellStyle name="常规 19 3 2 3 3 16" xfId="19487"/>
    <cellStyle name="常规 19 3 2 3 3 17" xfId="9303"/>
    <cellStyle name="常规 19 3 2 3 3 2" xfId="4264"/>
    <cellStyle name="常规 19 3 2 3 3 2 2" xfId="4273"/>
    <cellStyle name="常规 19 3 2 3 3 2 3" xfId="4290"/>
    <cellStyle name="常规 19 3 2 3 3 2 4" xfId="12998"/>
    <cellStyle name="常规 19 3 2 3 3 2 5" xfId="6655"/>
    <cellStyle name="常规 19 3 2 3 3 2 6" xfId="6666"/>
    <cellStyle name="常规 19 3 2 3 3 2 7" xfId="14072"/>
    <cellStyle name="常规 19 3 2 3 3 2 8" xfId="18276"/>
    <cellStyle name="常规 19 3 2 3 3 3" xfId="587"/>
    <cellStyle name="常规 19 3 2 3 3 3 2" xfId="4297"/>
    <cellStyle name="常规 19 3 2 3 3 3 3" xfId="2949"/>
    <cellStyle name="常规 19 3 2 3 3 3 4" xfId="14083"/>
    <cellStyle name="常规 19 3 2 3 3 3 5" xfId="6960"/>
    <cellStyle name="常规 19 3 2 3 3 3 6" xfId="6966"/>
    <cellStyle name="常规 19 3 2 3 3 3 7" xfId="18287"/>
    <cellStyle name="常规 19 3 2 3 3 3 8" xfId="19488"/>
    <cellStyle name="常规 19 3 2 3 3 4" xfId="1591"/>
    <cellStyle name="常规 19 3 2 3 3 4 2" xfId="14095"/>
    <cellStyle name="常规 19 3 2 3 3 4 3" xfId="14100"/>
    <cellStyle name="常规 19 3 2 3 3 4 4" xfId="14105"/>
    <cellStyle name="常规 19 3 2 3 3 4 5" xfId="7341"/>
    <cellStyle name="常规 19 3 2 3 3 4 6" xfId="7350"/>
    <cellStyle name="常规 19 3 2 3 3 4 7" xfId="18295"/>
    <cellStyle name="常规 19 3 2 3 3 4 8" xfId="19489"/>
    <cellStyle name="常规 19 3 2 3 3 5" xfId="19011"/>
    <cellStyle name="常规 19 3 2 3 3 5 2" xfId="14117"/>
    <cellStyle name="常规 19 3 2 3 3 5 3" xfId="14124"/>
    <cellStyle name="常规 19 3 2 3 3 5 4" xfId="14131"/>
    <cellStyle name="常规 19 3 2 3 3 5 5" xfId="14136"/>
    <cellStyle name="常规 19 3 2 3 3 5 6" xfId="10423"/>
    <cellStyle name="常规 19 3 2 3 3 5 7" xfId="18305"/>
    <cellStyle name="常规 19 3 2 3 3 5 8" xfId="19490"/>
    <cellStyle name="常规 19 3 2 3 3 6" xfId="19014"/>
    <cellStyle name="常规 19 3 2 3 3 6 2" xfId="14147"/>
    <cellStyle name="常规 19 3 2 3 3 6 3" xfId="14153"/>
    <cellStyle name="常规 19 3 2 3 3 6 4" xfId="14158"/>
    <cellStyle name="常规 19 3 2 3 3 6 5" xfId="14163"/>
    <cellStyle name="常规 19 3 2 3 3 6 6" xfId="14168"/>
    <cellStyle name="常规 19 3 2 3 3 6 7" xfId="18314"/>
    <cellStyle name="常规 19 3 2 3 3 6 8" xfId="19492"/>
    <cellStyle name="常规 19 3 2 3 3 7" xfId="19017"/>
    <cellStyle name="常规 19 3 2 3 3 7 2" xfId="14178"/>
    <cellStyle name="常规 19 3 2 3 3 7 3" xfId="14184"/>
    <cellStyle name="常规 19 3 2 3 3 7 4" xfId="14188"/>
    <cellStyle name="常规 19 3 2 3 3 7 5" xfId="14192"/>
    <cellStyle name="常规 19 3 2 3 3 7 6" xfId="14196"/>
    <cellStyle name="常规 19 3 2 3 3 7 7" xfId="18321"/>
    <cellStyle name="常规 19 3 2 3 3 7 8" xfId="19494"/>
    <cellStyle name="常规 19 3 2 3 3 8" xfId="19020"/>
    <cellStyle name="常规 19 3 2 3 3 8 2" xfId="14202"/>
    <cellStyle name="常规 19 3 2 3 3 8 3" xfId="14208"/>
    <cellStyle name="常规 19 3 2 3 3 8 4" xfId="14213"/>
    <cellStyle name="常规 19 3 2 3 3 8 5" xfId="3541"/>
    <cellStyle name="常规 19 3 2 3 3 8 6" xfId="3557"/>
    <cellStyle name="常规 19 3 2 3 3 8 7" xfId="18329"/>
    <cellStyle name="常规 19 3 2 3 3 8 8" xfId="19496"/>
    <cellStyle name="常规 19 3 2 3 3 9" xfId="19023"/>
    <cellStyle name="常规 19 3 2 3 3 9 2" xfId="14228"/>
    <cellStyle name="常规 19 3 2 3 3 9 3" xfId="14235"/>
    <cellStyle name="常规 19 3 2 3 3 9 4" xfId="14241"/>
    <cellStyle name="常规 19 3 2 3 3 9 5" xfId="4637"/>
    <cellStyle name="常规 19 3 2 3 3 9 6" xfId="4612"/>
    <cellStyle name="常规 19 3 2 3 3 9 7" xfId="11748"/>
    <cellStyle name="常规 19 3 2 3 3 9 8" xfId="19497"/>
    <cellStyle name="常规 19 3 2 3 4" xfId="19499"/>
    <cellStyle name="常规 19 3 2 3 4 2" xfId="2690"/>
    <cellStyle name="常规 19 3 2 3 4 3" xfId="2729"/>
    <cellStyle name="常规 19 3 2 3 4 4" xfId="3728"/>
    <cellStyle name="常规 19 3 2 3 4 5" xfId="19031"/>
    <cellStyle name="常规 19 3 2 3 4 6" xfId="19033"/>
    <cellStyle name="常规 19 3 2 3 4 7" xfId="19036"/>
    <cellStyle name="常规 19 3 2 3 4 8" xfId="19039"/>
    <cellStyle name="常规 19 3 2 3 5" xfId="15460"/>
    <cellStyle name="常规 19 3 2 3 5 2" xfId="2378"/>
    <cellStyle name="常规 19 3 2 3 5 3" xfId="19501"/>
    <cellStyle name="常规 19 3 2 3 5 4" xfId="19503"/>
    <cellStyle name="常规 19 3 2 3 5 5" xfId="19046"/>
    <cellStyle name="常规 19 3 2 3 5 6" xfId="19049"/>
    <cellStyle name="常规 19 3 2 3 5 7" xfId="19052"/>
    <cellStyle name="常规 19 3 2 3 5 8" xfId="19056"/>
    <cellStyle name="常规 19 3 2 3 6" xfId="15464"/>
    <cellStyle name="常规 19 3 2 3 6 2" xfId="19304"/>
    <cellStyle name="常规 19 3 2 3 6 3" xfId="19505"/>
    <cellStyle name="常规 19 3 2 3 6 4" xfId="19507"/>
    <cellStyle name="常规 19 3 2 3 6 5" xfId="19064"/>
    <cellStyle name="常规 19 3 2 3 6 6" xfId="19066"/>
    <cellStyle name="常规 19 3 2 3 6 7" xfId="19069"/>
    <cellStyle name="常规 19 3 2 3 6 8" xfId="8311"/>
    <cellStyle name="常规 19 3 2 3 7" xfId="15469"/>
    <cellStyle name="常规 19 3 2 3 7 2" xfId="11965"/>
    <cellStyle name="常规 19 3 2 3 7 3" xfId="19508"/>
    <cellStyle name="常规 19 3 2 3 7 4" xfId="19510"/>
    <cellStyle name="常规 19 3 2 3 7 5" xfId="19073"/>
    <cellStyle name="常规 19 3 2 3 7 6" xfId="19075"/>
    <cellStyle name="常规 19 3 2 3 7 7" xfId="19077"/>
    <cellStyle name="常规 19 3 2 3 7 8" xfId="8346"/>
    <cellStyle name="常规 19 3 2 3 8" xfId="15473"/>
    <cellStyle name="常规 19 3 2 3 8 2" xfId="19318"/>
    <cellStyle name="常规 19 3 2 3 8 3" xfId="19511"/>
    <cellStyle name="常规 19 3 2 3 8 4" xfId="19512"/>
    <cellStyle name="常规 19 3 2 3 8 5" xfId="19080"/>
    <cellStyle name="常规 19 3 2 3 8 6" xfId="19082"/>
    <cellStyle name="常规 19 3 2 3 8 7" xfId="19085"/>
    <cellStyle name="常规 19 3 2 3 8 8" xfId="8354"/>
    <cellStyle name="常规 19 3 2 3 9" xfId="15476"/>
    <cellStyle name="常规 19 3 2 3 9 2" xfId="19329"/>
    <cellStyle name="常规 19 3 2 3 9 3" xfId="19513"/>
    <cellStyle name="常规 19 3 2 3 9 4" xfId="19514"/>
    <cellStyle name="常规 19 3 2 3 9 5" xfId="19089"/>
    <cellStyle name="常规 19 3 2 3 9 6" xfId="19091"/>
    <cellStyle name="常规 19 3 2 3 9 7" xfId="19093"/>
    <cellStyle name="常规 19 3 2 3 9 8" xfId="19096"/>
    <cellStyle name="常规 19 3 2 4" xfId="19515"/>
    <cellStyle name="常规 19 3 2 4 10" xfId="19517"/>
    <cellStyle name="常规 19 3 2 4 10 2" xfId="7971"/>
    <cellStyle name="常规 19 3 2 4 10 3" xfId="19519"/>
    <cellStyle name="常规 19 3 2 4 10 4" xfId="19521"/>
    <cellStyle name="常规 19 3 2 4 10 5" xfId="19522"/>
    <cellStyle name="常规 19 3 2 4 10 6" xfId="19523"/>
    <cellStyle name="常规 19 3 2 4 10 7" xfId="19524"/>
    <cellStyle name="常规 19 3 2 4 10 8" xfId="19525"/>
    <cellStyle name="常规 19 3 2 4 11" xfId="19526"/>
    <cellStyle name="常规 19 3 2 4 11 2" xfId="7900"/>
    <cellStyle name="常规 19 3 2 4 11 3" xfId="19529"/>
    <cellStyle name="常规 19 3 2 4 11 4" xfId="19530"/>
    <cellStyle name="常规 19 3 2 4 11 5" xfId="19531"/>
    <cellStyle name="常规 19 3 2 4 11 6" xfId="19532"/>
    <cellStyle name="常规 19 3 2 4 11 7" xfId="19533"/>
    <cellStyle name="常规 19 3 2 4 11 8" xfId="19534"/>
    <cellStyle name="常规 19 3 2 4 12" xfId="19535"/>
    <cellStyle name="常规 19 3 2 4 12 2" xfId="11821"/>
    <cellStyle name="常规 19 3 2 4 12 3" xfId="11828"/>
    <cellStyle name="常规 19 3 2 4 12 4" xfId="19538"/>
    <cellStyle name="常规 19 3 2 4 12 5" xfId="19540"/>
    <cellStyle name="常规 19 3 2 4 12 6" xfId="19542"/>
    <cellStyle name="常规 19 3 2 4 12 7" xfId="19544"/>
    <cellStyle name="常规 19 3 2 4 13" xfId="19546"/>
    <cellStyle name="常规 19 3 2 4 14" xfId="19548"/>
    <cellStyle name="常规 19 3 2 4 15" xfId="19550"/>
    <cellStyle name="常规 19 3 2 4 16" xfId="10841"/>
    <cellStyle name="常规 19 3 2 4 17" xfId="10844"/>
    <cellStyle name="常规 19 3 2 4 18" xfId="5052"/>
    <cellStyle name="常规 19 3 2 4 19" xfId="19553"/>
    <cellStyle name="常规 19 3 2 4 2" xfId="19554"/>
    <cellStyle name="常规 19 3 2 4 2 10" xfId="19556"/>
    <cellStyle name="常规 19 3 2 4 2 10 2" xfId="19561"/>
    <cellStyle name="常规 19 3 2 4 2 10 3" xfId="19564"/>
    <cellStyle name="常规 19 3 2 4 2 10 4" xfId="19565"/>
    <cellStyle name="常规 19 3 2 4 2 10 5" xfId="14671"/>
    <cellStyle name="常规 19 3 2 4 2 10 6" xfId="8727"/>
    <cellStyle name="常规 19 3 2 4 2 10 7" xfId="8732"/>
    <cellStyle name="常规 19 3 2 4 2 11" xfId="19567"/>
    <cellStyle name="常规 19 3 2 4 2 12" xfId="19568"/>
    <cellStyle name="常规 19 3 2 4 2 13" xfId="19569"/>
    <cellStyle name="常规 19 3 2 4 2 14" xfId="19570"/>
    <cellStyle name="常规 19 3 2 4 2 15" xfId="19571"/>
    <cellStyle name="常规 19 3 2 4 2 16" xfId="19572"/>
    <cellStyle name="常规 19 3 2 4 2 17" xfId="19573"/>
    <cellStyle name="常规 19 3 2 4 2 2" xfId="8914"/>
    <cellStyle name="常规 19 3 2 4 2 2 2" xfId="14753"/>
    <cellStyle name="常规 19 3 2 4 2 2 3" xfId="14768"/>
    <cellStyle name="常规 19 3 2 4 2 2 4" xfId="14290"/>
    <cellStyle name="常规 19 3 2 4 2 2 5" xfId="14297"/>
    <cellStyle name="常规 19 3 2 4 2 2 6" xfId="14304"/>
    <cellStyle name="常规 19 3 2 4 2 2 7" xfId="14310"/>
    <cellStyle name="常规 19 3 2 4 2 2 8" xfId="14316"/>
    <cellStyle name="常规 19 3 2 4 2 3" xfId="3447"/>
    <cellStyle name="常规 19 3 2 4 2 3 2" xfId="1787"/>
    <cellStyle name="常规 19 3 2 4 2 3 3" xfId="1836"/>
    <cellStyle name="常规 19 3 2 4 2 3 4" xfId="1883"/>
    <cellStyle name="常规 19 3 2 4 2 3 5" xfId="1926"/>
    <cellStyle name="常规 19 3 2 4 2 3 6" xfId="14327"/>
    <cellStyle name="常规 19 3 2 4 2 3 7" xfId="14334"/>
    <cellStyle name="常规 19 3 2 4 2 3 8" xfId="14341"/>
    <cellStyle name="常规 19 3 2 4 2 4" xfId="3454"/>
    <cellStyle name="常规 19 3 2 4 2 4 2" xfId="14872"/>
    <cellStyle name="常规 19 3 2 4 2 4 3" xfId="14878"/>
    <cellStyle name="常规 19 3 2 4 2 4 4" xfId="14347"/>
    <cellStyle name="常规 19 3 2 4 2 4 5" xfId="14355"/>
    <cellStyle name="常规 19 3 2 4 2 4 6" xfId="10521"/>
    <cellStyle name="常规 19 3 2 4 2 4 7" xfId="10537"/>
    <cellStyle name="常规 19 3 2 4 2 4 8" xfId="14362"/>
    <cellStyle name="常规 19 3 2 4 2 5" xfId="16726"/>
    <cellStyle name="常规 19 3 2 4 2 5 2" xfId="14887"/>
    <cellStyle name="常规 19 3 2 4 2 5 3" xfId="14892"/>
    <cellStyle name="常规 19 3 2 4 2 5 4" xfId="14370"/>
    <cellStyle name="常规 19 3 2 4 2 5 5" xfId="14375"/>
    <cellStyle name="常规 19 3 2 4 2 5 6" xfId="10549"/>
    <cellStyle name="常规 19 3 2 4 2 5 7" xfId="10559"/>
    <cellStyle name="常规 19 3 2 4 2 5 8" xfId="14382"/>
    <cellStyle name="常规 19 3 2 4 2 6" xfId="5677"/>
    <cellStyle name="常规 19 3 2 4 2 6 2" xfId="6819"/>
    <cellStyle name="常规 19 3 2 4 2 6 3" xfId="6826"/>
    <cellStyle name="常规 19 3 2 4 2 6 4" xfId="14384"/>
    <cellStyle name="常规 19 3 2 4 2 6 5" xfId="14390"/>
    <cellStyle name="常规 19 3 2 4 2 6 6" xfId="14397"/>
    <cellStyle name="常规 19 3 2 4 2 6 7" xfId="14403"/>
    <cellStyle name="常规 19 3 2 4 2 6 8" xfId="14410"/>
    <cellStyle name="常规 19 3 2 4 2 7" xfId="4363"/>
    <cellStyle name="常规 19 3 2 4 2 7 2" xfId="14910"/>
    <cellStyle name="常规 19 3 2 4 2 7 3" xfId="14917"/>
    <cellStyle name="常规 19 3 2 4 2 7 4" xfId="14413"/>
    <cellStyle name="常规 19 3 2 4 2 7 5" xfId="14419"/>
    <cellStyle name="常规 19 3 2 4 2 7 6" xfId="14426"/>
    <cellStyle name="常规 19 3 2 4 2 7 7" xfId="14432"/>
    <cellStyle name="常规 19 3 2 4 2 7 8" xfId="14438"/>
    <cellStyle name="常规 19 3 2 4 2 8" xfId="4371"/>
    <cellStyle name="常规 19 3 2 4 2 8 2" xfId="7086"/>
    <cellStyle name="常规 19 3 2 4 2 8 3" xfId="7110"/>
    <cellStyle name="常规 19 3 2 4 2 8 4" xfId="1364"/>
    <cellStyle name="常规 19 3 2 4 2 8 5" xfId="1375"/>
    <cellStyle name="常规 19 3 2 4 2 8 6" xfId="6049"/>
    <cellStyle name="常规 19 3 2 4 2 8 7" xfId="256"/>
    <cellStyle name="常规 19 3 2 4 2 8 8" xfId="7934"/>
    <cellStyle name="常规 19 3 2 4 2 9" xfId="7136"/>
    <cellStyle name="常规 19 3 2 4 2 9 2" xfId="2557"/>
    <cellStyle name="常规 19 3 2 4 2 9 3" xfId="7153"/>
    <cellStyle name="常规 19 3 2 4 2 9 4" xfId="1205"/>
    <cellStyle name="常规 19 3 2 4 2 9 5" xfId="2821"/>
    <cellStyle name="常规 19 3 2 4 2 9 6" xfId="6060"/>
    <cellStyle name="常规 19 3 2 4 2 9 7" xfId="19576"/>
    <cellStyle name="常规 19 3 2 4 2 9 8" xfId="19578"/>
    <cellStyle name="常规 19 3 2 4 3" xfId="19580"/>
    <cellStyle name="常规 19 3 2 4 3 2" xfId="9117"/>
    <cellStyle name="常规 19 3 2 4 3 3" xfId="3463"/>
    <cellStyle name="常规 19 3 2 4 3 4" xfId="3471"/>
    <cellStyle name="常规 19 3 2 4 3 5" xfId="19582"/>
    <cellStyle name="常规 19 3 2 4 3 6" xfId="5732"/>
    <cellStyle name="常规 19 3 2 4 3 7" xfId="4228"/>
    <cellStyle name="常规 19 3 2 4 3 8" xfId="331"/>
    <cellStyle name="常规 19 3 2 4 4" xfId="19583"/>
    <cellStyle name="常规 19 3 2 4 4 2" xfId="19586"/>
    <cellStyle name="常规 19 3 2 4 4 3" xfId="19588"/>
    <cellStyle name="常规 19 3 2 4 4 4" xfId="19590"/>
    <cellStyle name="常规 19 3 2 4 4 5" xfId="19591"/>
    <cellStyle name="常规 19 3 2 4 4 6" xfId="7222"/>
    <cellStyle name="常规 19 3 2 4 4 7" xfId="7229"/>
    <cellStyle name="常规 19 3 2 4 4 8" xfId="7215"/>
    <cellStyle name="常规 19 3 2 4 5" xfId="19592"/>
    <cellStyle name="常规 19 3 2 4 5 2" xfId="19594"/>
    <cellStyle name="常规 19 3 2 4 5 3" xfId="18738"/>
    <cellStyle name="常规 19 3 2 4 5 4" xfId="18742"/>
    <cellStyle name="常规 19 3 2 4 5 5" xfId="18745"/>
    <cellStyle name="常规 19 3 2 4 5 6" xfId="7236"/>
    <cellStyle name="常规 19 3 2 4 5 7" xfId="7244"/>
    <cellStyle name="常规 19 3 2 4 5 8" xfId="18747"/>
    <cellStyle name="常规 19 3 2 4 6" xfId="19596"/>
    <cellStyle name="常规 19 3 2 4 6 2" xfId="19599"/>
    <cellStyle name="常规 19 3 2 4 6 3" xfId="18756"/>
    <cellStyle name="常规 19 3 2 4 6 4" xfId="18759"/>
    <cellStyle name="常规 19 3 2 4 6 5" xfId="18761"/>
    <cellStyle name="常规 19 3 2 4 6 6" xfId="7849"/>
    <cellStyle name="常规 19 3 2 4 6 7" xfId="7854"/>
    <cellStyle name="常规 19 3 2 4 6 8" xfId="7381"/>
    <cellStyle name="常规 19 3 2 4 7" xfId="19601"/>
    <cellStyle name="常规 19 3 2 4 7 2" xfId="12050"/>
    <cellStyle name="常规 19 3 2 4 7 3" xfId="18764"/>
    <cellStyle name="常规 19 3 2 4 7 4" xfId="17413"/>
    <cellStyle name="常规 19 3 2 4 7 5" xfId="17422"/>
    <cellStyle name="常规 19 3 2 4 7 6" xfId="17425"/>
    <cellStyle name="常规 19 3 2 4 7 7" xfId="17429"/>
    <cellStyle name="常规 19 3 2 4 7 8" xfId="2964"/>
    <cellStyle name="常规 19 3 2 4 8" xfId="19604"/>
    <cellStyle name="常规 19 3 2 4 8 2" xfId="19608"/>
    <cellStyle name="常规 19 3 2 4 8 3" xfId="18767"/>
    <cellStyle name="常规 19 3 2 4 8 4" xfId="18771"/>
    <cellStyle name="常规 19 3 2 4 8 5" xfId="18774"/>
    <cellStyle name="常规 19 3 2 4 8 6" xfId="18777"/>
    <cellStyle name="常规 19 3 2 4 8 7" xfId="18782"/>
    <cellStyle name="常规 19 3 2 4 8 8" xfId="3184"/>
    <cellStyle name="常规 19 3 2 4 9" xfId="19611"/>
    <cellStyle name="常规 19 3 2 4 9 2" xfId="19613"/>
    <cellStyle name="常规 19 3 2 4 9 3" xfId="18788"/>
    <cellStyle name="常规 19 3 2 4 9 4" xfId="18790"/>
    <cellStyle name="常规 19 3 2 4 9 5" xfId="18792"/>
    <cellStyle name="常规 19 3 2 4 9 6" xfId="18794"/>
    <cellStyle name="常规 19 3 2 4 9 7" xfId="18797"/>
    <cellStyle name="常规 19 3 2 4 9 8" xfId="3484"/>
    <cellStyle name="常规 19 3 2 5" xfId="19614"/>
    <cellStyle name="常规 19 3 2 5 10" xfId="19616"/>
    <cellStyle name="常规 19 3 2 5 10 2" xfId="2336"/>
    <cellStyle name="常规 19 3 2 5 10 3" xfId="19618"/>
    <cellStyle name="常规 19 3 2 5 10 4" xfId="19619"/>
    <cellStyle name="常规 19 3 2 5 10 5" xfId="19620"/>
    <cellStyle name="常规 19 3 2 5 10 6" xfId="19621"/>
    <cellStyle name="常规 19 3 2 5 10 7" xfId="19622"/>
    <cellStyle name="常规 19 3 2 5 10 8" xfId="19623"/>
    <cellStyle name="常规 19 3 2 5 11" xfId="3889"/>
    <cellStyle name="常规 19 3 2 5 11 2" xfId="19624"/>
    <cellStyle name="常规 19 3 2 5 11 3" xfId="19626"/>
    <cellStyle name="常规 19 3 2 5 11 4" xfId="19628"/>
    <cellStyle name="常规 19 3 2 5 11 5" xfId="19629"/>
    <cellStyle name="常规 19 3 2 5 11 6" xfId="19630"/>
    <cellStyle name="常规 19 3 2 5 11 7" xfId="19631"/>
    <cellStyle name="常规 19 3 2 5 11 8" xfId="12507"/>
    <cellStyle name="常规 19 3 2 5 12" xfId="3900"/>
    <cellStyle name="常规 19 3 2 5 12 2" xfId="7645"/>
    <cellStyle name="常规 19 3 2 5 12 3" xfId="7652"/>
    <cellStyle name="常规 19 3 2 5 12 4" xfId="8227"/>
    <cellStyle name="常规 19 3 2 5 12 5" xfId="8230"/>
    <cellStyle name="常规 19 3 2 5 12 6" xfId="19632"/>
    <cellStyle name="常规 19 3 2 5 12 7" xfId="19633"/>
    <cellStyle name="常规 19 3 2 5 13" xfId="7654"/>
    <cellStyle name="常规 19 3 2 5 14" xfId="7657"/>
    <cellStyle name="常规 19 3 2 5 15" xfId="5554"/>
    <cellStyle name="常规 19 3 2 5 16" xfId="5557"/>
    <cellStyle name="常规 19 3 2 5 17" xfId="11898"/>
    <cellStyle name="常规 19 3 2 5 18" xfId="16120"/>
    <cellStyle name="常规 19 3 2 5 19" xfId="16122"/>
    <cellStyle name="常规 19 3 2 5 2" xfId="11911"/>
    <cellStyle name="常规 19 3 2 5 2 10" xfId="11094"/>
    <cellStyle name="常规 19 3 2 5 2 10 2" xfId="12120"/>
    <cellStyle name="常规 19 3 2 5 2 10 3" xfId="18954"/>
    <cellStyle name="常规 19 3 2 5 2 10 4" xfId="18959"/>
    <cellStyle name="常规 19 3 2 5 2 10 5" xfId="18156"/>
    <cellStyle name="常规 19 3 2 5 2 10 6" xfId="18161"/>
    <cellStyle name="常规 19 3 2 5 2 10 7" xfId="18166"/>
    <cellStyle name="常规 19 3 2 5 2 11" xfId="19634"/>
    <cellStyle name="常规 19 3 2 5 2 12" xfId="13493"/>
    <cellStyle name="常规 19 3 2 5 2 13" xfId="13499"/>
    <cellStyle name="常规 19 3 2 5 2 14" xfId="15491"/>
    <cellStyle name="常规 19 3 2 5 2 15" xfId="5320"/>
    <cellStyle name="常规 19 3 2 5 2 16" xfId="5356"/>
    <cellStyle name="常规 19 3 2 5 2 17" xfId="5371"/>
    <cellStyle name="常规 19 3 2 5 2 2" xfId="16943"/>
    <cellStyle name="常规 19 3 2 5 2 2 2" xfId="538"/>
    <cellStyle name="常规 19 3 2 5 2 2 3" xfId="15131"/>
    <cellStyle name="常规 19 3 2 5 2 2 4" xfId="15134"/>
    <cellStyle name="常规 19 3 2 5 2 2 5" xfId="15138"/>
    <cellStyle name="常规 19 3 2 5 2 2 6" xfId="15142"/>
    <cellStyle name="常规 19 3 2 5 2 2 7" xfId="19635"/>
    <cellStyle name="常规 19 3 2 5 2 2 8" xfId="19636"/>
    <cellStyle name="常规 19 3 2 5 2 3" xfId="617"/>
    <cellStyle name="常规 19 3 2 5 2 3 2" xfId="628"/>
    <cellStyle name="常规 19 3 2 5 2 3 3" xfId="665"/>
    <cellStyle name="常规 19 3 2 5 2 3 4" xfId="15145"/>
    <cellStyle name="常规 19 3 2 5 2 3 5" xfId="15148"/>
    <cellStyle name="常规 19 3 2 5 2 3 6" xfId="15151"/>
    <cellStyle name="常规 19 3 2 5 2 3 7" xfId="19637"/>
    <cellStyle name="常规 19 3 2 5 2 3 8" xfId="19638"/>
    <cellStyle name="常规 19 3 2 5 2 4" xfId="717"/>
    <cellStyle name="常规 19 3 2 5 2 4 2" xfId="729"/>
    <cellStyle name="常规 19 3 2 5 2 4 3" xfId="15155"/>
    <cellStyle name="常规 19 3 2 5 2 4 4" xfId="15158"/>
    <cellStyle name="常规 19 3 2 5 2 4 5" xfId="13294"/>
    <cellStyle name="常规 19 3 2 5 2 4 6" xfId="13299"/>
    <cellStyle name="常规 19 3 2 5 2 4 7" xfId="13303"/>
    <cellStyle name="常规 19 3 2 5 2 4 8" xfId="2318"/>
    <cellStyle name="常规 19 3 2 5 2 5" xfId="16946"/>
    <cellStyle name="常规 19 3 2 5 2 5 2" xfId="867"/>
    <cellStyle name="常规 19 3 2 5 2 5 3" xfId="15163"/>
    <cellStyle name="常规 19 3 2 5 2 5 4" xfId="15168"/>
    <cellStyle name="常规 19 3 2 5 2 5 5" xfId="13314"/>
    <cellStyle name="常规 19 3 2 5 2 5 6" xfId="13319"/>
    <cellStyle name="常规 19 3 2 5 2 5 7" xfId="988"/>
    <cellStyle name="常规 19 3 2 5 2 5 8" xfId="5925"/>
    <cellStyle name="常规 19 3 2 5 2 6" xfId="6841"/>
    <cellStyle name="常规 19 3 2 5 2 6 2" xfId="15172"/>
    <cellStyle name="常规 19 3 2 5 2 6 3" xfId="15176"/>
    <cellStyle name="常规 19 3 2 5 2 6 4" xfId="4944"/>
    <cellStyle name="常规 19 3 2 5 2 6 5" xfId="4965"/>
    <cellStyle name="常规 19 3 2 5 2 6 6" xfId="4982"/>
    <cellStyle name="常规 19 3 2 5 2 6 7" xfId="4999"/>
    <cellStyle name="常规 19 3 2 5 2 6 8" xfId="13328"/>
    <cellStyle name="常规 19 3 2 5 2 7" xfId="6845"/>
    <cellStyle name="常规 19 3 2 5 2 7 2" xfId="15182"/>
    <cellStyle name="常规 19 3 2 5 2 7 3" xfId="15187"/>
    <cellStyle name="常规 19 3 2 5 2 7 4" xfId="1426"/>
    <cellStyle name="常规 19 3 2 5 2 7 5" xfId="1438"/>
    <cellStyle name="常规 19 3 2 5 2 7 6" xfId="5037"/>
    <cellStyle name="常规 19 3 2 5 2 7 7" xfId="6439"/>
    <cellStyle name="常规 19 3 2 5 2 7 8" xfId="6445"/>
    <cellStyle name="常规 19 3 2 5 2 8" xfId="19639"/>
    <cellStyle name="常规 19 3 2 5 2 8 2" xfId="15194"/>
    <cellStyle name="常规 19 3 2 5 2 8 3" xfId="15198"/>
    <cellStyle name="常规 19 3 2 5 2 8 4" xfId="5048"/>
    <cellStyle name="常规 19 3 2 5 2 8 5" xfId="5093"/>
    <cellStyle name="常规 19 3 2 5 2 8 6" xfId="5119"/>
    <cellStyle name="常规 19 3 2 5 2 8 7" xfId="8061"/>
    <cellStyle name="常规 19 3 2 5 2 8 8" xfId="8081"/>
    <cellStyle name="常规 19 3 2 5 2 9" xfId="15772"/>
    <cellStyle name="常规 19 3 2 5 2 9 2" xfId="15204"/>
    <cellStyle name="常规 19 3 2 5 2 9 3" xfId="15207"/>
    <cellStyle name="常规 19 3 2 5 2 9 4" xfId="5126"/>
    <cellStyle name="常规 19 3 2 5 2 9 5" xfId="5131"/>
    <cellStyle name="常规 19 3 2 5 2 9 6" xfId="7444"/>
    <cellStyle name="常规 19 3 2 5 2 9 7" xfId="8090"/>
    <cellStyle name="常规 19 3 2 5 2 9 8" xfId="8098"/>
    <cellStyle name="常规 19 3 2 5 3" xfId="11914"/>
    <cellStyle name="常规 19 3 2 5 3 2" xfId="19641"/>
    <cellStyle name="常规 19 3 2 5 3 3" xfId="1088"/>
    <cellStyle name="常规 19 3 2 5 3 4" xfId="1164"/>
    <cellStyle name="常规 19 3 2 5 3 5" xfId="19642"/>
    <cellStyle name="常规 19 3 2 5 3 6" xfId="19643"/>
    <cellStyle name="常规 19 3 2 5 3 7" xfId="19646"/>
    <cellStyle name="常规 19 3 2 5 3 8" xfId="19649"/>
    <cellStyle name="常规 19 3 2 5 4" xfId="19652"/>
    <cellStyle name="常规 19 3 2 5 4 2" xfId="19655"/>
    <cellStyle name="常规 19 3 2 5 4 3" xfId="19657"/>
    <cellStyle name="常规 19 3 2 5 4 4" xfId="19659"/>
    <cellStyle name="常规 19 3 2 5 4 5" xfId="19660"/>
    <cellStyle name="常规 19 3 2 5 4 6" xfId="7260"/>
    <cellStyle name="常规 19 3 2 5 4 7" xfId="7267"/>
    <cellStyle name="常规 19 3 2 5 4 8" xfId="19661"/>
    <cellStyle name="常规 19 3 2 5 5" xfId="19664"/>
    <cellStyle name="常规 19 3 2 5 5 2" xfId="19666"/>
    <cellStyle name="常规 19 3 2 5 5 3" xfId="19668"/>
    <cellStyle name="常规 19 3 2 5 5 4" xfId="19670"/>
    <cellStyle name="常规 19 3 2 5 5 5" xfId="19671"/>
    <cellStyle name="常规 19 3 2 5 5 6" xfId="19672"/>
    <cellStyle name="常规 19 3 2 5 5 7" xfId="19675"/>
    <cellStyle name="常规 19 3 2 5 5 8" xfId="19679"/>
    <cellStyle name="常规 19 3 2 5 6" xfId="19682"/>
    <cellStyle name="常规 19 3 2 5 6 2" xfId="19684"/>
    <cellStyle name="常规 19 3 2 5 6 3" xfId="19685"/>
    <cellStyle name="常规 19 3 2 5 6 4" xfId="19686"/>
    <cellStyle name="常规 19 3 2 5 6 5" xfId="19687"/>
    <cellStyle name="常规 19 3 2 5 6 6" xfId="19688"/>
    <cellStyle name="常规 19 3 2 5 6 7" xfId="9881"/>
    <cellStyle name="常规 19 3 2 5 6 8" xfId="8370"/>
    <cellStyle name="常规 19 3 2 5 7" xfId="19691"/>
    <cellStyle name="常规 19 3 2 5 7 2" xfId="12144"/>
    <cellStyle name="常规 19 3 2 5 7 3" xfId="19692"/>
    <cellStyle name="常规 19 3 2 5 7 4" xfId="19693"/>
    <cellStyle name="常规 19 3 2 5 7 5" xfId="19694"/>
    <cellStyle name="常规 19 3 2 5 7 6" xfId="19695"/>
    <cellStyle name="常规 19 3 2 5 7 7" xfId="19698"/>
    <cellStyle name="常规 19 3 2 5 7 8" xfId="8385"/>
    <cellStyle name="常规 19 3 2 5 8" xfId="19701"/>
    <cellStyle name="常规 19 3 2 5 8 2" xfId="19702"/>
    <cellStyle name="常规 19 3 2 5 8 3" xfId="19703"/>
    <cellStyle name="常规 19 3 2 5 8 4" xfId="19704"/>
    <cellStyle name="常规 19 3 2 5 8 5" xfId="19706"/>
    <cellStyle name="常规 19 3 2 5 8 6" xfId="19707"/>
    <cellStyle name="常规 19 3 2 5 8 7" xfId="19711"/>
    <cellStyle name="常规 19 3 2 5 8 8" xfId="19715"/>
    <cellStyle name="常规 19 3 2 5 9" xfId="19717"/>
    <cellStyle name="常规 19 3 2 5 9 2" xfId="19718"/>
    <cellStyle name="常规 19 3 2 5 9 3" xfId="19719"/>
    <cellStyle name="常规 19 3 2 5 9 4" xfId="19720"/>
    <cellStyle name="常规 19 3 2 5 9 5" xfId="19721"/>
    <cellStyle name="常规 19 3 2 5 9 6" xfId="19722"/>
    <cellStyle name="常规 19 3 2 5 9 7" xfId="19724"/>
    <cellStyle name="常规 19 3 2 5 9 8" xfId="19726"/>
    <cellStyle name="常规 19 3 2 6" xfId="19727"/>
    <cellStyle name="常规 19 3 2 6 10" xfId="9584"/>
    <cellStyle name="常规 19 3 2 6 10 2" xfId="19729"/>
    <cellStyle name="常规 19 3 2 6 10 3" xfId="19731"/>
    <cellStyle name="常规 19 3 2 6 10 4" xfId="15727"/>
    <cellStyle name="常规 19 3 2 6 10 5" xfId="15729"/>
    <cellStyle name="常规 19 3 2 6 10 6" xfId="15731"/>
    <cellStyle name="常规 19 3 2 6 10 7" xfId="15733"/>
    <cellStyle name="常规 19 3 2 6 11" xfId="9586"/>
    <cellStyle name="常规 19 3 2 6 12" xfId="9984"/>
    <cellStyle name="常规 19 3 2 6 13" xfId="9986"/>
    <cellStyle name="常规 19 3 2 6 14" xfId="19732"/>
    <cellStyle name="常规 19 3 2 6 15" xfId="19735"/>
    <cellStyle name="常规 19 3 2 6 16" xfId="19738"/>
    <cellStyle name="常规 19 3 2 6 17" xfId="16161"/>
    <cellStyle name="常规 19 3 2 6 2" xfId="19740"/>
    <cellStyle name="常规 19 3 2 6 2 2" xfId="17197"/>
    <cellStyle name="常规 19 3 2 6 2 3" xfId="17200"/>
    <cellStyle name="常规 19 3 2 6 2 4" xfId="17205"/>
    <cellStyle name="常规 19 3 2 6 2 5" xfId="17210"/>
    <cellStyle name="常规 19 3 2 6 2 6" xfId="17217"/>
    <cellStyle name="常规 19 3 2 6 2 7" xfId="19742"/>
    <cellStyle name="常规 19 3 2 6 2 8" xfId="19746"/>
    <cellStyle name="常规 19 3 2 6 3" xfId="19748"/>
    <cellStyle name="常规 19 3 2 6 3 2" xfId="9457"/>
    <cellStyle name="常规 19 3 2 6 3 3" xfId="18403"/>
    <cellStyle name="常规 19 3 2 6 3 4" xfId="18405"/>
    <cellStyle name="常规 19 3 2 6 3 5" xfId="18407"/>
    <cellStyle name="常规 19 3 2 6 3 6" xfId="19749"/>
    <cellStyle name="常规 19 3 2 6 3 7" xfId="19755"/>
    <cellStyle name="常规 19 3 2 6 3 8" xfId="19761"/>
    <cellStyle name="常规 19 3 2 6 4" xfId="19763"/>
    <cellStyle name="常规 19 3 2 6 4 2" xfId="18413"/>
    <cellStyle name="常规 19 3 2 6 4 3" xfId="18416"/>
    <cellStyle name="常规 19 3 2 6 4 4" xfId="18419"/>
    <cellStyle name="常规 19 3 2 6 4 5" xfId="18421"/>
    <cellStyle name="常规 19 3 2 6 4 6" xfId="19765"/>
    <cellStyle name="常规 19 3 2 6 4 7" xfId="19768"/>
    <cellStyle name="常规 19 3 2 6 4 8" xfId="19771"/>
    <cellStyle name="常规 19 3 2 6 5" xfId="19773"/>
    <cellStyle name="常规 19 3 2 6 5 2" xfId="18430"/>
    <cellStyle name="常规 19 3 2 6 5 3" xfId="18432"/>
    <cellStyle name="常规 19 3 2 6 5 4" xfId="18434"/>
    <cellStyle name="常规 19 3 2 6 5 5" xfId="19775"/>
    <cellStyle name="常规 19 3 2 6 5 6" xfId="19776"/>
    <cellStyle name="常规 19 3 2 6 5 7" xfId="19778"/>
    <cellStyle name="常规 19 3 2 6 5 8" xfId="19781"/>
    <cellStyle name="常规 19 3 2 6 6" xfId="19784"/>
    <cellStyle name="常规 19 3 2 6 6 2" xfId="19785"/>
    <cellStyle name="常规 19 3 2 6 6 3" xfId="19786"/>
    <cellStyle name="常规 19 3 2 6 6 4" xfId="19787"/>
    <cellStyle name="常规 19 3 2 6 6 5" xfId="19788"/>
    <cellStyle name="常规 19 3 2 6 6 6" xfId="19790"/>
    <cellStyle name="常规 19 3 2 6 6 7" xfId="19794"/>
    <cellStyle name="常规 19 3 2 6 6 8" xfId="6855"/>
    <cellStyle name="常规 19 3 2 6 7" xfId="19798"/>
    <cellStyle name="常规 19 3 2 6 7 2" xfId="19799"/>
    <cellStyle name="常规 19 3 2 6 7 3" xfId="19800"/>
    <cellStyle name="常规 19 3 2 6 7 4" xfId="19801"/>
    <cellStyle name="常规 19 3 2 6 7 5" xfId="15107"/>
    <cellStyle name="常规 19 3 2 6 7 6" xfId="15114"/>
    <cellStyle name="常规 19 3 2 6 7 7" xfId="15118"/>
    <cellStyle name="常规 19 3 2 6 7 8" xfId="15121"/>
    <cellStyle name="常规 19 3 2 6 8" xfId="19802"/>
    <cellStyle name="常规 19 3 2 6 8 2" xfId="9052"/>
    <cellStyle name="常规 19 3 2 6 8 3" xfId="9066"/>
    <cellStyle name="常规 19 3 2 6 8 4" xfId="9095"/>
    <cellStyle name="常规 19 3 2 6 8 5" xfId="9099"/>
    <cellStyle name="常规 19 3 2 6 8 6" xfId="9102"/>
    <cellStyle name="常规 19 3 2 6 8 7" xfId="19805"/>
    <cellStyle name="常规 19 3 2 6 8 8" xfId="19810"/>
    <cellStyle name="常规 19 3 2 6 9" xfId="19811"/>
    <cellStyle name="常规 19 3 2 6 9 2" xfId="9157"/>
    <cellStyle name="常规 19 3 2 6 9 3" xfId="9173"/>
    <cellStyle name="常规 19 3 2 6 9 4" xfId="9197"/>
    <cellStyle name="常规 19 3 2 6 9 5" xfId="9200"/>
    <cellStyle name="常规 19 3 2 6 9 6" xfId="9207"/>
    <cellStyle name="常规 19 3 2 6 9 7" xfId="19812"/>
    <cellStyle name="常规 19 3 2 6 9 8" xfId="19813"/>
    <cellStyle name="常规 19 3 2 7" xfId="19814"/>
    <cellStyle name="常规 19 3 2 7 2" xfId="19815"/>
    <cellStyle name="常规 19 3 2 7 3" xfId="19816"/>
    <cellStyle name="常规 19 3 2 7 4" xfId="19817"/>
    <cellStyle name="常规 19 3 2 7 5" xfId="19819"/>
    <cellStyle name="常规 19 3 2 7 6" xfId="19821"/>
    <cellStyle name="常规 19 3 2 7 7" xfId="19822"/>
    <cellStyle name="常规 19 3 2 7 8" xfId="19823"/>
    <cellStyle name="常规 19 3 2 8" xfId="19824"/>
    <cellStyle name="常规 19 3 2 8 2" xfId="11601"/>
    <cellStyle name="常规 19 3 2 8 3" xfId="9540"/>
    <cellStyle name="常规 19 3 2 8 4" xfId="8570"/>
    <cellStyle name="常规 19 3 2 8 5" xfId="8575"/>
    <cellStyle name="常规 19 3 2 8 6" xfId="9027"/>
    <cellStyle name="常规 19 3 2 8 7" xfId="12781"/>
    <cellStyle name="常规 19 3 2 8 8" xfId="12783"/>
    <cellStyle name="常规 19 3 2 9" xfId="1661"/>
    <cellStyle name="常规 19 3 2 9 2" xfId="6774"/>
    <cellStyle name="常规 19 3 2 9 3" xfId="6792"/>
    <cellStyle name="常规 19 3 2 9 4" xfId="4420"/>
    <cellStyle name="常规 19 3 2 9 5" xfId="4430"/>
    <cellStyle name="常规 19 3 2 9 6" xfId="19826"/>
    <cellStyle name="常规 19 3 2 9 7" xfId="19827"/>
    <cellStyle name="常规 19 3 2 9 8" xfId="19828"/>
    <cellStyle name="常规 19 3 20" xfId="7002"/>
    <cellStyle name="常规 19 3 21" xfId="8451"/>
    <cellStyle name="常规 19 3 22" xfId="11305"/>
    <cellStyle name="常规 19 3 23" xfId="16273"/>
    <cellStyle name="常规 19 3 24" xfId="16276"/>
    <cellStyle name="常规 19 3 25" xfId="16278"/>
    <cellStyle name="常规 19 3 26" xfId="12198"/>
    <cellStyle name="常规 19 3 3" xfId="12666"/>
    <cellStyle name="常规 19 3 3 10" xfId="9394"/>
    <cellStyle name="常规 19 3 3 10 2" xfId="9397"/>
    <cellStyle name="常规 19 3 3 10 3" xfId="9400"/>
    <cellStyle name="常规 19 3 3 10 4" xfId="17436"/>
    <cellStyle name="常规 19 3 3 10 5" xfId="17439"/>
    <cellStyle name="常规 19 3 3 10 6" xfId="8544"/>
    <cellStyle name="常规 19 3 3 10 7" xfId="8549"/>
    <cellStyle name="常规 19 3 3 10 8" xfId="8979"/>
    <cellStyle name="常规 19 3 3 11" xfId="9402"/>
    <cellStyle name="常规 19 3 3 11 2" xfId="19829"/>
    <cellStyle name="常规 19 3 3 11 3" xfId="19831"/>
    <cellStyle name="常规 19 3 3 11 4" xfId="17443"/>
    <cellStyle name="常规 19 3 3 11 5" xfId="17447"/>
    <cellStyle name="常规 19 3 3 11 6" xfId="17452"/>
    <cellStyle name="常规 19 3 3 11 7" xfId="17457"/>
    <cellStyle name="常规 19 3 3 11 8" xfId="17461"/>
    <cellStyle name="常规 19 3 3 12" xfId="9773"/>
    <cellStyle name="常规 19 3 3 12 2" xfId="9777"/>
    <cellStyle name="常规 19 3 3 12 3" xfId="9781"/>
    <cellStyle name="常规 19 3 3 12 4" xfId="17466"/>
    <cellStyle name="常规 19 3 3 12 5" xfId="17470"/>
    <cellStyle name="常规 19 3 3 12 6" xfId="17474"/>
    <cellStyle name="常规 19 3 3 12 7" xfId="17477"/>
    <cellStyle name="常规 19 3 3 12 8" xfId="17479"/>
    <cellStyle name="常规 19 3 3 13" xfId="9783"/>
    <cellStyle name="常规 19 3 3 13 2" xfId="19833"/>
    <cellStyle name="常规 19 3 3 13 3" xfId="19836"/>
    <cellStyle name="常规 19 3 3 13 4" xfId="17483"/>
    <cellStyle name="常规 19 3 3 13 5" xfId="17486"/>
    <cellStyle name="常规 19 3 3 13 6" xfId="17489"/>
    <cellStyle name="常规 19 3 3 13 7" xfId="17491"/>
    <cellStyle name="常规 19 3 3 13 8" xfId="17493"/>
    <cellStyle name="常规 19 3 3 14" xfId="5967"/>
    <cellStyle name="常规 19 3 3 14 2" xfId="19838"/>
    <cellStyle name="常规 19 3 3 14 3" xfId="19841"/>
    <cellStyle name="常规 19 3 3 14 4" xfId="17498"/>
    <cellStyle name="常规 19 3 3 14 5" xfId="17502"/>
    <cellStyle name="常规 19 3 3 14 6" xfId="17507"/>
    <cellStyle name="常规 19 3 3 14 7" xfId="17512"/>
    <cellStyle name="常规 19 3 3 14 8" xfId="17515"/>
    <cellStyle name="常规 19 3 3 15" xfId="5978"/>
    <cellStyle name="常规 19 3 3 15 2" xfId="19844"/>
    <cellStyle name="常规 19 3 3 15 3" xfId="19846"/>
    <cellStyle name="常规 19 3 3 15 4" xfId="17520"/>
    <cellStyle name="常规 19 3 3 15 5" xfId="17524"/>
    <cellStyle name="常规 19 3 3 15 6" xfId="17527"/>
    <cellStyle name="常规 19 3 3 15 7" xfId="9171"/>
    <cellStyle name="常规 19 3 3 16" xfId="19849"/>
    <cellStyle name="常规 19 3 3 17" xfId="19852"/>
    <cellStyle name="常规 19 3 3 18" xfId="19853"/>
    <cellStyle name="常规 19 3 3 19" xfId="19854"/>
    <cellStyle name="常规 19 3 3 2" xfId="12668"/>
    <cellStyle name="常规 19 3 3 2 10" xfId="19855"/>
    <cellStyle name="常规 19 3 3 2 10 2" xfId="19859"/>
    <cellStyle name="常规 19 3 3 2 10 3" xfId="2763"/>
    <cellStyle name="常规 19 3 3 2 10 4" xfId="6561"/>
    <cellStyle name="常规 19 3 3 2 10 5" xfId="6566"/>
    <cellStyle name="常规 19 3 3 2 10 6" xfId="9590"/>
    <cellStyle name="常规 19 3 3 2 10 7" xfId="5070"/>
    <cellStyle name="常规 19 3 3 2 10 8" xfId="3028"/>
    <cellStyle name="常规 19 3 3 2 11" xfId="19860"/>
    <cellStyle name="常规 19 3 3 2 11 2" xfId="6019"/>
    <cellStyle name="常规 19 3 3 2 11 3" xfId="6028"/>
    <cellStyle name="常规 19 3 3 2 11 4" xfId="14759"/>
    <cellStyle name="常规 19 3 3 2 11 5" xfId="14763"/>
    <cellStyle name="常规 19 3 3 2 11 6" xfId="9607"/>
    <cellStyle name="常规 19 3 3 2 11 7" xfId="9614"/>
    <cellStyle name="常规 19 3 3 2 11 8" xfId="1797"/>
    <cellStyle name="常规 19 3 3 2 12" xfId="19862"/>
    <cellStyle name="常规 19 3 3 2 12 2" xfId="19864"/>
    <cellStyle name="常规 19 3 3 2 12 3" xfId="14772"/>
    <cellStyle name="常规 19 3 3 2 12 4" xfId="14776"/>
    <cellStyle name="常规 19 3 3 2 12 5" xfId="9071"/>
    <cellStyle name="常规 19 3 3 2 12 6" xfId="146"/>
    <cellStyle name="常规 19 3 3 2 12 7" xfId="14782"/>
    <cellStyle name="常规 19 3 3 2 12 8" xfId="14788"/>
    <cellStyle name="常规 19 3 3 2 13" xfId="19865"/>
    <cellStyle name="常规 19 3 3 2 13 2" xfId="19867"/>
    <cellStyle name="常规 19 3 3 2 13 3" xfId="14796"/>
    <cellStyle name="常规 19 3 3 2 13 4" xfId="14801"/>
    <cellStyle name="常规 19 3 3 2 13 5" xfId="14805"/>
    <cellStyle name="常规 19 3 3 2 13 6" xfId="14810"/>
    <cellStyle name="常规 19 3 3 2 13 7" xfId="14816"/>
    <cellStyle name="常规 19 3 3 2 14" xfId="19868"/>
    <cellStyle name="常规 19 3 3 2 15" xfId="19870"/>
    <cellStyle name="常规 19 3 3 2 16" xfId="19871"/>
    <cellStyle name="常规 19 3 3 2 17" xfId="19872"/>
    <cellStyle name="常规 19 3 3 2 18" xfId="1273"/>
    <cellStyle name="常规 19 3 3 2 19" xfId="1278"/>
    <cellStyle name="常规 19 3 3 2 2" xfId="10670"/>
    <cellStyle name="常规 19 3 3 2 2 10" xfId="19873"/>
    <cellStyle name="常规 19 3 3 2 2 10 2" xfId="19875"/>
    <cellStyle name="常规 19 3 3 2 2 10 3" xfId="14902"/>
    <cellStyle name="常规 19 3 3 2 2 10 4" xfId="14904"/>
    <cellStyle name="常规 19 3 3 2 2 10 5" xfId="14911"/>
    <cellStyle name="常规 19 3 3 2 2 10 6" xfId="14918"/>
    <cellStyle name="常规 19 3 3 2 2 10 7" xfId="14414"/>
    <cellStyle name="常规 19 3 3 2 2 10 8" xfId="14420"/>
    <cellStyle name="常规 19 3 3 2 2 11" xfId="19877"/>
    <cellStyle name="常规 19 3 3 2 2 11 2" xfId="19879"/>
    <cellStyle name="常规 19 3 3 2 2 11 3" xfId="14925"/>
    <cellStyle name="常规 19 3 3 2 2 11 4" xfId="14927"/>
    <cellStyle name="常规 19 3 3 2 2 11 5" xfId="7085"/>
    <cellStyle name="常规 19 3 3 2 2 11 6" xfId="7109"/>
    <cellStyle name="常规 19 3 3 2 2 11 7" xfId="1363"/>
    <cellStyle name="常规 19 3 3 2 2 11 8" xfId="1374"/>
    <cellStyle name="常规 19 3 3 2 2 12" xfId="19881"/>
    <cellStyle name="常规 19 3 3 2 2 12 2" xfId="19883"/>
    <cellStyle name="常规 19 3 3 2 2 12 3" xfId="14933"/>
    <cellStyle name="常规 19 3 3 2 2 12 4" xfId="762"/>
    <cellStyle name="常规 19 3 3 2 2 12 5" xfId="2558"/>
    <cellStyle name="常规 19 3 3 2 2 12 6" xfId="7152"/>
    <cellStyle name="常规 19 3 3 2 2 12 7" xfId="1204"/>
    <cellStyle name="常规 19 3 3 2 2 13" xfId="19884"/>
    <cellStyle name="常规 19 3 3 2 2 14" xfId="19887"/>
    <cellStyle name="常规 19 3 3 2 2 15" xfId="19892"/>
    <cellStyle name="常规 19 3 3 2 2 16" xfId="19896"/>
    <cellStyle name="常规 19 3 3 2 2 17" xfId="4866"/>
    <cellStyle name="常规 19 3 3 2 2 18" xfId="4876"/>
    <cellStyle name="常规 19 3 3 2 2 19" xfId="2279"/>
    <cellStyle name="常规 19 3 3 2 2 2" xfId="8962"/>
    <cellStyle name="常规 19 3 3 2 2 2 10" xfId="16240"/>
    <cellStyle name="常规 19 3 3 2 2 2 10 2" xfId="19898"/>
    <cellStyle name="常规 19 3 3 2 2 2 10 3" xfId="19899"/>
    <cellStyle name="常规 19 3 3 2 2 2 10 4" xfId="19900"/>
    <cellStyle name="常规 19 3 3 2 2 2 10 5" xfId="19901"/>
    <cellStyle name="常规 19 3 3 2 2 2 10 6" xfId="19902"/>
    <cellStyle name="常规 19 3 3 2 2 2 10 7" xfId="19903"/>
    <cellStyle name="常规 19 3 3 2 2 2 11" xfId="16242"/>
    <cellStyle name="常规 19 3 3 2 2 2 12" xfId="16245"/>
    <cellStyle name="常规 19 3 3 2 2 2 13" xfId="16248"/>
    <cellStyle name="常规 19 3 3 2 2 2 14" xfId="19904"/>
    <cellStyle name="常规 19 3 3 2 2 2 15" xfId="19906"/>
    <cellStyle name="常规 19 3 3 2 2 2 16" xfId="19907"/>
    <cellStyle name="常规 19 3 3 2 2 2 17" xfId="19909"/>
    <cellStyle name="常规 19 3 3 2 2 2 2" xfId="19914"/>
    <cellStyle name="常规 19 3 3 2 2 2 2 2" xfId="19915"/>
    <cellStyle name="常规 19 3 3 2 2 2 2 3" xfId="7199"/>
    <cellStyle name="常规 19 3 3 2 2 2 2 4" xfId="8744"/>
    <cellStyle name="常规 19 3 3 2 2 2 2 5" xfId="19916"/>
    <cellStyle name="常规 19 3 3 2 2 2 2 6" xfId="19918"/>
    <cellStyle name="常规 19 3 3 2 2 2 2 7" xfId="19921"/>
    <cellStyle name="常规 19 3 3 2 2 2 2 8" xfId="19924"/>
    <cellStyle name="常规 19 3 3 2 2 2 3" xfId="19858"/>
    <cellStyle name="常规 19 3 3 2 2 2 3 2" xfId="19927"/>
    <cellStyle name="常规 19 3 3 2 2 2 3 3" xfId="19928"/>
    <cellStyle name="常规 19 3 3 2 2 2 3 4" xfId="19929"/>
    <cellStyle name="常规 19 3 3 2 2 2 3 5" xfId="19931"/>
    <cellStyle name="常规 19 3 3 2 2 2 3 6" xfId="19933"/>
    <cellStyle name="常规 19 3 3 2 2 2 3 7" xfId="19936"/>
    <cellStyle name="常规 19 3 3 2 2 2 3 8" xfId="19939"/>
    <cellStyle name="常规 19 3 3 2 2 2 4" xfId="2764"/>
    <cellStyle name="常规 19 3 3 2 2 2 4 2" xfId="19943"/>
    <cellStyle name="常规 19 3 3 2 2 2 4 3" xfId="19944"/>
    <cellStyle name="常规 19 3 3 2 2 2 4 4" xfId="19945"/>
    <cellStyle name="常规 19 3 3 2 2 2 4 5" xfId="19947"/>
    <cellStyle name="常规 19 3 3 2 2 2 4 6" xfId="19949"/>
    <cellStyle name="常规 19 3 3 2 2 2 4 7" xfId="19951"/>
    <cellStyle name="常规 19 3 3 2 2 2 4 8" xfId="19953"/>
    <cellStyle name="常规 19 3 3 2 2 2 5" xfId="6560"/>
    <cellStyle name="常规 19 3 3 2 2 2 5 2" xfId="19956"/>
    <cellStyle name="常规 19 3 3 2 2 2 5 3" xfId="19957"/>
    <cellStyle name="常规 19 3 3 2 2 2 5 4" xfId="19958"/>
    <cellStyle name="常规 19 3 3 2 2 2 5 5" xfId="19960"/>
    <cellStyle name="常规 19 3 3 2 2 2 5 6" xfId="9685"/>
    <cellStyle name="常规 19 3 3 2 2 2 5 7" xfId="8998"/>
    <cellStyle name="常规 19 3 3 2 2 2 5 8" xfId="9012"/>
    <cellStyle name="常规 19 3 3 2 2 2 6" xfId="6565"/>
    <cellStyle name="常规 19 3 3 2 2 2 6 2" xfId="19962"/>
    <cellStyle name="常规 19 3 3 2 2 2 6 3" xfId="19963"/>
    <cellStyle name="常规 19 3 3 2 2 2 6 4" xfId="19964"/>
    <cellStyle name="常规 19 3 3 2 2 2 6 5" xfId="19965"/>
    <cellStyle name="常规 19 3 3 2 2 2 6 6" xfId="19966"/>
    <cellStyle name="常规 19 3 3 2 2 2 6 7" xfId="9024"/>
    <cellStyle name="常规 19 3 3 2 2 2 6 8" xfId="9037"/>
    <cellStyle name="常规 19 3 3 2 2 2 7" xfId="9591"/>
    <cellStyle name="常规 19 3 3 2 2 2 7 2" xfId="19967"/>
    <cellStyle name="常规 19 3 3 2 2 2 7 3" xfId="19969"/>
    <cellStyle name="常规 19 3 3 2 2 2 7 4" xfId="19971"/>
    <cellStyle name="常规 19 3 3 2 2 2 7 5" xfId="19974"/>
    <cellStyle name="常规 19 3 3 2 2 2 7 6" xfId="19977"/>
    <cellStyle name="常规 19 3 3 2 2 2 7 7" xfId="9043"/>
    <cellStyle name="常规 19 3 3 2 2 2 7 8" xfId="9048"/>
    <cellStyle name="常规 19 3 3 2 2 2 8" xfId="5069"/>
    <cellStyle name="常规 19 3 3 2 2 2 8 2" xfId="17027"/>
    <cellStyle name="常规 19 3 3 2 2 2 8 3" xfId="17048"/>
    <cellStyle name="常规 19 3 3 2 2 2 8 4" xfId="17060"/>
    <cellStyle name="常规 19 3 3 2 2 2 8 5" xfId="17069"/>
    <cellStyle name="常规 19 3 3 2 2 2 8 6" xfId="53"/>
    <cellStyle name="常规 19 3 3 2 2 2 8 7" xfId="6788"/>
    <cellStyle name="常规 19 3 3 2 2 2 8 8" xfId="17097"/>
    <cellStyle name="常规 19 3 3 2 2 2 9" xfId="3029"/>
    <cellStyle name="常规 19 3 3 2 2 2 9 2" xfId="1236"/>
    <cellStyle name="常规 19 3 3 2 2 2 9 3" xfId="2779"/>
    <cellStyle name="常规 19 3 3 2 2 2 9 4" xfId="11030"/>
    <cellStyle name="常规 19 3 3 2 2 2 9 5" xfId="17118"/>
    <cellStyle name="常规 19 3 3 2 2 2 9 6" xfId="17123"/>
    <cellStyle name="常规 19 3 3 2 2 2 9 7" xfId="17128"/>
    <cellStyle name="常规 19 3 3 2 2 2 9 8" xfId="17133"/>
    <cellStyle name="常规 19 3 3 2 2 3" xfId="19979"/>
    <cellStyle name="常规 19 3 3 2 2 3 2" xfId="14277"/>
    <cellStyle name="常规 19 3 3 2 2 3 3" xfId="6018"/>
    <cellStyle name="常规 19 3 3 2 2 3 4" xfId="6027"/>
    <cellStyle name="常规 19 3 3 2 2 3 5" xfId="14760"/>
    <cellStyle name="常规 19 3 3 2 2 3 6" xfId="14764"/>
    <cellStyle name="常规 19 3 3 2 2 3 7" xfId="9608"/>
    <cellStyle name="常规 19 3 3 2 2 3 8" xfId="9615"/>
    <cellStyle name="常规 19 3 3 2 2 4" xfId="19980"/>
    <cellStyle name="常规 19 3 3 2 2 4 2" xfId="19981"/>
    <cellStyle name="常规 19 3 3 2 2 4 3" xfId="19863"/>
    <cellStyle name="常规 19 3 3 2 2 4 4" xfId="14773"/>
    <cellStyle name="常规 19 3 3 2 2 4 5" xfId="14777"/>
    <cellStyle name="常规 19 3 3 2 2 4 6" xfId="9072"/>
    <cellStyle name="常规 19 3 3 2 2 4 7" xfId="145"/>
    <cellStyle name="常规 19 3 3 2 2 4 8" xfId="14783"/>
    <cellStyle name="常规 19 3 3 2 2 5" xfId="19983"/>
    <cellStyle name="常规 19 3 3 2 2 5 2" xfId="19984"/>
    <cellStyle name="常规 19 3 3 2 2 5 3" xfId="19866"/>
    <cellStyle name="常规 19 3 3 2 2 5 4" xfId="14797"/>
    <cellStyle name="常规 19 3 3 2 2 5 5" xfId="14802"/>
    <cellStyle name="常规 19 3 3 2 2 5 6" xfId="14806"/>
    <cellStyle name="常规 19 3 3 2 2 5 7" xfId="14811"/>
    <cellStyle name="常规 19 3 3 2 2 5 8" xfId="14817"/>
    <cellStyle name="常规 19 3 3 2 2 6" xfId="19986"/>
    <cellStyle name="常规 19 3 3 2 2 6 2" xfId="19987"/>
    <cellStyle name="常规 19 3 3 2 2 6 3" xfId="19988"/>
    <cellStyle name="常规 19 3 3 2 2 6 4" xfId="210"/>
    <cellStyle name="常规 19 3 3 2 2 6 5" xfId="161"/>
    <cellStyle name="常规 19 3 3 2 2 6 6" xfId="106"/>
    <cellStyle name="常规 19 3 3 2 2 6 7" xfId="223"/>
    <cellStyle name="常规 19 3 3 2 2 6 8" xfId="424"/>
    <cellStyle name="常规 19 3 3 2 2 7" xfId="19989"/>
    <cellStyle name="常规 19 3 3 2 2 7 2" xfId="5523"/>
    <cellStyle name="常规 19 3 3 2 2 7 3" xfId="19991"/>
    <cellStyle name="常规 19 3 3 2 2 7 4" xfId="14834"/>
    <cellStyle name="常规 19 3 3 2 2 7 5" xfId="14837"/>
    <cellStyle name="常规 19 3 3 2 2 7 6" xfId="14840"/>
    <cellStyle name="常规 19 3 3 2 2 7 7" xfId="14844"/>
    <cellStyle name="常规 19 3 3 2 2 7 8" xfId="14849"/>
    <cellStyle name="常规 19 3 3 2 2 8" xfId="7174"/>
    <cellStyle name="常规 19 3 3 2 2 8 2" xfId="19993"/>
    <cellStyle name="常规 19 3 3 2 2 8 3" xfId="19994"/>
    <cellStyle name="常规 19 3 3 2 2 8 4" xfId="14853"/>
    <cellStyle name="常规 19 3 3 2 2 8 5" xfId="14856"/>
    <cellStyle name="常规 19 3 3 2 2 8 6" xfId="9794"/>
    <cellStyle name="常规 19 3 3 2 2 8 7" xfId="9799"/>
    <cellStyle name="常规 19 3 3 2 2 8 8" xfId="14860"/>
    <cellStyle name="常规 19 3 3 2 2 9" xfId="7733"/>
    <cellStyle name="常规 19 3 3 2 2 9 2" xfId="7744"/>
    <cellStyle name="常规 19 3 3 2 2 9 3" xfId="7748"/>
    <cellStyle name="常规 19 3 3 2 2 9 4" xfId="13359"/>
    <cellStyle name="常规 19 3 3 2 2 9 5" xfId="13363"/>
    <cellStyle name="常规 19 3 3 2 2 9 6" xfId="8974"/>
    <cellStyle name="常规 19 3 3 2 2 9 7" xfId="8986"/>
    <cellStyle name="常规 19 3 3 2 2 9 8" xfId="13371"/>
    <cellStyle name="常规 19 3 3 2 20" xfId="19869"/>
    <cellStyle name="常规 19 3 3 2 3" xfId="19995"/>
    <cellStyle name="常规 19 3 3 2 3 10" xfId="19996"/>
    <cellStyle name="常规 19 3 3 2 3 10 2" xfId="7622"/>
    <cellStyle name="常规 19 3 3 2 3 10 3" xfId="1189"/>
    <cellStyle name="常规 19 3 3 2 3 10 4" xfId="1195"/>
    <cellStyle name="常规 19 3 3 2 3 10 5" xfId="19997"/>
    <cellStyle name="常规 19 3 3 2 3 10 6" xfId="19999"/>
    <cellStyle name="常规 19 3 3 2 3 10 7" xfId="20001"/>
    <cellStyle name="常规 19 3 3 2 3 11" xfId="20003"/>
    <cellStyle name="常规 19 3 3 2 3 12" xfId="20004"/>
    <cellStyle name="常规 19 3 3 2 3 13" xfId="20007"/>
    <cellStyle name="常规 19 3 3 2 3 14" xfId="20010"/>
    <cellStyle name="常规 19 3 3 2 3 15" xfId="15737"/>
    <cellStyle name="常规 19 3 3 2 3 16" xfId="15740"/>
    <cellStyle name="常规 19 3 3 2 3 17" xfId="15743"/>
    <cellStyle name="常规 19 3 3 2 3 2" xfId="20012"/>
    <cellStyle name="常规 19 3 3 2 3 2 2" xfId="20015"/>
    <cellStyle name="常规 19 3 3 2 3 2 3" xfId="20018"/>
    <cellStyle name="常规 19 3 3 2 3 2 4" xfId="16355"/>
    <cellStyle name="常规 19 3 3 2 3 2 5" xfId="16371"/>
    <cellStyle name="常规 19 3 3 2 3 2 6" xfId="16372"/>
    <cellStyle name="常规 19 3 3 2 3 2 7" xfId="16374"/>
    <cellStyle name="常规 19 3 3 2 3 2 8" xfId="16376"/>
    <cellStyle name="常规 19 3 3 2 3 3" xfId="9235"/>
    <cellStyle name="常规 19 3 3 2 3 3 2" xfId="20019"/>
    <cellStyle name="常规 19 3 3 2 3 3 3" xfId="20021"/>
    <cellStyle name="常规 19 3 3 2 3 3 4" xfId="20022"/>
    <cellStyle name="常规 19 3 3 2 3 3 5" xfId="20023"/>
    <cellStyle name="常规 19 3 3 2 3 3 6" xfId="20024"/>
    <cellStyle name="常规 19 3 3 2 3 3 7" xfId="20025"/>
    <cellStyle name="常规 19 3 3 2 3 3 8" xfId="17626"/>
    <cellStyle name="常规 19 3 3 2 3 4" xfId="9238"/>
    <cellStyle name="常规 19 3 3 2 3 4 2" xfId="20026"/>
    <cellStyle name="常规 19 3 3 2 3 4 3" xfId="20028"/>
    <cellStyle name="常规 19 3 3 2 3 4 4" xfId="20029"/>
    <cellStyle name="常规 19 3 3 2 3 4 5" xfId="20030"/>
    <cellStyle name="常规 19 3 3 2 3 4 6" xfId="20031"/>
    <cellStyle name="常规 19 3 3 2 3 4 7" xfId="20032"/>
    <cellStyle name="常规 19 3 3 2 3 4 8" xfId="17635"/>
    <cellStyle name="常规 19 3 3 2 3 5" xfId="20033"/>
    <cellStyle name="常规 19 3 3 2 3 5 2" xfId="18989"/>
    <cellStyle name="常规 19 3 3 2 3 5 3" xfId="18992"/>
    <cellStyle name="常规 19 3 3 2 3 5 4" xfId="18995"/>
    <cellStyle name="常规 19 3 3 2 3 5 5" xfId="18998"/>
    <cellStyle name="常规 19 3 3 2 3 5 6" xfId="19002"/>
    <cellStyle name="常规 19 3 3 2 3 5 7" xfId="19005"/>
    <cellStyle name="常规 19 3 3 2 3 5 8" xfId="17642"/>
    <cellStyle name="常规 19 3 3 2 3 6" xfId="20035"/>
    <cellStyle name="常规 19 3 3 2 3 6 2" xfId="20037"/>
    <cellStyle name="常规 19 3 3 2 3 6 3" xfId="20039"/>
    <cellStyle name="常规 19 3 3 2 3 6 4" xfId="20040"/>
    <cellStyle name="常规 19 3 3 2 3 6 5" xfId="20041"/>
    <cellStyle name="常规 19 3 3 2 3 6 6" xfId="20042"/>
    <cellStyle name="常规 19 3 3 2 3 6 7" xfId="20043"/>
    <cellStyle name="常规 19 3 3 2 3 6 8" xfId="17654"/>
    <cellStyle name="常规 19 3 3 2 3 7" xfId="20044"/>
    <cellStyle name="常规 19 3 3 2 3 7 2" xfId="20046"/>
    <cellStyle name="常规 19 3 3 2 3 7 3" xfId="20047"/>
    <cellStyle name="常规 19 3 3 2 3 7 4" xfId="20048"/>
    <cellStyle name="常规 19 3 3 2 3 7 5" xfId="20049"/>
    <cellStyle name="常规 19 3 3 2 3 7 6" xfId="20050"/>
    <cellStyle name="常规 19 3 3 2 3 7 7" xfId="20051"/>
    <cellStyle name="常规 19 3 3 2 3 7 8" xfId="17661"/>
    <cellStyle name="常规 19 3 3 2 3 8" xfId="7184"/>
    <cellStyle name="常规 19 3 3 2 3 8 2" xfId="20052"/>
    <cellStyle name="常规 19 3 3 2 3 8 3" xfId="13724"/>
    <cellStyle name="常规 19 3 3 2 3 8 4" xfId="13731"/>
    <cellStyle name="常规 19 3 3 2 3 8 5" xfId="13733"/>
    <cellStyle name="常规 19 3 3 2 3 8 6" xfId="13735"/>
    <cellStyle name="常规 19 3 3 2 3 8 7" xfId="13737"/>
    <cellStyle name="常规 19 3 3 2 3 8 8" xfId="13739"/>
    <cellStyle name="常规 19 3 3 2 3 9" xfId="7767"/>
    <cellStyle name="常规 19 3 3 2 3 9 2" xfId="20053"/>
    <cellStyle name="常规 19 3 3 2 3 9 3" xfId="20054"/>
    <cellStyle name="常规 19 3 3 2 3 9 4" xfId="20055"/>
    <cellStyle name="常规 19 3 3 2 3 9 5" xfId="20057"/>
    <cellStyle name="常规 19 3 3 2 3 9 6" xfId="5778"/>
    <cellStyle name="常规 19 3 3 2 3 9 7" xfId="5803"/>
    <cellStyle name="常规 19 3 3 2 3 9 8" xfId="5828"/>
    <cellStyle name="常规 19 3 3 2 4" xfId="20059"/>
    <cellStyle name="常规 19 3 3 2 4 2" xfId="20060"/>
    <cellStyle name="常规 19 3 3 2 4 3" xfId="20061"/>
    <cellStyle name="常规 19 3 3 2 4 4" xfId="20062"/>
    <cellStyle name="常规 19 3 3 2 4 5" xfId="20063"/>
    <cellStyle name="常规 19 3 3 2 4 6" xfId="20064"/>
    <cellStyle name="常规 19 3 3 2 4 7" xfId="20065"/>
    <cellStyle name="常规 19 3 3 2 4 8" xfId="10223"/>
    <cellStyle name="常规 19 3 3 2 5" xfId="20066"/>
    <cellStyle name="常规 19 3 3 2 5 2" xfId="20067"/>
    <cellStyle name="常规 19 3 3 2 5 3" xfId="20068"/>
    <cellStyle name="常规 19 3 3 2 5 4" xfId="20069"/>
    <cellStyle name="常规 19 3 3 2 5 5" xfId="20070"/>
    <cellStyle name="常规 19 3 3 2 5 6" xfId="20071"/>
    <cellStyle name="常规 19 3 3 2 5 7" xfId="20072"/>
    <cellStyle name="常规 19 3 3 2 5 8" xfId="10238"/>
    <cellStyle name="常规 19 3 3 2 6" xfId="20073"/>
    <cellStyle name="常规 19 3 3 2 6 2" xfId="20074"/>
    <cellStyle name="常规 19 3 3 2 6 3" xfId="20075"/>
    <cellStyle name="常规 19 3 3 2 6 4" xfId="20076"/>
    <cellStyle name="常规 19 3 3 2 6 5" xfId="20077"/>
    <cellStyle name="常规 19 3 3 2 6 6" xfId="20078"/>
    <cellStyle name="常规 19 3 3 2 6 7" xfId="20079"/>
    <cellStyle name="常规 19 3 3 2 6 8" xfId="1288"/>
    <cellStyle name="常规 19 3 3 2 7" xfId="20080"/>
    <cellStyle name="常规 19 3 3 2 7 2" xfId="20082"/>
    <cellStyle name="常规 19 3 3 2 7 3" xfId="20084"/>
    <cellStyle name="常规 19 3 3 2 7 4" xfId="20086"/>
    <cellStyle name="常规 19 3 3 2 7 5" xfId="20088"/>
    <cellStyle name="常规 19 3 3 2 7 6" xfId="20090"/>
    <cellStyle name="常规 19 3 3 2 7 7" xfId="20091"/>
    <cellStyle name="常规 19 3 3 2 7 8" xfId="13195"/>
    <cellStyle name="常规 19 3 3 2 8" xfId="20092"/>
    <cellStyle name="常规 19 3 3 2 8 2" xfId="20094"/>
    <cellStyle name="常规 19 3 3 2 8 3" xfId="9521"/>
    <cellStyle name="常规 19 3 3 2 8 4" xfId="9528"/>
    <cellStyle name="常规 19 3 3 2 8 5" xfId="20096"/>
    <cellStyle name="常规 19 3 3 2 8 6" xfId="20097"/>
    <cellStyle name="常规 19 3 3 2 8 7" xfId="13748"/>
    <cellStyle name="常规 19 3 3 2 8 8" xfId="13207"/>
    <cellStyle name="常规 19 3 3 2 9" xfId="20098"/>
    <cellStyle name="常规 19 3 3 2 9 2" xfId="20100"/>
    <cellStyle name="常规 19 3 3 2 9 3" xfId="1673"/>
    <cellStyle name="常规 19 3 3 2 9 4" xfId="1703"/>
    <cellStyle name="常规 19 3 3 2 9 5" xfId="19008"/>
    <cellStyle name="常规 19 3 3 2 9 6" xfId="19028"/>
    <cellStyle name="常规 19 3 3 2 9 7" xfId="13755"/>
    <cellStyle name="常规 19 3 3 2 9 8" xfId="13225"/>
    <cellStyle name="常规 19 3 3 20" xfId="5977"/>
    <cellStyle name="常规 19 3 3 21" xfId="19848"/>
    <cellStyle name="常规 19 3 3 22" xfId="19851"/>
    <cellStyle name="常规 19 3 3 3" xfId="20101"/>
    <cellStyle name="常规 19 3 3 3 10" xfId="10291"/>
    <cellStyle name="常规 19 3 3 3 10 2" xfId="8937"/>
    <cellStyle name="常规 19 3 3 3 10 3" xfId="9447"/>
    <cellStyle name="常规 19 3 3 3 10 4" xfId="12525"/>
    <cellStyle name="常规 19 3 3 3 10 5" xfId="20103"/>
    <cellStyle name="常规 19 3 3 3 10 6" xfId="14472"/>
    <cellStyle name="常规 19 3 3 3 10 7" xfId="14475"/>
    <cellStyle name="常规 19 3 3 3 10 8" xfId="14479"/>
    <cellStyle name="常规 19 3 3 3 11" xfId="10296"/>
    <cellStyle name="常规 19 3 3 3 11 2" xfId="20104"/>
    <cellStyle name="常规 19 3 3 3 11 3" xfId="20105"/>
    <cellStyle name="常规 19 3 3 3 11 4" xfId="20107"/>
    <cellStyle name="常规 19 3 3 3 11 5" xfId="12632"/>
    <cellStyle name="常规 19 3 3 3 11 6" xfId="14492"/>
    <cellStyle name="常规 19 3 3 3 11 7" xfId="14496"/>
    <cellStyle name="常规 19 3 3 3 11 8" xfId="14501"/>
    <cellStyle name="常规 19 3 3 3 12" xfId="13348"/>
    <cellStyle name="常规 19 3 3 3 12 2" xfId="20109"/>
    <cellStyle name="常规 19 3 3 3 12 3" xfId="20110"/>
    <cellStyle name="常规 19 3 3 3 12 4" xfId="20111"/>
    <cellStyle name="常规 19 3 3 3 12 5" xfId="20112"/>
    <cellStyle name="常规 19 3 3 3 12 6" xfId="14511"/>
    <cellStyle name="常规 19 3 3 3 12 7" xfId="14515"/>
    <cellStyle name="常规 19 3 3 3 13" xfId="13351"/>
    <cellStyle name="常规 19 3 3 3 14" xfId="13355"/>
    <cellStyle name="常规 19 3 3 3 15" xfId="18095"/>
    <cellStyle name="常规 19 3 3 3 16" xfId="18098"/>
    <cellStyle name="常规 19 3 3 3 17" xfId="18101"/>
    <cellStyle name="常规 19 3 3 3 18" xfId="18105"/>
    <cellStyle name="常规 19 3 3 3 19" xfId="18111"/>
    <cellStyle name="常规 19 3 3 3 2" xfId="20113"/>
    <cellStyle name="常规 19 3 3 3 2 10" xfId="20116"/>
    <cellStyle name="常规 19 3 3 3 2 10 2" xfId="16656"/>
    <cellStyle name="常规 19 3 3 3 2 10 3" xfId="16661"/>
    <cellStyle name="常规 19 3 3 3 2 10 4" xfId="16665"/>
    <cellStyle name="常规 19 3 3 3 2 10 5" xfId="16668"/>
    <cellStyle name="常规 19 3 3 3 2 10 6" xfId="16671"/>
    <cellStyle name="常规 19 3 3 3 2 10 7" xfId="20117"/>
    <cellStyle name="常规 19 3 3 3 2 11" xfId="20119"/>
    <cellStyle name="常规 19 3 3 3 2 12" xfId="20120"/>
    <cellStyle name="常规 19 3 3 3 2 13" xfId="20121"/>
    <cellStyle name="常规 19 3 3 3 2 14" xfId="20122"/>
    <cellStyle name="常规 19 3 3 3 2 15" xfId="20123"/>
    <cellStyle name="常规 19 3 3 3 2 16" xfId="20124"/>
    <cellStyle name="常规 19 3 3 3 2 17" xfId="20125"/>
    <cellStyle name="常规 19 3 3 3 2 2" xfId="1542"/>
    <cellStyle name="常规 19 3 3 3 2 2 2" xfId="1557"/>
    <cellStyle name="常规 19 3 3 3 2 2 3" xfId="1569"/>
    <cellStyle name="常规 19 3 3 3 2 2 4" xfId="6073"/>
    <cellStyle name="常规 19 3 3 3 2 2 5" xfId="9309"/>
    <cellStyle name="常规 19 3 3 3 2 2 6" xfId="9326"/>
    <cellStyle name="常规 19 3 3 3 2 2 7" xfId="2035"/>
    <cellStyle name="常规 19 3 3 3 2 2 8" xfId="2060"/>
    <cellStyle name="常规 19 3 3 3 2 3" xfId="1575"/>
    <cellStyle name="常规 19 3 3 3 2 3 2" xfId="4776"/>
    <cellStyle name="常规 19 3 3 3 2 3 3" xfId="4781"/>
    <cellStyle name="常规 19 3 3 3 2 3 4" xfId="11194"/>
    <cellStyle name="常规 19 3 3 3 2 3 5" xfId="9333"/>
    <cellStyle name="常规 19 3 3 3 2 3 6" xfId="9339"/>
    <cellStyle name="常规 19 3 3 3 2 3 7" xfId="2078"/>
    <cellStyle name="常规 19 3 3 3 2 3 8" xfId="2085"/>
    <cellStyle name="常规 19 3 3 3 2 4" xfId="4786"/>
    <cellStyle name="常规 19 3 3 3 2 4 2" xfId="11349"/>
    <cellStyle name="常规 19 3 3 3 2 4 3" xfId="11357"/>
    <cellStyle name="常规 19 3 3 3 2 4 4" xfId="11371"/>
    <cellStyle name="常规 19 3 3 3 2 4 5" xfId="11390"/>
    <cellStyle name="常规 19 3 3 3 2 4 6" xfId="10678"/>
    <cellStyle name="常规 19 3 3 3 2 4 7" xfId="10684"/>
    <cellStyle name="常规 19 3 3 3 2 4 8" xfId="20128"/>
    <cellStyle name="常规 19 3 3 3 2 5" xfId="5264"/>
    <cellStyle name="常规 19 3 3 3 2 5 2" xfId="11409"/>
    <cellStyle name="常规 19 3 3 3 2 5 3" xfId="11413"/>
    <cellStyle name="常规 19 3 3 3 2 5 4" xfId="11423"/>
    <cellStyle name="常规 19 3 3 3 2 5 5" xfId="11429"/>
    <cellStyle name="常规 19 3 3 3 2 5 6" xfId="10694"/>
    <cellStyle name="常规 19 3 3 3 2 5 7" xfId="20132"/>
    <cellStyle name="常规 19 3 3 3 2 5 8" xfId="20136"/>
    <cellStyle name="常规 19 3 3 3 2 6" xfId="20138"/>
    <cellStyle name="常规 19 3 3 3 2 6 2" xfId="11455"/>
    <cellStyle name="常规 19 3 3 3 2 6 3" xfId="11461"/>
    <cellStyle name="常规 19 3 3 3 2 6 4" xfId="15635"/>
    <cellStyle name="常规 19 3 3 3 2 6 5" xfId="15639"/>
    <cellStyle name="常规 19 3 3 3 2 6 6" xfId="10701"/>
    <cellStyle name="常规 19 3 3 3 2 6 7" xfId="20141"/>
    <cellStyle name="常规 19 3 3 3 2 6 8" xfId="20146"/>
    <cellStyle name="常规 19 3 3 3 2 7" xfId="20149"/>
    <cellStyle name="常规 19 3 3 3 2 7 2" xfId="11471"/>
    <cellStyle name="常规 19 3 3 3 2 7 3" xfId="11476"/>
    <cellStyle name="常规 19 3 3 3 2 7 4" xfId="15644"/>
    <cellStyle name="常规 19 3 3 3 2 7 5" xfId="15648"/>
    <cellStyle name="常规 19 3 3 3 2 7 6" xfId="15652"/>
    <cellStyle name="常规 19 3 3 3 2 7 7" xfId="20152"/>
    <cellStyle name="常规 19 3 3 3 2 7 8" xfId="2283"/>
    <cellStyle name="常规 19 3 3 3 2 8" xfId="20154"/>
    <cellStyle name="常规 19 3 3 3 2 8 2" xfId="11492"/>
    <cellStyle name="常规 19 3 3 3 2 8 3" xfId="11499"/>
    <cellStyle name="常规 19 3 3 3 2 8 4" xfId="15657"/>
    <cellStyle name="常规 19 3 3 3 2 8 5" xfId="15661"/>
    <cellStyle name="常规 19 3 3 3 2 8 6" xfId="15666"/>
    <cellStyle name="常规 19 3 3 3 2 8 7" xfId="20157"/>
    <cellStyle name="常规 19 3 3 3 2 8 8" xfId="20160"/>
    <cellStyle name="常规 19 3 3 3 2 9" xfId="20162"/>
    <cellStyle name="常规 19 3 3 3 2 9 2" xfId="15676"/>
    <cellStyle name="常规 19 3 3 3 2 9 3" xfId="15679"/>
    <cellStyle name="常规 19 3 3 3 2 9 4" xfId="15680"/>
    <cellStyle name="常规 19 3 3 3 2 9 5" xfId="15684"/>
    <cellStyle name="常规 19 3 3 3 2 9 6" xfId="15689"/>
    <cellStyle name="常规 19 3 3 3 2 9 7" xfId="20165"/>
    <cellStyle name="常规 19 3 3 3 2 9 8" xfId="20170"/>
    <cellStyle name="常规 19 3 3 3 3" xfId="20173"/>
    <cellStyle name="常规 19 3 3 3 3 2" xfId="109"/>
    <cellStyle name="常规 19 3 3 3 3 3" xfId="4919"/>
    <cellStyle name="常规 19 3 3 3 3 4" xfId="4925"/>
    <cellStyle name="常规 19 3 3 3 3 5" xfId="19171"/>
    <cellStyle name="常规 19 3 3 3 3 6" xfId="19173"/>
    <cellStyle name="常规 19 3 3 3 3 7" xfId="19175"/>
    <cellStyle name="常规 19 3 3 3 3 8" xfId="19178"/>
    <cellStyle name="常规 19 3 3 3 4" xfId="20175"/>
    <cellStyle name="常规 19 3 3 3 4 2" xfId="1612"/>
    <cellStyle name="常规 19 3 3 3 4 3" xfId="1325"/>
    <cellStyle name="常规 19 3 3 3 4 4" xfId="5157"/>
    <cellStyle name="常规 19 3 3 3 4 5" xfId="19188"/>
    <cellStyle name="常规 19 3 3 3 4 6" xfId="19190"/>
    <cellStyle name="常规 19 3 3 3 4 7" xfId="19193"/>
    <cellStyle name="常规 19 3 3 3 4 8" xfId="19196"/>
    <cellStyle name="常规 19 3 3 3 5" xfId="20177"/>
    <cellStyle name="常规 19 3 3 3 5 2" xfId="3055"/>
    <cellStyle name="常规 19 3 3 3 5 3" xfId="20179"/>
    <cellStyle name="常规 19 3 3 3 5 4" xfId="20181"/>
    <cellStyle name="常规 19 3 3 3 5 5" xfId="19204"/>
    <cellStyle name="常规 19 3 3 3 5 6" xfId="19206"/>
    <cellStyle name="常规 19 3 3 3 5 7" xfId="19208"/>
    <cellStyle name="常规 19 3 3 3 5 8" xfId="19211"/>
    <cellStyle name="常规 19 3 3 3 6" xfId="20182"/>
    <cellStyle name="常规 19 3 3 3 6 2" xfId="20185"/>
    <cellStyle name="常规 19 3 3 3 6 3" xfId="20187"/>
    <cellStyle name="常规 19 3 3 3 6 4" xfId="20189"/>
    <cellStyle name="常规 19 3 3 3 6 5" xfId="19226"/>
    <cellStyle name="常规 19 3 3 3 6 6" xfId="19228"/>
    <cellStyle name="常规 19 3 3 3 6 7" xfId="19230"/>
    <cellStyle name="常规 19 3 3 3 6 8" xfId="2624"/>
    <cellStyle name="常规 19 3 3 3 7" xfId="20190"/>
    <cellStyle name="常规 19 3 3 3 7 2" xfId="20195"/>
    <cellStyle name="常规 19 3 3 3 7 3" xfId="20199"/>
    <cellStyle name="常规 19 3 3 3 7 4" xfId="20202"/>
    <cellStyle name="常规 19 3 3 3 7 5" xfId="19235"/>
    <cellStyle name="常规 19 3 3 3 7 6" xfId="19237"/>
    <cellStyle name="常规 19 3 3 3 7 7" xfId="19239"/>
    <cellStyle name="常规 19 3 3 3 7 8" xfId="8411"/>
    <cellStyle name="常规 19 3 3 3 8" xfId="20203"/>
    <cellStyle name="常规 19 3 3 3 8 2" xfId="20206"/>
    <cellStyle name="常规 19 3 3 3 8 3" xfId="6637"/>
    <cellStyle name="常规 19 3 3 3 8 4" xfId="6694"/>
    <cellStyle name="常规 19 3 3 3 8 5" xfId="19241"/>
    <cellStyle name="常规 19 3 3 3 8 6" xfId="19243"/>
    <cellStyle name="常规 19 3 3 3 8 7" xfId="19245"/>
    <cellStyle name="常规 19 3 3 3 8 8" xfId="8417"/>
    <cellStyle name="常规 19 3 3 3 9" xfId="20207"/>
    <cellStyle name="常规 19 3 3 3 9 2" xfId="20209"/>
    <cellStyle name="常规 19 3 3 3 9 3" xfId="1816"/>
    <cellStyle name="常规 19 3 3 3 9 4" xfId="6756"/>
    <cellStyle name="常规 19 3 3 3 9 5" xfId="19168"/>
    <cellStyle name="常规 19 3 3 3 9 6" xfId="19185"/>
    <cellStyle name="常规 19 3 3 3 9 7" xfId="19201"/>
    <cellStyle name="常规 19 3 3 3 9 8" xfId="19223"/>
    <cellStyle name="常规 19 3 3 4" xfId="20210"/>
    <cellStyle name="常规 19 3 3 4 10" xfId="6222"/>
    <cellStyle name="常规 19 3 3 4 10 2" xfId="17178"/>
    <cellStyle name="常规 19 3 3 4 10 3" xfId="20212"/>
    <cellStyle name="常规 19 3 3 4 10 4" xfId="20213"/>
    <cellStyle name="常规 19 3 3 4 10 5" xfId="15842"/>
    <cellStyle name="常规 19 3 3 4 10 6" xfId="15849"/>
    <cellStyle name="常规 19 3 3 4 10 7" xfId="15852"/>
    <cellStyle name="常规 19 3 3 4 10 8" xfId="15856"/>
    <cellStyle name="常规 19 3 3 4 11" xfId="6227"/>
    <cellStyle name="常规 19 3 3 4 11 2" xfId="17188"/>
    <cellStyle name="常规 19 3 3 4 11 3" xfId="20214"/>
    <cellStyle name="常规 19 3 3 4 11 4" xfId="20216"/>
    <cellStyle name="常规 19 3 3 4 11 5" xfId="15891"/>
    <cellStyle name="常规 19 3 3 4 11 6" xfId="15897"/>
    <cellStyle name="常规 19 3 3 4 11 7" xfId="15903"/>
    <cellStyle name="常规 19 3 3 4 11 8" xfId="15905"/>
    <cellStyle name="常规 19 3 3 4 12" xfId="6859"/>
    <cellStyle name="常规 19 3 3 4 12 2" xfId="17216"/>
    <cellStyle name="常规 19 3 3 4 12 3" xfId="19741"/>
    <cellStyle name="常规 19 3 3 4 12 4" xfId="19745"/>
    <cellStyle name="常规 19 3 3 4 12 5" xfId="15911"/>
    <cellStyle name="常规 19 3 3 4 12 6" xfId="15915"/>
    <cellStyle name="常规 19 3 3 4 12 7" xfId="15918"/>
    <cellStyle name="常规 19 3 3 4 13" xfId="6864"/>
    <cellStyle name="常规 19 3 3 4 14" xfId="6190"/>
    <cellStyle name="常规 19 3 3 4 15" xfId="6214"/>
    <cellStyle name="常规 19 3 3 4 16" xfId="20218"/>
    <cellStyle name="常规 19 3 3 4 17" xfId="20221"/>
    <cellStyle name="常规 19 3 3 4 18" xfId="20225"/>
    <cellStyle name="常规 19 3 3 4 19" xfId="20228"/>
    <cellStyle name="常规 19 3 3 4 2" xfId="20230"/>
    <cellStyle name="常规 19 3 3 4 2 10" xfId="20232"/>
    <cellStyle name="常规 19 3 3 4 2 10 2" xfId="20234"/>
    <cellStyle name="常规 19 3 3 4 2 10 3" xfId="20235"/>
    <cellStyle name="常规 19 3 3 4 2 10 4" xfId="20236"/>
    <cellStyle name="常规 19 3 3 4 2 10 5" xfId="20237"/>
    <cellStyle name="常规 19 3 3 4 2 10 6" xfId="20239"/>
    <cellStyle name="常规 19 3 3 4 2 10 7" xfId="20241"/>
    <cellStyle name="常规 19 3 3 4 2 11" xfId="20244"/>
    <cellStyle name="常规 19 3 3 4 2 12" xfId="20245"/>
    <cellStyle name="常规 19 3 3 4 2 13" xfId="1086"/>
    <cellStyle name="常规 19 3 3 4 2 14" xfId="2878"/>
    <cellStyle name="常规 19 3 3 4 2 15" xfId="2042"/>
    <cellStyle name="常规 19 3 3 4 2 16" xfId="20246"/>
    <cellStyle name="常规 19 3 3 4 2 17" xfId="20248"/>
    <cellStyle name="常规 19 3 3 4 2 2" xfId="17589"/>
    <cellStyle name="常规 19 3 3 4 2 2 2" xfId="15846"/>
    <cellStyle name="常规 19 3 3 4 2 2 3" xfId="9055"/>
    <cellStyle name="常规 19 3 3 4 2 2 4" xfId="9062"/>
    <cellStyle name="常规 19 3 3 4 2 2 5" xfId="386"/>
    <cellStyle name="常规 19 3 3 4 2 2 6" xfId="320"/>
    <cellStyle name="常规 19 3 3 4 2 2 7" xfId="279"/>
    <cellStyle name="常规 19 3 3 4 2 2 8" xfId="2417"/>
    <cellStyle name="常规 19 3 3 4 2 3" xfId="17592"/>
    <cellStyle name="常规 19 3 3 4 2 3 2" xfId="856"/>
    <cellStyle name="常规 19 3 3 4 2 3 3" xfId="896"/>
    <cellStyle name="常规 19 3 3 4 2 3 4" xfId="911"/>
    <cellStyle name="常规 19 3 3 4 2 3 5" xfId="596"/>
    <cellStyle name="常规 19 3 3 4 2 3 6" xfId="603"/>
    <cellStyle name="常规 19 3 3 4 2 3 7" xfId="2434"/>
    <cellStyle name="常规 19 3 3 4 2 3 8" xfId="2446"/>
    <cellStyle name="常规 19 3 3 4 2 4" xfId="17595"/>
    <cellStyle name="常规 19 3 3 4 2 4 2" xfId="1253"/>
    <cellStyle name="常规 19 3 3 4 2 4 3" xfId="1270"/>
    <cellStyle name="常规 19 3 3 4 2 4 4" xfId="523"/>
    <cellStyle name="常规 19 3 3 4 2 4 5" xfId="15854"/>
    <cellStyle name="常规 19 3 3 4 2 4 6" xfId="10808"/>
    <cellStyle name="常规 19 3 3 4 2 4 7" xfId="20250"/>
    <cellStyle name="常规 19 3 3 4 2 4 8" xfId="20252"/>
    <cellStyle name="常规 19 3 3 4 2 5" xfId="17597"/>
    <cellStyle name="常规 19 3 3 4 2 5 2" xfId="1585"/>
    <cellStyle name="常规 19 3 3 4 2 5 3" xfId="1610"/>
    <cellStyle name="常规 19 3 3 4 2 5 4" xfId="1620"/>
    <cellStyle name="常规 19 3 3 4 2 5 5" xfId="15858"/>
    <cellStyle name="常规 19 3 3 4 2 5 6" xfId="10819"/>
    <cellStyle name="常规 19 3 3 4 2 5 7" xfId="20253"/>
    <cellStyle name="常规 19 3 3 4 2 5 8" xfId="20255"/>
    <cellStyle name="常规 19 3 3 4 2 6" xfId="5913"/>
    <cellStyle name="常规 19 3 3 4 2 6 2" xfId="1780"/>
    <cellStyle name="常规 19 3 3 4 2 6 3" xfId="15861"/>
    <cellStyle name="常规 19 3 3 4 2 6 4" xfId="15863"/>
    <cellStyle name="常规 19 3 3 4 2 6 5" xfId="15865"/>
    <cellStyle name="常规 19 3 3 4 2 6 6" xfId="15868"/>
    <cellStyle name="常规 19 3 3 4 2 6 7" xfId="20257"/>
    <cellStyle name="常规 19 3 3 4 2 6 8" xfId="20261"/>
    <cellStyle name="常规 19 3 3 4 2 7" xfId="6882"/>
    <cellStyle name="常规 19 3 3 4 2 7 2" xfId="15871"/>
    <cellStyle name="常规 19 3 3 4 2 7 3" xfId="15873"/>
    <cellStyle name="常规 19 3 3 4 2 7 4" xfId="15875"/>
    <cellStyle name="常规 19 3 3 4 2 7 5" xfId="15877"/>
    <cellStyle name="常规 19 3 3 4 2 7 6" xfId="15880"/>
    <cellStyle name="常规 19 3 3 4 2 7 7" xfId="20263"/>
    <cellStyle name="常规 19 3 3 4 2 7 8" xfId="20267"/>
    <cellStyle name="常规 19 3 3 4 2 8" xfId="7205"/>
    <cellStyle name="常规 19 3 3 4 2 8 2" xfId="7428"/>
    <cellStyle name="常规 19 3 3 4 2 8 3" xfId="6089"/>
    <cellStyle name="常规 19 3 3 4 2 8 4" xfId="6100"/>
    <cellStyle name="常规 19 3 3 4 2 8 5" xfId="7456"/>
    <cellStyle name="常规 19 3 3 4 2 8 6" xfId="15882"/>
    <cellStyle name="常规 19 3 3 4 2 8 7" xfId="20269"/>
    <cellStyle name="常规 19 3 3 4 2 8 8" xfId="20270"/>
    <cellStyle name="常规 19 3 3 4 2 9" xfId="7458"/>
    <cellStyle name="常规 19 3 3 4 2 9 2" xfId="3810"/>
    <cellStyle name="常规 19 3 3 4 2 9 3" xfId="1504"/>
    <cellStyle name="常规 19 3 3 4 2 9 4" xfId="1521"/>
    <cellStyle name="常规 19 3 3 4 2 9 5" xfId="15884"/>
    <cellStyle name="常规 19 3 3 4 2 9 6" xfId="15887"/>
    <cellStyle name="常规 19 3 3 4 2 9 7" xfId="9551"/>
    <cellStyle name="常规 19 3 3 4 2 9 8" xfId="9563"/>
    <cellStyle name="常规 19 3 3 4 3" xfId="20271"/>
    <cellStyle name="常规 19 3 3 4 3 2" xfId="20273"/>
    <cellStyle name="常规 19 3 3 4 3 3" xfId="20274"/>
    <cellStyle name="常规 19 3 3 4 3 4" xfId="20275"/>
    <cellStyle name="常规 19 3 3 4 3 5" xfId="20276"/>
    <cellStyle name="常规 19 3 3 4 3 6" xfId="20277"/>
    <cellStyle name="常规 19 3 3 4 3 7" xfId="20279"/>
    <cellStyle name="常规 19 3 3 4 3 8" xfId="7522"/>
    <cellStyle name="常规 19 3 3 4 4" xfId="10017"/>
    <cellStyle name="常规 19 3 3 4 4 2" xfId="10024"/>
    <cellStyle name="常规 19 3 3 4 4 3" xfId="10029"/>
    <cellStyle name="常规 19 3 3 4 4 4" xfId="20282"/>
    <cellStyle name="常规 19 3 3 4 4 5" xfId="20283"/>
    <cellStyle name="常规 19 3 3 4 4 6" xfId="7278"/>
    <cellStyle name="常规 19 3 3 4 4 7" xfId="7283"/>
    <cellStyle name="常规 19 3 3 4 4 8" xfId="7690"/>
    <cellStyle name="常规 19 3 3 4 5" xfId="10036"/>
    <cellStyle name="常规 19 3 3 4 5 2" xfId="20284"/>
    <cellStyle name="常规 19 3 3 4 5 3" xfId="20286"/>
    <cellStyle name="常规 19 3 3 4 5 4" xfId="20288"/>
    <cellStyle name="常规 19 3 3 4 5 5" xfId="20289"/>
    <cellStyle name="常规 19 3 3 4 5 6" xfId="20290"/>
    <cellStyle name="常规 19 3 3 4 5 7" xfId="20292"/>
    <cellStyle name="常规 19 3 3 4 5 8" xfId="20295"/>
    <cellStyle name="常规 19 3 3 4 6" xfId="20298"/>
    <cellStyle name="常规 19 3 3 4 6 2" xfId="20301"/>
    <cellStyle name="常规 19 3 3 4 6 3" xfId="20302"/>
    <cellStyle name="常规 19 3 3 4 6 4" xfId="20303"/>
    <cellStyle name="常规 19 3 3 4 6 5" xfId="20304"/>
    <cellStyle name="常规 19 3 3 4 6 6" xfId="20305"/>
    <cellStyle name="常规 19 3 3 4 6 7" xfId="20307"/>
    <cellStyle name="常规 19 3 3 4 6 8" xfId="3266"/>
    <cellStyle name="常规 19 3 3 4 7" xfId="20309"/>
    <cellStyle name="常规 19 3 3 4 7 2" xfId="20311"/>
    <cellStyle name="常规 19 3 3 4 7 3" xfId="20312"/>
    <cellStyle name="常规 19 3 3 4 7 4" xfId="20313"/>
    <cellStyle name="常规 19 3 3 4 7 5" xfId="20314"/>
    <cellStyle name="常规 19 3 3 4 7 6" xfId="20315"/>
    <cellStyle name="常规 19 3 3 4 7 7" xfId="20317"/>
    <cellStyle name="常规 19 3 3 4 7 8" xfId="3927"/>
    <cellStyle name="常规 19 3 3 4 8" xfId="20319"/>
    <cellStyle name="常规 19 3 3 4 8 2" xfId="20323"/>
    <cellStyle name="常规 19 3 3 4 8 3" xfId="6811"/>
    <cellStyle name="常规 19 3 3 4 8 4" xfId="6835"/>
    <cellStyle name="常规 19 3 3 4 8 5" xfId="20324"/>
    <cellStyle name="常规 19 3 3 4 8 6" xfId="20325"/>
    <cellStyle name="常规 19 3 3 4 8 7" xfId="20327"/>
    <cellStyle name="常规 19 3 3 4 8 8" xfId="3197"/>
    <cellStyle name="常规 19 3 3 4 9" xfId="20329"/>
    <cellStyle name="常规 19 3 3 4 9 2" xfId="20331"/>
    <cellStyle name="常规 19 3 3 4 9 3" xfId="20332"/>
    <cellStyle name="常规 19 3 3 4 9 4" xfId="20333"/>
    <cellStyle name="常规 19 3 3 4 9 5" xfId="19289"/>
    <cellStyle name="常规 19 3 3 4 9 6" xfId="19291"/>
    <cellStyle name="常规 19 3 3 4 9 7" xfId="19293"/>
    <cellStyle name="常规 19 3 3 4 9 8" xfId="4309"/>
    <cellStyle name="常规 19 3 3 5" xfId="20334"/>
    <cellStyle name="常规 19 3 3 5 10" xfId="17550"/>
    <cellStyle name="常规 19 3 3 5 10 2" xfId="13128"/>
    <cellStyle name="常规 19 3 3 5 10 3" xfId="13132"/>
    <cellStyle name="常规 19 3 3 5 10 4" xfId="13135"/>
    <cellStyle name="常规 19 3 3 5 10 5" xfId="13138"/>
    <cellStyle name="常规 19 3 3 5 10 6" xfId="13142"/>
    <cellStyle name="常规 19 3 3 5 10 7" xfId="20336"/>
    <cellStyle name="常规 19 3 3 5 11" xfId="20338"/>
    <cellStyle name="常规 19 3 3 5 12" xfId="20340"/>
    <cellStyle name="常规 19 3 3 5 13" xfId="4249"/>
    <cellStyle name="常规 19 3 3 5 14" xfId="20341"/>
    <cellStyle name="常规 19 3 3 5 15" xfId="20344"/>
    <cellStyle name="常规 19 3 3 5 16" xfId="20346"/>
    <cellStyle name="常规 19 3 3 5 17" xfId="20348"/>
    <cellStyle name="常规 19 3 3 5 2" xfId="9708"/>
    <cellStyle name="常规 19 3 3 5 2 2" xfId="12830"/>
    <cellStyle name="常规 19 3 3 5 2 3" xfId="12833"/>
    <cellStyle name="常规 19 3 3 5 2 4" xfId="12836"/>
    <cellStyle name="常规 19 3 3 5 2 5" xfId="12840"/>
    <cellStyle name="常规 19 3 3 5 2 6" xfId="12843"/>
    <cellStyle name="常规 19 3 3 5 2 7" xfId="12845"/>
    <cellStyle name="常规 19 3 3 5 2 8" xfId="20349"/>
    <cellStyle name="常规 19 3 3 5 3" xfId="20350"/>
    <cellStyle name="常规 19 3 3 5 3 2" xfId="5325"/>
    <cellStyle name="常规 19 3 3 5 3 3" xfId="5339"/>
    <cellStyle name="常规 19 3 3 5 3 4" xfId="12851"/>
    <cellStyle name="常规 19 3 3 5 3 5" xfId="12853"/>
    <cellStyle name="常规 19 3 3 5 3 6" xfId="12856"/>
    <cellStyle name="常规 19 3 3 5 3 7" xfId="12859"/>
    <cellStyle name="常规 19 3 3 5 3 8" xfId="20351"/>
    <cellStyle name="常规 19 3 3 5 4" xfId="5344"/>
    <cellStyle name="常规 19 3 3 5 4 2" xfId="12866"/>
    <cellStyle name="常规 19 3 3 5 4 3" xfId="12869"/>
    <cellStyle name="常规 19 3 3 5 4 4" xfId="12871"/>
    <cellStyle name="常规 19 3 3 5 4 5" xfId="12873"/>
    <cellStyle name="常规 19 3 3 5 4 6" xfId="12876"/>
    <cellStyle name="常规 19 3 3 5 4 7" xfId="10264"/>
    <cellStyle name="常规 19 3 3 5 4 8" xfId="20353"/>
    <cellStyle name="常规 19 3 3 5 5" xfId="5360"/>
    <cellStyle name="常规 19 3 3 5 5 2" xfId="12882"/>
    <cellStyle name="常规 19 3 3 5 5 3" xfId="12885"/>
    <cellStyle name="常规 19 3 3 5 5 4" xfId="12887"/>
    <cellStyle name="常规 19 3 3 5 5 5" xfId="12889"/>
    <cellStyle name="常规 19 3 3 5 5 6" xfId="12892"/>
    <cellStyle name="常规 19 3 3 5 5 7" xfId="12895"/>
    <cellStyle name="常规 19 3 3 5 5 8" xfId="20355"/>
    <cellStyle name="常规 19 3 3 5 6" xfId="20357"/>
    <cellStyle name="常规 19 3 3 5 6 2" xfId="12901"/>
    <cellStyle name="常规 19 3 3 5 6 3" xfId="12903"/>
    <cellStyle name="常规 19 3 3 5 6 4" xfId="12905"/>
    <cellStyle name="常规 19 3 3 5 6 5" xfId="12907"/>
    <cellStyle name="常规 19 3 3 5 6 6" xfId="12910"/>
    <cellStyle name="常规 19 3 3 5 6 7" xfId="12913"/>
    <cellStyle name="常规 19 3 3 5 6 8" xfId="4299"/>
    <cellStyle name="常规 19 3 3 5 7" xfId="20359"/>
    <cellStyle name="常规 19 3 3 5 7 2" xfId="20360"/>
    <cellStyle name="常规 19 3 3 5 7 3" xfId="20361"/>
    <cellStyle name="常规 19 3 3 5 7 4" xfId="20362"/>
    <cellStyle name="常规 19 3 3 5 7 5" xfId="20363"/>
    <cellStyle name="常规 19 3 3 5 7 6" xfId="20364"/>
    <cellStyle name="常规 19 3 3 5 7 7" xfId="20367"/>
    <cellStyle name="常规 19 3 3 5 7 8" xfId="8434"/>
    <cellStyle name="常规 19 3 3 5 8" xfId="20370"/>
    <cellStyle name="常规 19 3 3 5 8 2" xfId="20372"/>
    <cellStyle name="常规 19 3 3 5 8 3" xfId="20374"/>
    <cellStyle name="常规 19 3 3 5 8 4" xfId="20376"/>
    <cellStyle name="常规 19 3 3 5 8 5" xfId="20377"/>
    <cellStyle name="常规 19 3 3 5 8 6" xfId="20378"/>
    <cellStyle name="常规 19 3 3 5 8 7" xfId="20381"/>
    <cellStyle name="常规 19 3 3 5 8 8" xfId="20384"/>
    <cellStyle name="常规 19 3 3 5 9" xfId="20386"/>
    <cellStyle name="常规 19 3 3 5 9 2" xfId="20388"/>
    <cellStyle name="常规 19 3 3 5 9 3" xfId="20389"/>
    <cellStyle name="常规 19 3 3 5 9 4" xfId="20390"/>
    <cellStyle name="常规 19 3 3 5 9 5" xfId="20391"/>
    <cellStyle name="常规 19 3 3 5 9 6" xfId="20392"/>
    <cellStyle name="常规 19 3 3 5 9 7" xfId="20394"/>
    <cellStyle name="常规 19 3 3 5 9 8" xfId="20396"/>
    <cellStyle name="常规 19 3 3 6" xfId="20397"/>
    <cellStyle name="常规 19 3 3 6 2" xfId="9715"/>
    <cellStyle name="常规 19 3 3 6 3" xfId="5381"/>
    <cellStyle name="常规 19 3 3 6 4" xfId="5399"/>
    <cellStyle name="常规 19 3 3 6 5" xfId="5411"/>
    <cellStyle name="常规 19 3 3 6 6" xfId="20398"/>
    <cellStyle name="常规 19 3 3 6 7" xfId="20399"/>
    <cellStyle name="常规 19 3 3 6 8" xfId="20400"/>
    <cellStyle name="常规 19 3 3 7" xfId="20401"/>
    <cellStyle name="常规 19 3 3 7 2" xfId="20402"/>
    <cellStyle name="常规 19 3 3 7 3" xfId="20403"/>
    <cellStyle name="常规 19 3 3 7 4" xfId="20404"/>
    <cellStyle name="常规 19 3 3 7 5" xfId="20406"/>
    <cellStyle name="常规 19 3 3 7 6" xfId="20408"/>
    <cellStyle name="常规 19 3 3 7 7" xfId="20409"/>
    <cellStyle name="常规 19 3 3 7 8" xfId="20410"/>
    <cellStyle name="常规 19 3 3 8" xfId="20411"/>
    <cellStyle name="常规 19 3 3 8 2" xfId="20413"/>
    <cellStyle name="常规 19 3 3 8 3" xfId="9679"/>
    <cellStyle name="常规 19 3 3 8 4" xfId="9699"/>
    <cellStyle name="常规 19 3 3 8 5" xfId="9713"/>
    <cellStyle name="常规 19 3 3 8 6" xfId="9724"/>
    <cellStyle name="常规 19 3 3 8 7" xfId="20415"/>
    <cellStyle name="常规 19 3 3 8 8" xfId="20416"/>
    <cellStyle name="常规 19 3 3 9" xfId="1695"/>
    <cellStyle name="常规 19 3 3 9 2" xfId="1981"/>
    <cellStyle name="常规 19 3 3 9 3" xfId="2020"/>
    <cellStyle name="常规 19 3 3 9 4" xfId="2076"/>
    <cellStyle name="常规 19 3 3 9 5" xfId="1037"/>
    <cellStyle name="常规 19 3 3 9 6" xfId="20417"/>
    <cellStyle name="常规 19 3 3 9 7" xfId="20418"/>
    <cellStyle name="常规 19 3 3 9 8" xfId="20419"/>
    <cellStyle name="常规 19 3 4" xfId="12454"/>
    <cellStyle name="常规 19 3 4 10" xfId="20420"/>
    <cellStyle name="常规 19 3 4 10 2" xfId="20422"/>
    <cellStyle name="常规 19 3 4 10 3" xfId="20424"/>
    <cellStyle name="常规 19 3 4 10 4" xfId="20426"/>
    <cellStyle name="常规 19 3 4 10 5" xfId="20428"/>
    <cellStyle name="常规 19 3 4 10 6" xfId="20430"/>
    <cellStyle name="常规 19 3 4 10 7" xfId="10368"/>
    <cellStyle name="常规 19 3 4 10 8" xfId="10370"/>
    <cellStyle name="常规 19 3 4 11" xfId="20432"/>
    <cellStyle name="常规 19 3 4 11 2" xfId="15562"/>
    <cellStyle name="常规 19 3 4 11 3" xfId="20434"/>
    <cellStyle name="常规 19 3 4 11 4" xfId="20437"/>
    <cellStyle name="常规 19 3 4 11 5" xfId="20439"/>
    <cellStyle name="常规 19 3 4 11 6" xfId="20441"/>
    <cellStyle name="常规 19 3 4 11 7" xfId="20444"/>
    <cellStyle name="常规 19 3 4 11 8" xfId="20447"/>
    <cellStyle name="常规 19 3 4 12" xfId="20449"/>
    <cellStyle name="常规 19 3 4 12 2" xfId="20450"/>
    <cellStyle name="常规 19 3 4 12 3" xfId="20452"/>
    <cellStyle name="常规 19 3 4 12 4" xfId="20454"/>
    <cellStyle name="常规 19 3 4 12 5" xfId="20456"/>
    <cellStyle name="常规 19 3 4 12 6" xfId="20458"/>
    <cellStyle name="常规 19 3 4 12 7" xfId="20461"/>
    <cellStyle name="常规 19 3 4 12 8" xfId="20463"/>
    <cellStyle name="常规 19 3 4 13" xfId="20465"/>
    <cellStyle name="常规 19 3 4 13 2" xfId="20466"/>
    <cellStyle name="常规 19 3 4 13 3" xfId="20467"/>
    <cellStyle name="常规 19 3 4 13 4" xfId="20468"/>
    <cellStyle name="常规 19 3 4 13 5" xfId="20469"/>
    <cellStyle name="常规 19 3 4 13 6" xfId="20470"/>
    <cellStyle name="常规 19 3 4 13 7" xfId="20471"/>
    <cellStyle name="常规 19 3 4 13 8" xfId="20472"/>
    <cellStyle name="常规 19 3 4 14" xfId="20474"/>
    <cellStyle name="常规 19 3 4 14 2" xfId="20475"/>
    <cellStyle name="常规 19 3 4 14 3" xfId="20477"/>
    <cellStyle name="常规 19 3 4 14 4" xfId="20479"/>
    <cellStyle name="常规 19 3 4 14 5" xfId="20481"/>
    <cellStyle name="常规 19 3 4 14 6" xfId="20484"/>
    <cellStyle name="常规 19 3 4 14 7" xfId="20486"/>
    <cellStyle name="常规 19 3 4 14 8" xfId="20488"/>
    <cellStyle name="常规 19 3 4 15" xfId="20490"/>
    <cellStyle name="常规 19 3 4 15 2" xfId="20491"/>
    <cellStyle name="常规 19 3 4 15 3" xfId="20492"/>
    <cellStyle name="常规 19 3 4 15 4" xfId="20493"/>
    <cellStyle name="常规 19 3 4 15 5" xfId="20494"/>
    <cellStyle name="常规 19 3 4 15 6" xfId="20495"/>
    <cellStyle name="常规 19 3 4 15 7" xfId="20496"/>
    <cellStyle name="常规 19 3 4 16" xfId="20498"/>
    <cellStyle name="常规 19 3 4 17" xfId="20500"/>
    <cellStyle name="常规 19 3 4 18" xfId="20501"/>
    <cellStyle name="常规 19 3 4 19" xfId="20502"/>
    <cellStyle name="常规 19 3 4 2" xfId="12457"/>
    <cellStyle name="常规 19 3 4 2 10" xfId="3080"/>
    <cellStyle name="常规 19 3 4 2 10 2" xfId="3093"/>
    <cellStyle name="常规 19 3 4 2 10 3" xfId="3141"/>
    <cellStyle name="常规 19 3 4 2 10 4" xfId="1678"/>
    <cellStyle name="常规 19 3 4 2 10 5" xfId="1700"/>
    <cellStyle name="常规 19 3 4 2 10 6" xfId="7142"/>
    <cellStyle name="常规 19 3 4 2 10 7" xfId="7145"/>
    <cellStyle name="常规 19 3 4 2 10 8" xfId="7627"/>
    <cellStyle name="常规 19 3 4 2 11" xfId="20503"/>
    <cellStyle name="常规 19 3 4 2 11 2" xfId="20504"/>
    <cellStyle name="常规 19 3 4 2 11 3" xfId="3173"/>
    <cellStyle name="常规 19 3 4 2 11 4" xfId="521"/>
    <cellStyle name="常规 19 3 4 2 11 5" xfId="20506"/>
    <cellStyle name="常规 19 3 4 2 11 6" xfId="7155"/>
    <cellStyle name="常规 19 3 4 2 11 7" xfId="7157"/>
    <cellStyle name="常规 19 3 4 2 11 8" xfId="7635"/>
    <cellStyle name="常规 19 3 4 2 12" xfId="20507"/>
    <cellStyle name="常规 19 3 4 2 12 2" xfId="20508"/>
    <cellStyle name="常规 19 3 4 2 12 3" xfId="20509"/>
    <cellStyle name="常规 19 3 4 2 12 4" xfId="151"/>
    <cellStyle name="常规 19 3 4 2 12 5" xfId="20510"/>
    <cellStyle name="常规 19 3 4 2 12 6" xfId="20511"/>
    <cellStyle name="常规 19 3 4 2 12 7" xfId="20512"/>
    <cellStyle name="常规 19 3 4 2 12 8" xfId="20513"/>
    <cellStyle name="常规 19 3 4 2 13" xfId="20514"/>
    <cellStyle name="常规 19 3 4 2 13 2" xfId="20515"/>
    <cellStyle name="常规 19 3 4 2 13 3" xfId="20516"/>
    <cellStyle name="常规 19 3 4 2 13 4" xfId="20517"/>
    <cellStyle name="常规 19 3 4 2 13 5" xfId="20518"/>
    <cellStyle name="常规 19 3 4 2 13 6" xfId="10158"/>
    <cellStyle name="常规 19 3 4 2 13 7" xfId="10162"/>
    <cellStyle name="常规 19 3 4 2 14" xfId="1397"/>
    <cellStyle name="常规 19 3 4 2 15" xfId="928"/>
    <cellStyle name="常规 19 3 4 2 16" xfId="20519"/>
    <cellStyle name="常规 19 3 4 2 17" xfId="20520"/>
    <cellStyle name="常规 19 3 4 2 18" xfId="4727"/>
    <cellStyle name="常规 19 3 4 2 19" xfId="4737"/>
    <cellStyle name="常规 19 3 4 2 2" xfId="10331"/>
    <cellStyle name="常规 19 3 4 2 2 10" xfId="16849"/>
    <cellStyle name="常规 19 3 4 2 2 10 2" xfId="20521"/>
    <cellStyle name="常规 19 3 4 2 2 10 3" xfId="19099"/>
    <cellStyle name="常规 19 3 4 2 2 10 4" xfId="19101"/>
    <cellStyle name="常规 19 3 4 2 2 10 5" xfId="19103"/>
    <cellStyle name="常规 19 3 4 2 2 10 6" xfId="29"/>
    <cellStyle name="常规 19 3 4 2 2 10 7" xfId="379"/>
    <cellStyle name="常规 19 3 4 2 2 10 8" xfId="315"/>
    <cellStyle name="常规 19 3 4 2 2 11" xfId="16851"/>
    <cellStyle name="常规 19 3 4 2 2 11 2" xfId="20522"/>
    <cellStyle name="常规 19 3 4 2 2 11 3" xfId="20523"/>
    <cellStyle name="常规 19 3 4 2 2 11 4" xfId="20524"/>
    <cellStyle name="常规 19 3 4 2 2 11 5" xfId="20525"/>
    <cellStyle name="常规 19 3 4 2 2 11 6" xfId="20526"/>
    <cellStyle name="常规 19 3 4 2 2 11 7" xfId="11359"/>
    <cellStyle name="常规 19 3 4 2 2 11 8" xfId="11367"/>
    <cellStyle name="常规 19 3 4 2 2 12" xfId="16855"/>
    <cellStyle name="常规 19 3 4 2 2 12 2" xfId="20527"/>
    <cellStyle name="常规 19 3 4 2 2 12 3" xfId="20529"/>
    <cellStyle name="常规 19 3 4 2 2 12 4" xfId="20531"/>
    <cellStyle name="常规 19 3 4 2 2 12 5" xfId="20534"/>
    <cellStyle name="常规 19 3 4 2 2 12 6" xfId="20536"/>
    <cellStyle name="常规 19 3 4 2 2 12 7" xfId="11378"/>
    <cellStyle name="常规 19 3 4 2 2 13" xfId="16859"/>
    <cellStyle name="常规 19 3 4 2 2 14" xfId="16863"/>
    <cellStyle name="常规 19 3 4 2 2 15" xfId="16867"/>
    <cellStyle name="常规 19 3 4 2 2 16" xfId="16871"/>
    <cellStyle name="常规 19 3 4 2 2 17" xfId="9280"/>
    <cellStyle name="常规 19 3 4 2 2 18" xfId="9285"/>
    <cellStyle name="常规 19 3 4 2 2 19" xfId="20538"/>
    <cellStyle name="常规 19 3 4 2 2 2" xfId="20539"/>
    <cellStyle name="常规 19 3 4 2 2 2 10" xfId="20540"/>
    <cellStyle name="常规 19 3 4 2 2 2 10 2" xfId="20542"/>
    <cellStyle name="常规 19 3 4 2 2 2 10 3" xfId="20544"/>
    <cellStyle name="常规 19 3 4 2 2 2 10 4" xfId="20546"/>
    <cellStyle name="常规 19 3 4 2 2 2 10 5" xfId="20548"/>
    <cellStyle name="常规 19 3 4 2 2 2 10 6" xfId="20550"/>
    <cellStyle name="常规 19 3 4 2 2 2 10 7" xfId="20552"/>
    <cellStyle name="常规 19 3 4 2 2 2 11" xfId="20555"/>
    <cellStyle name="常规 19 3 4 2 2 2 12" xfId="20556"/>
    <cellStyle name="常规 19 3 4 2 2 2 13" xfId="12299"/>
    <cellStyle name="常规 19 3 4 2 2 2 14" xfId="12302"/>
    <cellStyle name="常规 19 3 4 2 2 2 15" xfId="20558"/>
    <cellStyle name="常规 19 3 4 2 2 2 16" xfId="20322"/>
    <cellStyle name="常规 19 3 4 2 2 2 17" xfId="6810"/>
    <cellStyle name="常规 19 3 4 2 2 2 2" xfId="20560"/>
    <cellStyle name="常规 19 3 4 2 2 2 2 2" xfId="19415"/>
    <cellStyle name="常规 19 3 4 2 2 2 2 3" xfId="19422"/>
    <cellStyle name="常规 19 3 4 2 2 2 2 4" xfId="8277"/>
    <cellStyle name="常规 19 3 4 2 2 2 2 5" xfId="1484"/>
    <cellStyle name="常规 19 3 4 2 2 2 2 6" xfId="19424"/>
    <cellStyle name="常规 19 3 4 2 2 2 2 7" xfId="19427"/>
    <cellStyle name="常规 19 3 4 2 2 2 2 8" xfId="19429"/>
    <cellStyle name="常规 19 3 4 2 2 2 3" xfId="20562"/>
    <cellStyle name="常规 19 3 4 2 2 2 3 2" xfId="20563"/>
    <cellStyle name="常规 19 3 4 2 2 2 3 3" xfId="20564"/>
    <cellStyle name="常规 19 3 4 2 2 2 3 4" xfId="8296"/>
    <cellStyle name="常规 19 3 4 2 2 2 3 5" xfId="166"/>
    <cellStyle name="常规 19 3 4 2 2 2 3 6" xfId="20565"/>
    <cellStyle name="常规 19 3 4 2 2 2 3 7" xfId="20566"/>
    <cellStyle name="常规 19 3 4 2 2 2 3 8" xfId="20567"/>
    <cellStyle name="常规 19 3 4 2 2 2 4" xfId="20569"/>
    <cellStyle name="常规 19 3 4 2 2 2 4 2" xfId="20570"/>
    <cellStyle name="常规 19 3 4 2 2 2 4 3" xfId="20571"/>
    <cellStyle name="常规 19 3 4 2 2 2 4 4" xfId="20572"/>
    <cellStyle name="常规 19 3 4 2 2 2 4 5" xfId="20573"/>
    <cellStyle name="常规 19 3 4 2 2 2 4 6" xfId="20574"/>
    <cellStyle name="常规 19 3 4 2 2 2 4 7" xfId="20575"/>
    <cellStyle name="常规 19 3 4 2 2 2 4 8" xfId="20576"/>
    <cellStyle name="常规 19 3 4 2 2 2 5" xfId="20578"/>
    <cellStyle name="常规 19 3 4 2 2 2 5 2" xfId="20579"/>
    <cellStyle name="常规 19 3 4 2 2 2 5 3" xfId="20581"/>
    <cellStyle name="常规 19 3 4 2 2 2 5 4" xfId="20582"/>
    <cellStyle name="常规 19 3 4 2 2 2 5 5" xfId="20583"/>
    <cellStyle name="常规 19 3 4 2 2 2 5 6" xfId="9751"/>
    <cellStyle name="常规 19 3 4 2 2 2 5 7" xfId="9278"/>
    <cellStyle name="常规 19 3 4 2 2 2 5 8" xfId="7119"/>
    <cellStyle name="常规 19 3 4 2 2 2 6" xfId="20585"/>
    <cellStyle name="常规 19 3 4 2 2 2 6 2" xfId="20587"/>
    <cellStyle name="常规 19 3 4 2 2 2 6 3" xfId="20590"/>
    <cellStyle name="常规 19 3 4 2 2 2 6 4" xfId="20592"/>
    <cellStyle name="常规 19 3 4 2 2 2 6 5" xfId="20594"/>
    <cellStyle name="常规 19 3 4 2 2 2 6 6" xfId="20595"/>
    <cellStyle name="常规 19 3 4 2 2 2 6 7" xfId="9297"/>
    <cellStyle name="常规 19 3 4 2 2 2 6 8" xfId="9299"/>
    <cellStyle name="常规 19 3 4 2 2 2 7" xfId="20597"/>
    <cellStyle name="常规 19 3 4 2 2 2 7 2" xfId="19475"/>
    <cellStyle name="常规 19 3 4 2 2 2 7 3" xfId="19478"/>
    <cellStyle name="常规 19 3 4 2 2 2 7 4" xfId="19480"/>
    <cellStyle name="常规 19 3 4 2 2 2 7 5" xfId="19482"/>
    <cellStyle name="常规 19 3 4 2 2 2 7 6" xfId="19485"/>
    <cellStyle name="常规 19 3 4 2 2 2 7 7" xfId="9305"/>
    <cellStyle name="常规 19 3 4 2 2 2 7 8" xfId="7581"/>
    <cellStyle name="常规 19 3 4 2 2 2 8" xfId="15518"/>
    <cellStyle name="常规 19 3 4 2 2 2 8 2" xfId="15995"/>
    <cellStyle name="常规 19 3 4 2 2 2 8 3" xfId="16001"/>
    <cellStyle name="常规 19 3 4 2 2 2 8 4" xfId="6427"/>
    <cellStyle name="常规 19 3 4 2 2 2 8 5" xfId="6745"/>
    <cellStyle name="常规 19 3 4 2 2 2 8 6" xfId="16020"/>
    <cellStyle name="常规 19 3 4 2 2 2 8 7" xfId="16030"/>
    <cellStyle name="常规 19 3 4 2 2 2 8 8" xfId="10649"/>
    <cellStyle name="常规 19 3 4 2 2 2 9" xfId="3914"/>
    <cellStyle name="常规 19 3 4 2 2 2 9 2" xfId="16040"/>
    <cellStyle name="常规 19 3 4 2 2 2 9 3" xfId="16042"/>
    <cellStyle name="常规 19 3 4 2 2 2 9 4" xfId="16044"/>
    <cellStyle name="常规 19 3 4 2 2 2 9 5" xfId="16046"/>
    <cellStyle name="常规 19 3 4 2 2 2 9 6" xfId="16048"/>
    <cellStyle name="常规 19 3 4 2 2 2 9 7" xfId="20598"/>
    <cellStyle name="常规 19 3 4 2 2 2 9 8" xfId="745"/>
    <cellStyle name="常规 19 3 4 2 2 3" xfId="20599"/>
    <cellStyle name="常规 19 3 4 2 2 3 2" xfId="20600"/>
    <cellStyle name="常规 19 3 4 2 2 3 3" xfId="20601"/>
    <cellStyle name="常规 19 3 4 2 2 3 4" xfId="20603"/>
    <cellStyle name="常规 19 3 4 2 2 3 5" xfId="20604"/>
    <cellStyle name="常规 19 3 4 2 2 3 6" xfId="20606"/>
    <cellStyle name="常规 19 3 4 2 2 3 7" xfId="20608"/>
    <cellStyle name="常规 19 3 4 2 2 3 8" xfId="15534"/>
    <cellStyle name="常规 19 3 4 2 2 4" xfId="20609"/>
    <cellStyle name="常规 19 3 4 2 2 4 2" xfId="13416"/>
    <cellStyle name="常规 19 3 4 2 2 4 3" xfId="41"/>
    <cellStyle name="常规 19 3 4 2 2 4 4" xfId="395"/>
    <cellStyle name="常规 19 3 4 2 2 4 5" xfId="7664"/>
    <cellStyle name="常规 19 3 4 2 2 4 6" xfId="7669"/>
    <cellStyle name="常规 19 3 4 2 2 4 7" xfId="8240"/>
    <cellStyle name="常规 19 3 4 2 2 4 8" xfId="8244"/>
    <cellStyle name="常规 19 3 4 2 2 5" xfId="20610"/>
    <cellStyle name="常规 19 3 4 2 2 5 2" xfId="20611"/>
    <cellStyle name="常规 19 3 4 2 2 5 3" xfId="20613"/>
    <cellStyle name="常规 19 3 4 2 2 5 4" xfId="20614"/>
    <cellStyle name="常规 19 3 4 2 2 5 5" xfId="20615"/>
    <cellStyle name="常规 19 3 4 2 2 5 6" xfId="20616"/>
    <cellStyle name="常规 19 3 4 2 2 5 7" xfId="20617"/>
    <cellStyle name="常规 19 3 4 2 2 5 8" xfId="20618"/>
    <cellStyle name="常规 19 3 4 2 2 6" xfId="20619"/>
    <cellStyle name="常规 19 3 4 2 2 6 2" xfId="20620"/>
    <cellStyle name="常规 19 3 4 2 2 6 3" xfId="20622"/>
    <cellStyle name="常规 19 3 4 2 2 6 4" xfId="20623"/>
    <cellStyle name="常规 19 3 4 2 2 6 5" xfId="20624"/>
    <cellStyle name="常规 19 3 4 2 2 6 6" xfId="20626"/>
    <cellStyle name="常规 19 3 4 2 2 6 7" xfId="20628"/>
    <cellStyle name="常规 19 3 4 2 2 6 8" xfId="20629"/>
    <cellStyle name="常规 19 3 4 2 2 7" xfId="20630"/>
    <cellStyle name="常规 19 3 4 2 2 7 2" xfId="20632"/>
    <cellStyle name="常规 19 3 4 2 2 7 3" xfId="7264"/>
    <cellStyle name="常规 19 3 4 2 2 7 4" xfId="10181"/>
    <cellStyle name="常规 19 3 4 2 2 7 5" xfId="20635"/>
    <cellStyle name="常规 19 3 4 2 2 7 6" xfId="20637"/>
    <cellStyle name="常规 19 3 4 2 2 7 7" xfId="20639"/>
    <cellStyle name="常规 19 3 4 2 2 7 8" xfId="20640"/>
    <cellStyle name="常规 19 3 4 2 2 8" xfId="20641"/>
    <cellStyle name="常规 19 3 4 2 2 8 2" xfId="20644"/>
    <cellStyle name="常规 19 3 4 2 2 8 3" xfId="10186"/>
    <cellStyle name="常规 19 3 4 2 2 8 4" xfId="10188"/>
    <cellStyle name="常规 19 3 4 2 2 8 5" xfId="20645"/>
    <cellStyle name="常规 19 3 4 2 2 8 6" xfId="20646"/>
    <cellStyle name="常规 19 3 4 2 2 8 7" xfId="20647"/>
    <cellStyle name="常规 19 3 4 2 2 8 8" xfId="20648"/>
    <cellStyle name="常规 19 3 4 2 2 9" xfId="20649"/>
    <cellStyle name="常规 19 3 4 2 2 9 2" xfId="20652"/>
    <cellStyle name="常规 19 3 4 2 2 9 3" xfId="20653"/>
    <cellStyle name="常规 19 3 4 2 2 9 4" xfId="20654"/>
    <cellStyle name="常规 19 3 4 2 2 9 5" xfId="20655"/>
    <cellStyle name="常规 19 3 4 2 2 9 6" xfId="20657"/>
    <cellStyle name="常规 19 3 4 2 2 9 7" xfId="20659"/>
    <cellStyle name="常规 19 3 4 2 2 9 8" xfId="20660"/>
    <cellStyle name="常规 19 3 4 2 20" xfId="929"/>
    <cellStyle name="常规 19 3 4 2 3" xfId="20661"/>
    <cellStyle name="常规 19 3 4 2 3 10" xfId="20662"/>
    <cellStyle name="常规 19 3 4 2 3 10 2" xfId="8686"/>
    <cellStyle name="常规 19 3 4 2 3 10 3" xfId="20663"/>
    <cellStyle name="常规 19 3 4 2 3 10 4" xfId="20664"/>
    <cellStyle name="常规 19 3 4 2 3 10 5" xfId="20665"/>
    <cellStyle name="常规 19 3 4 2 3 10 6" xfId="20666"/>
    <cellStyle name="常规 19 3 4 2 3 10 7" xfId="20668"/>
    <cellStyle name="常规 19 3 4 2 3 11" xfId="20670"/>
    <cellStyle name="常规 19 3 4 2 3 12" xfId="20671"/>
    <cellStyle name="常规 19 3 4 2 3 13" xfId="20673"/>
    <cellStyle name="常规 19 3 4 2 3 14" xfId="20676"/>
    <cellStyle name="常规 19 3 4 2 3 15" xfId="20678"/>
    <cellStyle name="常规 19 3 4 2 3 16" xfId="20679"/>
    <cellStyle name="常规 19 3 4 2 3 17" xfId="10020"/>
    <cellStyle name="常规 19 3 4 2 3 2" xfId="20680"/>
    <cellStyle name="常规 19 3 4 2 3 2 2" xfId="11771"/>
    <cellStyle name="常规 19 3 4 2 3 2 3" xfId="16112"/>
    <cellStyle name="常规 19 3 4 2 3 2 4" xfId="3293"/>
    <cellStyle name="常规 19 3 4 2 3 2 5" xfId="3350"/>
    <cellStyle name="常规 19 3 4 2 3 2 6" xfId="16114"/>
    <cellStyle name="常规 19 3 4 2 3 2 7" xfId="16116"/>
    <cellStyle name="常规 19 3 4 2 3 2 8" xfId="16118"/>
    <cellStyle name="常规 19 3 4 2 3 3" xfId="6225"/>
    <cellStyle name="常规 19 3 4 2 3 3 2" xfId="11322"/>
    <cellStyle name="常规 19 3 4 2 3 3 3" xfId="11325"/>
    <cellStyle name="常规 19 3 4 2 3 3 4" xfId="20681"/>
    <cellStyle name="常规 19 3 4 2 3 3 5" xfId="20682"/>
    <cellStyle name="常规 19 3 4 2 3 3 6" xfId="20684"/>
    <cellStyle name="常规 19 3 4 2 3 3 7" xfId="20686"/>
    <cellStyle name="常规 19 3 4 2 3 3 8" xfId="20687"/>
    <cellStyle name="常规 19 3 4 2 3 4" xfId="6230"/>
    <cellStyle name="常规 19 3 4 2 3 4 2" xfId="20688"/>
    <cellStyle name="常规 19 3 4 2 3 4 3" xfId="20689"/>
    <cellStyle name="常规 19 3 4 2 3 4 4" xfId="20690"/>
    <cellStyle name="常规 19 3 4 2 3 4 5" xfId="20691"/>
    <cellStyle name="常规 19 3 4 2 3 4 6" xfId="20693"/>
    <cellStyle name="常规 19 3 4 2 3 4 7" xfId="20695"/>
    <cellStyle name="常规 19 3 4 2 3 4 8" xfId="20696"/>
    <cellStyle name="常规 19 3 4 2 3 5" xfId="20697"/>
    <cellStyle name="常规 19 3 4 2 3 5 2" xfId="20698"/>
    <cellStyle name="常规 19 3 4 2 3 5 3" xfId="20699"/>
    <cellStyle name="常规 19 3 4 2 3 5 4" xfId="20701"/>
    <cellStyle name="常规 19 3 4 2 3 5 5" xfId="20703"/>
    <cellStyle name="常规 19 3 4 2 3 5 6" xfId="20705"/>
    <cellStyle name="常规 19 3 4 2 3 5 7" xfId="20706"/>
    <cellStyle name="常规 19 3 4 2 3 5 8" xfId="20707"/>
    <cellStyle name="常规 19 3 4 2 3 6" xfId="20708"/>
    <cellStyle name="常规 19 3 4 2 3 6 2" xfId="20709"/>
    <cellStyle name="常规 19 3 4 2 3 6 3" xfId="20710"/>
    <cellStyle name="常规 19 3 4 2 3 6 4" xfId="20712"/>
    <cellStyle name="常规 19 3 4 2 3 6 5" xfId="20714"/>
    <cellStyle name="常规 19 3 4 2 3 6 6" xfId="20717"/>
    <cellStyle name="常规 19 3 4 2 3 6 7" xfId="20718"/>
    <cellStyle name="常规 19 3 4 2 3 6 8" xfId="20719"/>
    <cellStyle name="常规 19 3 4 2 3 7" xfId="20720"/>
    <cellStyle name="常规 19 3 4 2 3 7 2" xfId="20721"/>
    <cellStyle name="常规 19 3 4 2 3 7 3" xfId="6197"/>
    <cellStyle name="常规 19 3 4 2 3 7 4" xfId="6203"/>
    <cellStyle name="常规 19 3 4 2 3 7 5" xfId="20722"/>
    <cellStyle name="常规 19 3 4 2 3 7 6" xfId="20723"/>
    <cellStyle name="常规 19 3 4 2 3 7 7" xfId="20724"/>
    <cellStyle name="常规 19 3 4 2 3 7 8" xfId="20725"/>
    <cellStyle name="常规 19 3 4 2 3 8" xfId="20726"/>
    <cellStyle name="常规 19 3 4 2 3 8 2" xfId="20728"/>
    <cellStyle name="常规 19 3 4 2 3 8 3" xfId="20729"/>
    <cellStyle name="常规 19 3 4 2 3 8 4" xfId="20730"/>
    <cellStyle name="常规 19 3 4 2 3 8 5" xfId="20731"/>
    <cellStyle name="常规 19 3 4 2 3 8 6" xfId="20732"/>
    <cellStyle name="常规 19 3 4 2 3 8 7" xfId="20733"/>
    <cellStyle name="常规 19 3 4 2 3 8 8" xfId="20734"/>
    <cellStyle name="常规 19 3 4 2 3 9" xfId="20735"/>
    <cellStyle name="常规 19 3 4 2 3 9 2" xfId="20737"/>
    <cellStyle name="常规 19 3 4 2 3 9 3" xfId="20738"/>
    <cellStyle name="常规 19 3 4 2 3 9 4" xfId="20739"/>
    <cellStyle name="常规 19 3 4 2 3 9 5" xfId="20740"/>
    <cellStyle name="常规 19 3 4 2 3 9 6" xfId="6185"/>
    <cellStyle name="常规 19 3 4 2 3 9 7" xfId="6209"/>
    <cellStyle name="常规 19 3 4 2 3 9 8" xfId="485"/>
    <cellStyle name="常规 19 3 4 2 4" xfId="20741"/>
    <cellStyle name="常规 19 3 4 2 4 2" xfId="20742"/>
    <cellStyle name="常规 19 3 4 2 4 3" xfId="11328"/>
    <cellStyle name="常规 19 3 4 2 4 4" xfId="11331"/>
    <cellStyle name="常规 19 3 4 2 4 5" xfId="20743"/>
    <cellStyle name="常规 19 3 4 2 4 6" xfId="20745"/>
    <cellStyle name="常规 19 3 4 2 4 7" xfId="6244"/>
    <cellStyle name="常规 19 3 4 2 4 8" xfId="6259"/>
    <cellStyle name="常规 19 3 4 2 5" xfId="20747"/>
    <cellStyle name="常规 19 3 4 2 5 2" xfId="20748"/>
    <cellStyle name="常规 19 3 4 2 5 3" xfId="20749"/>
    <cellStyle name="常规 19 3 4 2 5 4" xfId="20750"/>
    <cellStyle name="常规 19 3 4 2 5 5" xfId="20751"/>
    <cellStyle name="常规 19 3 4 2 5 6" xfId="20752"/>
    <cellStyle name="常规 19 3 4 2 5 7" xfId="20753"/>
    <cellStyle name="常规 19 3 4 2 5 8" xfId="5790"/>
    <cellStyle name="常规 19 3 4 2 6" xfId="20754"/>
    <cellStyle name="常规 19 3 4 2 6 2" xfId="20755"/>
    <cellStyle name="常规 19 3 4 2 6 3" xfId="11731"/>
    <cellStyle name="常规 19 3 4 2 6 4" xfId="11733"/>
    <cellStyle name="常规 19 3 4 2 6 5" xfId="4061"/>
    <cellStyle name="常规 19 3 4 2 6 6" xfId="884"/>
    <cellStyle name="常规 19 3 4 2 6 7" xfId="126"/>
    <cellStyle name="常规 19 3 4 2 6 8" xfId="2202"/>
    <cellStyle name="常规 19 3 4 2 7" xfId="20756"/>
    <cellStyle name="常规 19 3 4 2 7 2" xfId="20760"/>
    <cellStyle name="常规 19 3 4 2 7 3" xfId="20763"/>
    <cellStyle name="常规 19 3 4 2 7 4" xfId="20766"/>
    <cellStyle name="常规 19 3 4 2 7 5" xfId="4172"/>
    <cellStyle name="常规 19 3 4 2 7 6" xfId="4195"/>
    <cellStyle name="常规 19 3 4 2 7 7" xfId="4205"/>
    <cellStyle name="常规 19 3 4 2 7 8" xfId="6308"/>
    <cellStyle name="常规 19 3 4 2 8" xfId="20768"/>
    <cellStyle name="常规 19 3 4 2 8 2" xfId="12383"/>
    <cellStyle name="常规 19 3 4 2 8 3" xfId="20772"/>
    <cellStyle name="常规 19 3 4 2 8 4" xfId="20775"/>
    <cellStyle name="常规 19 3 4 2 8 5" xfId="4214"/>
    <cellStyle name="常规 19 3 4 2 8 6" xfId="4254"/>
    <cellStyle name="常规 19 3 4 2 8 7" xfId="4262"/>
    <cellStyle name="常规 19 3 4 2 8 8" xfId="6334"/>
    <cellStyle name="常规 19 3 4 2 9" xfId="20778"/>
    <cellStyle name="常规 19 3 4 2 9 2" xfId="20781"/>
    <cellStyle name="常规 19 3 4 2 9 3" xfId="12987"/>
    <cellStyle name="常规 19 3 4 2 9 4" xfId="12995"/>
    <cellStyle name="常规 19 3 4 2 9 5" xfId="4268"/>
    <cellStyle name="常规 19 3 4 2 9 6" xfId="4285"/>
    <cellStyle name="常规 19 3 4 2 9 7" xfId="13003"/>
    <cellStyle name="常规 19 3 4 2 9 8" xfId="6650"/>
    <cellStyle name="常规 19 3 4 20" xfId="20489"/>
    <cellStyle name="常规 19 3 4 21" xfId="20497"/>
    <cellStyle name="常规 19 3 4 22" xfId="20499"/>
    <cellStyle name="常规 19 3 4 3" xfId="4071"/>
    <cellStyle name="常规 19 3 4 3 10" xfId="3903"/>
    <cellStyle name="常规 19 3 4 3 10 2" xfId="11596"/>
    <cellStyle name="常规 19 3 4 3 10 3" xfId="7662"/>
    <cellStyle name="常规 19 3 4 3 10 4" xfId="6619"/>
    <cellStyle name="常规 19 3 4 3 10 5" xfId="12756"/>
    <cellStyle name="常规 19 3 4 3 10 6" xfId="12759"/>
    <cellStyle name="常规 19 3 4 3 10 7" xfId="12763"/>
    <cellStyle name="常规 19 3 4 3 10 8" xfId="9978"/>
    <cellStyle name="常规 19 3 4 3 11" xfId="13976"/>
    <cellStyle name="常规 19 3 4 3 11 2" xfId="11610"/>
    <cellStyle name="常规 19 3 4 3 11 3" xfId="7680"/>
    <cellStyle name="常规 19 3 4 3 11 4" xfId="1960"/>
    <cellStyle name="常规 19 3 4 3 11 5" xfId="12767"/>
    <cellStyle name="常规 19 3 4 3 11 6" xfId="12772"/>
    <cellStyle name="常规 19 3 4 3 11 7" xfId="12778"/>
    <cellStyle name="常规 19 3 4 3 11 8" xfId="15959"/>
    <cellStyle name="常规 19 3 4 3 12" xfId="13979"/>
    <cellStyle name="常规 19 3 4 3 12 2" xfId="9565"/>
    <cellStyle name="常规 19 3 4 3 12 3" xfId="16036"/>
    <cellStyle name="常规 19 3 4 3 12 4" xfId="16051"/>
    <cellStyle name="常规 19 3 4 3 12 5" xfId="16061"/>
    <cellStyle name="常规 19 3 4 3 12 6" xfId="10214"/>
    <cellStyle name="常规 19 3 4 3 12 7" xfId="10218"/>
    <cellStyle name="常规 19 3 4 3 13" xfId="13983"/>
    <cellStyle name="常规 19 3 4 3 14" xfId="13988"/>
    <cellStyle name="常规 19 3 4 3 15" xfId="16200"/>
    <cellStyle name="常规 19 3 4 3 16" xfId="16214"/>
    <cellStyle name="常规 19 3 4 3 17" xfId="16227"/>
    <cellStyle name="常规 19 3 4 3 18" xfId="18221"/>
    <cellStyle name="常规 19 3 4 3 19" xfId="18224"/>
    <cellStyle name="常规 19 3 4 3 2" xfId="2004"/>
    <cellStyle name="常规 19 3 4 3 2 10" xfId="4643"/>
    <cellStyle name="常规 19 3 4 3 2 10 2" xfId="5843"/>
    <cellStyle name="常规 19 3 4 3 2 10 3" xfId="5859"/>
    <cellStyle name="常规 19 3 4 3 2 10 4" xfId="405"/>
    <cellStyle name="常规 19 3 4 3 2 10 5" xfId="20782"/>
    <cellStyle name="常规 19 3 4 3 2 10 6" xfId="20784"/>
    <cellStyle name="常规 19 3 4 3 2 10 7" xfId="20785"/>
    <cellStyle name="常规 19 3 4 3 2 11" xfId="4656"/>
    <cellStyle name="常规 19 3 4 3 2 12" xfId="5869"/>
    <cellStyle name="常规 19 3 4 3 2 13" xfId="1722"/>
    <cellStyle name="常规 19 3 4 3 2 14" xfId="1751"/>
    <cellStyle name="常规 19 3 4 3 2 15" xfId="20789"/>
    <cellStyle name="常规 19 3 4 3 2 16" xfId="20790"/>
    <cellStyle name="常规 19 3 4 3 2 17" xfId="20791"/>
    <cellStyle name="常规 19 3 4 3 2 2" xfId="2012"/>
    <cellStyle name="常规 19 3 4 3 2 2 2" xfId="4813"/>
    <cellStyle name="常规 19 3 4 3 2 2 3" xfId="4840"/>
    <cellStyle name="常规 19 3 4 3 2 2 4" xfId="15503"/>
    <cellStyle name="常规 19 3 4 3 2 2 5" xfId="16418"/>
    <cellStyle name="常规 19 3 4 3 2 2 6" xfId="16429"/>
    <cellStyle name="常规 19 3 4 3 2 2 7" xfId="16436"/>
    <cellStyle name="常规 19 3 4 3 2 2 8" xfId="20792"/>
    <cellStyle name="常规 19 3 4 3 2 3" xfId="2017"/>
    <cellStyle name="常规 19 3 4 3 2 3 2" xfId="4856"/>
    <cellStyle name="常规 19 3 4 3 2 3 3" xfId="5418"/>
    <cellStyle name="常规 19 3 4 3 2 3 4" xfId="16449"/>
    <cellStyle name="常规 19 3 4 3 2 3 5" xfId="16453"/>
    <cellStyle name="常规 19 3 4 3 2 3 6" xfId="16457"/>
    <cellStyle name="常规 19 3 4 3 2 3 7" xfId="20793"/>
    <cellStyle name="常规 19 3 4 3 2 3 8" xfId="20794"/>
    <cellStyle name="常规 19 3 4 3 2 4" xfId="5426"/>
    <cellStyle name="常规 19 3 4 3 2 4 2" xfId="2029"/>
    <cellStyle name="常规 19 3 4 3 2 4 3" xfId="2070"/>
    <cellStyle name="常规 19 3 4 3 2 4 4" xfId="1044"/>
    <cellStyle name="常规 19 3 4 3 2 4 5" xfId="7821"/>
    <cellStyle name="常规 19 3 4 3 2 4 6" xfId="7825"/>
    <cellStyle name="常规 19 3 4 3 2 4 7" xfId="20795"/>
    <cellStyle name="常规 19 3 4 3 2 4 8" xfId="20796"/>
    <cellStyle name="常规 19 3 4 3 2 5" xfId="20797"/>
    <cellStyle name="常规 19 3 4 3 2 5 2" xfId="16468"/>
    <cellStyle name="常规 19 3 4 3 2 5 3" xfId="16471"/>
    <cellStyle name="常规 19 3 4 3 2 5 4" xfId="16474"/>
    <cellStyle name="常规 19 3 4 3 2 5 5" xfId="12099"/>
    <cellStyle name="常规 19 3 4 3 2 5 6" xfId="10993"/>
    <cellStyle name="常规 19 3 4 3 2 5 7" xfId="20798"/>
    <cellStyle name="常规 19 3 4 3 2 5 8" xfId="20800"/>
    <cellStyle name="常规 19 3 4 3 2 6" xfId="20802"/>
    <cellStyle name="常规 19 3 4 3 2 6 2" xfId="16483"/>
    <cellStyle name="常规 19 3 4 3 2 6 3" xfId="16487"/>
    <cellStyle name="常规 19 3 4 3 2 6 4" xfId="16490"/>
    <cellStyle name="常规 19 3 4 3 2 6 5" xfId="16494"/>
    <cellStyle name="常规 19 3 4 3 2 6 6" xfId="16498"/>
    <cellStyle name="常规 19 3 4 3 2 6 7" xfId="20803"/>
    <cellStyle name="常规 19 3 4 3 2 6 8" xfId="20804"/>
    <cellStyle name="常规 19 3 4 3 2 7" xfId="20805"/>
    <cellStyle name="常规 19 3 4 3 2 7 2" xfId="16507"/>
    <cellStyle name="常规 19 3 4 3 2 7 3" xfId="10268"/>
    <cellStyle name="常规 19 3 4 3 2 7 4" xfId="10273"/>
    <cellStyle name="常规 19 3 4 3 2 7 5" xfId="16510"/>
    <cellStyle name="常规 19 3 4 3 2 7 6" xfId="16514"/>
    <cellStyle name="常规 19 3 4 3 2 7 7" xfId="20806"/>
    <cellStyle name="常规 19 3 4 3 2 7 8" xfId="788"/>
    <cellStyle name="常规 19 3 4 3 2 8" xfId="20807"/>
    <cellStyle name="常规 19 3 4 3 2 8 2" xfId="16523"/>
    <cellStyle name="常规 19 3 4 3 2 8 3" xfId="16526"/>
    <cellStyle name="常规 19 3 4 3 2 8 4" xfId="16529"/>
    <cellStyle name="常规 19 3 4 3 2 8 5" xfId="16533"/>
    <cellStyle name="常规 19 3 4 3 2 8 6" xfId="16537"/>
    <cellStyle name="常规 19 3 4 3 2 8 7" xfId="20808"/>
    <cellStyle name="常规 19 3 4 3 2 8 8" xfId="20809"/>
    <cellStyle name="常规 19 3 4 3 2 9" xfId="20810"/>
    <cellStyle name="常规 19 3 4 3 2 9 2" xfId="16546"/>
    <cellStyle name="常规 19 3 4 3 2 9 3" xfId="16549"/>
    <cellStyle name="常规 19 3 4 3 2 9 4" xfId="16552"/>
    <cellStyle name="常规 19 3 4 3 2 9 5" xfId="16556"/>
    <cellStyle name="常规 19 3 4 3 2 9 6" xfId="16560"/>
    <cellStyle name="常规 19 3 4 3 2 9 7" xfId="20811"/>
    <cellStyle name="常规 19 3 4 3 2 9 8" xfId="20812"/>
    <cellStyle name="常规 19 3 4 3 3" xfId="806"/>
    <cellStyle name="常规 19 3 4 3 3 2" xfId="3188"/>
    <cellStyle name="常规 19 3 4 3 3 3" xfId="2302"/>
    <cellStyle name="常规 19 3 4 3 3 4" xfId="2331"/>
    <cellStyle name="常规 19 3 4 3 3 5" xfId="20813"/>
    <cellStyle name="常规 19 3 4 3 3 6" xfId="20814"/>
    <cellStyle name="常规 19 3 4 3 3 7" xfId="20115"/>
    <cellStyle name="常规 19 3 4 3 3 8" xfId="20118"/>
    <cellStyle name="常规 19 3 4 3 4" xfId="825"/>
    <cellStyle name="常规 19 3 4 3 4 2" xfId="974"/>
    <cellStyle name="常规 19 3 4 3 4 3" xfId="3213"/>
    <cellStyle name="常规 19 3 4 3 4 4" xfId="5610"/>
    <cellStyle name="常规 19 3 4 3 4 5" xfId="15456"/>
    <cellStyle name="常规 19 3 4 3 4 6" xfId="15480"/>
    <cellStyle name="常规 19 3 4 3 4 7" xfId="15483"/>
    <cellStyle name="常规 19 3 4 3 4 8" xfId="15485"/>
    <cellStyle name="常规 19 3 4 3 5" xfId="2590"/>
    <cellStyle name="常规 19 3 4 3 5 2" xfId="3114"/>
    <cellStyle name="常规 19 3 4 3 5 3" xfId="4347"/>
    <cellStyle name="常规 19 3 4 3 5 4" xfId="20815"/>
    <cellStyle name="常规 19 3 4 3 5 5" xfId="20816"/>
    <cellStyle name="常规 19 3 4 3 5 6" xfId="20817"/>
    <cellStyle name="常规 19 3 4 3 5 7" xfId="20818"/>
    <cellStyle name="常规 19 3 4 3 5 8" xfId="5816"/>
    <cellStyle name="常规 19 3 4 3 6" xfId="4356"/>
    <cellStyle name="常规 19 3 4 3 6 2" xfId="4368"/>
    <cellStyle name="常规 19 3 4 3 6 3" xfId="4379"/>
    <cellStyle name="常规 19 3 4 3 6 4" xfId="20820"/>
    <cellStyle name="常规 19 3 4 3 6 5" xfId="4319"/>
    <cellStyle name="常规 19 3 4 3 6 6" xfId="4393"/>
    <cellStyle name="常规 19 3 4 3 6 7" xfId="4408"/>
    <cellStyle name="常规 19 3 4 3 6 8" xfId="4413"/>
    <cellStyle name="常规 19 3 4 3 7" xfId="4385"/>
    <cellStyle name="常规 19 3 4 3 7 2" xfId="4232"/>
    <cellStyle name="常规 19 3 4 3 7 3" xfId="327"/>
    <cellStyle name="常规 19 3 4 3 7 4" xfId="20821"/>
    <cellStyle name="常规 19 3 4 3 7 5" xfId="356"/>
    <cellStyle name="常规 19 3 4 3 7 6" xfId="375"/>
    <cellStyle name="常规 19 3 4 3 7 7" xfId="412"/>
    <cellStyle name="常规 19 3 4 3 7 8" xfId="438"/>
    <cellStyle name="常规 19 3 4 3 8" xfId="2969"/>
    <cellStyle name="常规 19 3 4 3 8 2" xfId="12481"/>
    <cellStyle name="常规 19 3 4 3 8 3" xfId="20822"/>
    <cellStyle name="常规 19 3 4 3 8 4" xfId="20824"/>
    <cellStyle name="常规 19 3 4 3 8 5" xfId="4092"/>
    <cellStyle name="常规 19 3 4 3 8 6" xfId="4128"/>
    <cellStyle name="常规 19 3 4 3 8 7" xfId="4494"/>
    <cellStyle name="常规 19 3 4 3 8 8" xfId="2"/>
    <cellStyle name="常规 19 3 4 3 9" xfId="5667"/>
    <cellStyle name="常规 19 3 4 3 9 2" xfId="16250"/>
    <cellStyle name="常规 19 3 4 3 9 3" xfId="14280"/>
    <cellStyle name="常规 19 3 4 3 9 4" xfId="14287"/>
    <cellStyle name="常规 19 3 4 3 9 5" xfId="2702"/>
    <cellStyle name="常规 19 3 4 3 9 6" xfId="2722"/>
    <cellStyle name="常规 19 3 4 3 9 7" xfId="14367"/>
    <cellStyle name="常规 19 3 4 3 9 8" xfId="6969"/>
    <cellStyle name="常规 19 3 4 4" xfId="4085"/>
    <cellStyle name="常规 19 3 4 4 10" xfId="18257"/>
    <cellStyle name="常规 19 3 4 4 10 2" xfId="12990"/>
    <cellStyle name="常规 19 3 4 4 10 3" xfId="4272"/>
    <cellStyle name="常规 19 3 4 4 10 4" xfId="4289"/>
    <cellStyle name="常规 19 3 4 4 10 5" xfId="12999"/>
    <cellStyle name="常规 19 3 4 4 10 6" xfId="6654"/>
    <cellStyle name="常规 19 3 4 4 10 7" xfId="6665"/>
    <cellStyle name="常规 19 3 4 4 10 8" xfId="14073"/>
    <cellStyle name="常规 19 3 4 4 11" xfId="18283"/>
    <cellStyle name="常规 19 3 4 4 11 2" xfId="14078"/>
    <cellStyle name="常规 19 3 4 4 11 3" xfId="4296"/>
    <cellStyle name="常规 19 3 4 4 11 4" xfId="2950"/>
    <cellStyle name="常规 19 3 4 4 11 5" xfId="14084"/>
    <cellStyle name="常规 19 3 4 4 11 6" xfId="6959"/>
    <cellStyle name="常规 19 3 4 4 11 7" xfId="6965"/>
    <cellStyle name="常规 19 3 4 4 11 8" xfId="18286"/>
    <cellStyle name="常规 19 3 4 4 12" xfId="18291"/>
    <cellStyle name="常规 19 3 4 4 12 2" xfId="14090"/>
    <cellStyle name="常规 19 3 4 4 12 3" xfId="14096"/>
    <cellStyle name="常规 19 3 4 4 12 4" xfId="14101"/>
    <cellStyle name="常规 19 3 4 4 12 5" xfId="14106"/>
    <cellStyle name="常规 19 3 4 4 12 6" xfId="7340"/>
    <cellStyle name="常规 19 3 4 4 12 7" xfId="7349"/>
    <cellStyle name="常规 19 3 4 4 13" xfId="18299"/>
    <cellStyle name="常规 19 3 4 4 14" xfId="18309"/>
    <cellStyle name="常规 19 3 4 4 15" xfId="18317"/>
    <cellStyle name="常规 19 3 4 4 16" xfId="18325"/>
    <cellStyle name="常规 19 3 4 4 17" xfId="18333"/>
    <cellStyle name="常规 19 3 4 4 18" xfId="20826"/>
    <cellStyle name="常规 19 3 4 4 19" xfId="20828"/>
    <cellStyle name="常规 19 3 4 4 2" xfId="2061"/>
    <cellStyle name="常规 19 3 4 4 2 10" xfId="20829"/>
    <cellStyle name="常规 19 3 4 4 2 10 2" xfId="20831"/>
    <cellStyle name="常规 19 3 4 4 2 10 3" xfId="20832"/>
    <cellStyle name="常规 19 3 4 4 2 10 4" xfId="3480"/>
    <cellStyle name="常规 19 3 4 4 2 10 5" xfId="20834"/>
    <cellStyle name="常规 19 3 4 4 2 10 6" xfId="20835"/>
    <cellStyle name="常规 19 3 4 4 2 10 7" xfId="20836"/>
    <cellStyle name="常规 19 3 4 4 2 11" xfId="5273"/>
    <cellStyle name="常规 19 3 4 4 2 12" xfId="5283"/>
    <cellStyle name="常规 19 3 4 4 2 13" xfId="5291"/>
    <cellStyle name="常规 19 3 4 4 2 14" xfId="12637"/>
    <cellStyle name="常规 19 3 4 4 2 15" xfId="20838"/>
    <cellStyle name="常规 19 3 4 4 2 16" xfId="20840"/>
    <cellStyle name="常规 19 3 4 4 2 17" xfId="20842"/>
    <cellStyle name="常规 19 3 4 4 2 2" xfId="17939"/>
    <cellStyle name="常规 19 3 4 4 2 2 2" xfId="16778"/>
    <cellStyle name="常规 19 3 4 4 2 2 3" xfId="16780"/>
    <cellStyle name="常规 19 3 4 4 2 2 4" xfId="16782"/>
    <cellStyle name="常规 19 3 4 4 2 2 5" xfId="16784"/>
    <cellStyle name="常规 19 3 4 4 2 2 6" xfId="16788"/>
    <cellStyle name="常规 19 3 4 4 2 2 7" xfId="20845"/>
    <cellStyle name="常规 19 3 4 4 2 2 8" xfId="20846"/>
    <cellStyle name="常规 19 3 4 4 2 3" xfId="17942"/>
    <cellStyle name="常规 19 3 4 4 2 3 2" xfId="16796"/>
    <cellStyle name="常规 19 3 4 4 2 3 3" xfId="16798"/>
    <cellStyle name="常规 19 3 4 4 2 3 4" xfId="16800"/>
    <cellStyle name="常规 19 3 4 4 2 3 5" xfId="16802"/>
    <cellStyle name="常规 19 3 4 4 2 3 6" xfId="16804"/>
    <cellStyle name="常规 19 3 4 4 2 3 7" xfId="20847"/>
    <cellStyle name="常规 19 3 4 4 2 3 8" xfId="20848"/>
    <cellStyle name="常规 19 3 4 4 2 4" xfId="17945"/>
    <cellStyle name="常规 19 3 4 4 2 4 2" xfId="4995"/>
    <cellStyle name="常规 19 3 4 4 2 4 3" xfId="7309"/>
    <cellStyle name="常规 19 3 4 4 2 4 4" xfId="7313"/>
    <cellStyle name="常规 19 3 4 4 2 4 5" xfId="16808"/>
    <cellStyle name="常规 19 3 4 4 2 4 6" xfId="16812"/>
    <cellStyle name="常规 19 3 4 4 2 4 7" xfId="20849"/>
    <cellStyle name="常规 19 3 4 4 2 4 8" xfId="20851"/>
    <cellStyle name="常规 19 3 4 4 2 5" xfId="17948"/>
    <cellStyle name="常规 19 3 4 4 2 5 2" xfId="16819"/>
    <cellStyle name="常规 19 3 4 4 2 5 3" xfId="11998"/>
    <cellStyle name="常规 19 3 4 4 2 5 4" xfId="12002"/>
    <cellStyle name="常规 19 3 4 4 2 5 5" xfId="16822"/>
    <cellStyle name="常规 19 3 4 4 2 5 6" xfId="16825"/>
    <cellStyle name="常规 19 3 4 4 2 5 7" xfId="20853"/>
    <cellStyle name="常规 19 3 4 4 2 5 8" xfId="20854"/>
    <cellStyle name="常规 19 3 4 4 2 6" xfId="6907"/>
    <cellStyle name="常规 19 3 4 4 2 6 2" xfId="16832"/>
    <cellStyle name="常规 19 3 4 4 2 6 3" xfId="16835"/>
    <cellStyle name="常规 19 3 4 4 2 6 4" xfId="16838"/>
    <cellStyle name="常规 19 3 4 4 2 6 5" xfId="16841"/>
    <cellStyle name="常规 19 3 4 4 2 6 6" xfId="16844"/>
    <cellStyle name="常规 19 3 4 4 2 6 7" xfId="20855"/>
    <cellStyle name="常规 19 3 4 4 2 6 8" xfId="20856"/>
    <cellStyle name="常规 19 3 4 4 2 7" xfId="6913"/>
    <cellStyle name="常规 19 3 4 4 2 7 2" xfId="16853"/>
    <cellStyle name="常规 19 3 4 4 2 7 3" xfId="16858"/>
    <cellStyle name="常规 19 3 4 4 2 7 4" xfId="16862"/>
    <cellStyle name="常规 19 3 4 4 2 7 5" xfId="16866"/>
    <cellStyle name="常规 19 3 4 4 2 7 6" xfId="16870"/>
    <cellStyle name="常规 19 3 4 4 2 7 7" xfId="9282"/>
    <cellStyle name="常规 19 3 4 4 2 7 8" xfId="9287"/>
    <cellStyle name="常规 19 3 4 4 2 8" xfId="20857"/>
    <cellStyle name="常规 19 3 4 4 2 8 2" xfId="16878"/>
    <cellStyle name="常规 19 3 4 4 2 8 3" xfId="16882"/>
    <cellStyle name="常规 19 3 4 4 2 8 4" xfId="16885"/>
    <cellStyle name="常规 19 3 4 4 2 8 5" xfId="16888"/>
    <cellStyle name="常规 19 3 4 4 2 8 6" xfId="16891"/>
    <cellStyle name="常规 19 3 4 4 2 8 7" xfId="9290"/>
    <cellStyle name="常规 19 3 4 4 2 8 8" xfId="9293"/>
    <cellStyle name="常规 19 3 4 4 2 9" xfId="20858"/>
    <cellStyle name="常规 19 3 4 4 2 9 2" xfId="16899"/>
    <cellStyle name="常规 19 3 4 4 2 9 3" xfId="16903"/>
    <cellStyle name="常规 19 3 4 4 2 9 4" xfId="16906"/>
    <cellStyle name="常规 19 3 4 4 2 9 5" xfId="16910"/>
    <cellStyle name="常规 19 3 4 4 2 9 6" xfId="16914"/>
    <cellStyle name="常规 19 3 4 4 2 9 7" xfId="9683"/>
    <cellStyle name="常规 19 3 4 4 2 9 8" xfId="9688"/>
    <cellStyle name="常规 19 3 4 4 3" xfId="3219"/>
    <cellStyle name="常规 19 3 4 4 3 2" xfId="3227"/>
    <cellStyle name="常规 19 3 4 4 3 3" xfId="3233"/>
    <cellStyle name="常规 19 3 4 4 3 4" xfId="11338"/>
    <cellStyle name="常规 19 3 4 4 3 5" xfId="20859"/>
    <cellStyle name="常规 19 3 4 4 3 6" xfId="20860"/>
    <cellStyle name="常规 19 3 4 4 3 7" xfId="20862"/>
    <cellStyle name="常规 19 3 4 4 3 8" xfId="20864"/>
    <cellStyle name="常规 19 3 4 4 4" xfId="3240"/>
    <cellStyle name="常规 19 3 4 4 4 2" xfId="18229"/>
    <cellStyle name="常规 19 3 4 4 4 3" xfId="18236"/>
    <cellStyle name="常规 19 3 4 4 4 4" xfId="18241"/>
    <cellStyle name="常规 19 3 4 4 4 5" xfId="18245"/>
    <cellStyle name="常规 19 3 4 4 4 6" xfId="7297"/>
    <cellStyle name="常规 19 3 4 4 4 7" xfId="6477"/>
    <cellStyle name="常规 19 3 4 4 4 8" xfId="18249"/>
    <cellStyle name="常规 19 3 4 4 5" xfId="4401"/>
    <cellStyle name="常规 19 3 4 4 5 2" xfId="34"/>
    <cellStyle name="常规 19 3 4 4 5 3" xfId="391"/>
    <cellStyle name="常规 19 3 4 4 5 4" xfId="18620"/>
    <cellStyle name="常规 19 3 4 4 5 5" xfId="18647"/>
    <cellStyle name="常规 19 3 4 4 5 6" xfId="18673"/>
    <cellStyle name="常规 19 3 4 4 5 7" xfId="18678"/>
    <cellStyle name="常规 19 3 4 4 5 8" xfId="18683"/>
    <cellStyle name="常规 19 3 4 4 6" xfId="2753"/>
    <cellStyle name="常规 19 3 4 4 6 2" xfId="20866"/>
    <cellStyle name="常规 19 3 4 4 6 3" xfId="5757"/>
    <cellStyle name="常规 19 3 4 4 6 4" xfId="20867"/>
    <cellStyle name="常规 19 3 4 4 6 5" xfId="2431"/>
    <cellStyle name="常规 19 3 4 4 6 6" xfId="2441"/>
    <cellStyle name="常规 19 3 4 4 6 7" xfId="3552"/>
    <cellStyle name="常规 19 3 4 4 6 8" xfId="6525"/>
    <cellStyle name="常规 19 3 4 4 7" xfId="17"/>
    <cellStyle name="常规 19 3 4 4 7 2" xfId="20868"/>
    <cellStyle name="常规 19 3 4 4 7 3" xfId="6174"/>
    <cellStyle name="常规 19 3 4 4 7 4" xfId="20870"/>
    <cellStyle name="常规 19 3 4 4 7 5" xfId="4522"/>
    <cellStyle name="常规 19 3 4 4 7 6" xfId="4531"/>
    <cellStyle name="常规 19 3 4 4 7 7" xfId="20871"/>
    <cellStyle name="常规 19 3 4 4 7 8" xfId="4617"/>
    <cellStyle name="常规 19 3 4 4 8" xfId="3049"/>
    <cellStyle name="常规 19 3 4 4 8 2" xfId="20873"/>
    <cellStyle name="常规 19 3 4 4 8 3" xfId="6615"/>
    <cellStyle name="常规 19 3 4 4 8 4" xfId="20874"/>
    <cellStyle name="常规 19 3 4 4 8 5" xfId="2790"/>
    <cellStyle name="常规 19 3 4 4 8 6" xfId="2991"/>
    <cellStyle name="常规 19 3 4 4 8 7" xfId="20875"/>
    <cellStyle name="常规 19 3 4 4 8 8" xfId="4797"/>
    <cellStyle name="常规 19 3 4 4 9" xfId="20877"/>
    <cellStyle name="常规 19 3 4 4 9 2" xfId="18348"/>
    <cellStyle name="常规 19 3 4 4 9 3" xfId="7073"/>
    <cellStyle name="常规 19 3 4 4 9 4" xfId="14586"/>
    <cellStyle name="常规 19 3 4 4 9 5" xfId="14590"/>
    <cellStyle name="常规 19 3 4 4 9 6" xfId="14595"/>
    <cellStyle name="常规 19 3 4 4 9 7" xfId="14601"/>
    <cellStyle name="常规 19 3 4 4 9 8" xfId="4939"/>
    <cellStyle name="常规 19 3 4 5" xfId="18599"/>
    <cellStyle name="常规 19 3 4 5 10" xfId="20882"/>
    <cellStyle name="常规 19 3 4 5 10 2" xfId="20883"/>
    <cellStyle name="常规 19 3 4 5 10 3" xfId="20884"/>
    <cellStyle name="常规 19 3 4 5 10 4" xfId="7300"/>
    <cellStyle name="常规 19 3 4 5 10 5" xfId="8252"/>
    <cellStyle name="常规 19 3 4 5 10 6" xfId="20885"/>
    <cellStyle name="常规 19 3 4 5 10 7" xfId="20887"/>
    <cellStyle name="常规 19 3 4 5 11" xfId="20889"/>
    <cellStyle name="常规 19 3 4 5 12" xfId="20891"/>
    <cellStyle name="常规 19 3 4 5 13" xfId="4476"/>
    <cellStyle name="常规 19 3 4 5 14" xfId="20893"/>
    <cellStyle name="常规 19 3 4 5 15" xfId="20896"/>
    <cellStyle name="常规 19 3 4 5 16" xfId="20899"/>
    <cellStyle name="常规 19 3 4 5 17" xfId="20900"/>
    <cellStyle name="常规 19 3 4 5 2" xfId="2086"/>
    <cellStyle name="常规 19 3 4 5 2 2" xfId="11287"/>
    <cellStyle name="常规 19 3 4 5 2 3" xfId="17351"/>
    <cellStyle name="常规 19 3 4 5 2 4" xfId="17355"/>
    <cellStyle name="常规 19 3 4 5 2 5" xfId="18009"/>
    <cellStyle name="常规 19 3 4 5 2 6" xfId="18012"/>
    <cellStyle name="常规 19 3 4 5 2 7" xfId="20901"/>
    <cellStyle name="常规 19 3 4 5 2 8" xfId="20902"/>
    <cellStyle name="常规 19 3 4 5 3" xfId="1852"/>
    <cellStyle name="常规 19 3 4 5 3 2" xfId="17361"/>
    <cellStyle name="常规 19 3 4 5 3 3" xfId="17363"/>
    <cellStyle name="常规 19 3 4 5 3 4" xfId="20904"/>
    <cellStyle name="常规 19 3 4 5 3 5" xfId="20905"/>
    <cellStyle name="常规 19 3 4 5 3 6" xfId="20906"/>
    <cellStyle name="常规 19 3 4 5 3 7" xfId="20908"/>
    <cellStyle name="常规 19 3 4 5 3 8" xfId="20910"/>
    <cellStyle name="常规 19 3 4 5 4" xfId="3275"/>
    <cellStyle name="常规 19 3 4 5 4 2" xfId="20912"/>
    <cellStyle name="常规 19 3 4 5 4 3" xfId="20913"/>
    <cellStyle name="常规 19 3 4 5 4 4" xfId="20914"/>
    <cellStyle name="常规 19 3 4 5 4 5" xfId="20915"/>
    <cellStyle name="常规 19 3 4 5 4 6" xfId="20916"/>
    <cellStyle name="常规 19 3 4 5 4 7" xfId="20918"/>
    <cellStyle name="常规 19 3 4 5 4 8" xfId="20920"/>
    <cellStyle name="常规 19 3 4 5 5" xfId="3670"/>
    <cellStyle name="常规 19 3 4 5 5 2" xfId="20922"/>
    <cellStyle name="常规 19 3 4 5 5 3" xfId="20923"/>
    <cellStyle name="常规 19 3 4 5 5 4" xfId="20924"/>
    <cellStyle name="常规 19 3 4 5 5 5" xfId="20925"/>
    <cellStyle name="常规 19 3 4 5 5 6" xfId="7886"/>
    <cellStyle name="常规 19 3 4 5 5 7" xfId="6583"/>
    <cellStyle name="常规 19 3 4 5 5 8" xfId="6587"/>
    <cellStyle name="常规 19 3 4 5 6" xfId="3757"/>
    <cellStyle name="常规 19 3 4 5 6 2" xfId="20926"/>
    <cellStyle name="常规 19 3 4 5 6 3" xfId="20927"/>
    <cellStyle name="常规 19 3 4 5 6 4" xfId="20928"/>
    <cellStyle name="常规 19 3 4 5 6 5" xfId="4540"/>
    <cellStyle name="常规 19 3 4 5 6 6" xfId="4546"/>
    <cellStyle name="常规 19 3 4 5 6 7" xfId="7964"/>
    <cellStyle name="常规 19 3 4 5 6 8" xfId="7977"/>
    <cellStyle name="常规 19 3 4 5 7" xfId="20929"/>
    <cellStyle name="常规 19 3 4 5 7 2" xfId="20930"/>
    <cellStyle name="常规 19 3 4 5 7 3" xfId="20931"/>
    <cellStyle name="常规 19 3 4 5 7 4" xfId="20932"/>
    <cellStyle name="常规 19 3 4 5 7 5" xfId="4550"/>
    <cellStyle name="常规 19 3 4 5 7 6" xfId="4552"/>
    <cellStyle name="常规 19 3 4 5 7 7" xfId="7997"/>
    <cellStyle name="常规 19 3 4 5 7 8" xfId="8003"/>
    <cellStyle name="常规 19 3 4 5 8" xfId="20933"/>
    <cellStyle name="常规 19 3 4 5 8 2" xfId="20934"/>
    <cellStyle name="常规 19 3 4 5 8 3" xfId="20935"/>
    <cellStyle name="常规 19 3 4 5 8 4" xfId="20936"/>
    <cellStyle name="常规 19 3 4 5 8 5" xfId="20937"/>
    <cellStyle name="常规 19 3 4 5 8 6" xfId="8014"/>
    <cellStyle name="常规 19 3 4 5 8 7" xfId="8028"/>
    <cellStyle name="常规 19 3 4 5 8 8" xfId="9003"/>
    <cellStyle name="常规 19 3 4 5 9" xfId="20939"/>
    <cellStyle name="常规 19 3 4 5 9 2" xfId="20940"/>
    <cellStyle name="常规 19 3 4 5 9 3" xfId="20941"/>
    <cellStyle name="常规 19 3 4 5 9 4" xfId="20942"/>
    <cellStyle name="常规 19 3 4 5 9 5" xfId="20943"/>
    <cellStyle name="常规 19 3 4 5 9 6" xfId="8035"/>
    <cellStyle name="常规 19 3 4 5 9 7" xfId="476"/>
    <cellStyle name="常规 19 3 4 5 9 8" xfId="20944"/>
    <cellStyle name="常规 19 3 4 6" xfId="18602"/>
    <cellStyle name="常规 19 3 4 6 2" xfId="20127"/>
    <cellStyle name="常规 19 3 4 6 3" xfId="20946"/>
    <cellStyle name="常规 19 3 4 6 4" xfId="20948"/>
    <cellStyle name="常规 19 3 4 6 5" xfId="8463"/>
    <cellStyle name="常规 19 3 4 6 6" xfId="8468"/>
    <cellStyle name="常规 19 3 4 6 7" xfId="20949"/>
    <cellStyle name="常规 19 3 4 6 8" xfId="20950"/>
    <cellStyle name="常规 19 3 4 7" xfId="18604"/>
    <cellStyle name="常规 19 3 4 7 2" xfId="20135"/>
    <cellStyle name="常规 19 3 4 7 3" xfId="20953"/>
    <cellStyle name="常规 19 3 4 7 4" xfId="20957"/>
    <cellStyle name="常规 19 3 4 7 5" xfId="8474"/>
    <cellStyle name="常规 19 3 4 7 6" xfId="8476"/>
    <cellStyle name="常规 19 3 4 7 7" xfId="20958"/>
    <cellStyle name="常规 19 3 4 7 8" xfId="20961"/>
    <cellStyle name="常规 19 3 4 8" xfId="18607"/>
    <cellStyle name="常规 19 3 4 8 2" xfId="20145"/>
    <cellStyle name="常规 19 3 4 8 3" xfId="9744"/>
    <cellStyle name="常规 19 3 4 8 4" xfId="9769"/>
    <cellStyle name="常规 19 3 4 8 5" xfId="8950"/>
    <cellStyle name="常规 19 3 4 8 6" xfId="8953"/>
    <cellStyle name="常规 19 3 4 8 7" xfId="20964"/>
    <cellStyle name="常规 19 3 4 8 8" xfId="20965"/>
    <cellStyle name="常规 19 3 4 9" xfId="2271"/>
    <cellStyle name="常规 19 3 4 9 2" xfId="2284"/>
    <cellStyle name="常规 19 3 4 9 3" xfId="2366"/>
    <cellStyle name="常规 19 3 4 9 4" xfId="2423"/>
    <cellStyle name="常规 19 3 4 9 5" xfId="1135"/>
    <cellStyle name="常规 19 3 4 9 6" xfId="20966"/>
    <cellStyle name="常规 19 3 4 9 7" xfId="20967"/>
    <cellStyle name="常规 19 3 4 9 8" xfId="20968"/>
    <cellStyle name="常规 19 3 5" xfId="12461"/>
    <cellStyle name="常规 19 3 5 10" xfId="19752"/>
    <cellStyle name="常规 19 3 5 10 2" xfId="13036"/>
    <cellStyle name="常规 19 3 5 10 3" xfId="13043"/>
    <cellStyle name="常规 19 3 5 10 4" xfId="13049"/>
    <cellStyle name="常规 19 3 5 10 5" xfId="11150"/>
    <cellStyle name="常规 19 3 5 10 6" xfId="11155"/>
    <cellStyle name="常规 19 3 5 10 7" xfId="20969"/>
    <cellStyle name="常规 19 3 5 10 8" xfId="20970"/>
    <cellStyle name="常规 19 3 5 11" xfId="19758"/>
    <cellStyle name="常规 19 3 5 11 2" xfId="20971"/>
    <cellStyle name="常规 19 3 5 11 3" xfId="20973"/>
    <cellStyle name="常规 19 3 5 11 4" xfId="20975"/>
    <cellStyle name="常规 19 3 5 11 5" xfId="20977"/>
    <cellStyle name="常规 19 3 5 11 6" xfId="20979"/>
    <cellStyle name="常规 19 3 5 11 7" xfId="878"/>
    <cellStyle name="常规 19 3 5 11 8" xfId="121"/>
    <cellStyle name="常规 19 3 5 12" xfId="15924"/>
    <cellStyle name="常规 19 3 5 12 2" xfId="20980"/>
    <cellStyle name="常规 19 3 5 12 3" xfId="20982"/>
    <cellStyle name="常规 19 3 5 12 4" xfId="20983"/>
    <cellStyle name="常规 19 3 5 12 5" xfId="20984"/>
    <cellStyle name="常规 19 3 5 12 6" xfId="20985"/>
    <cellStyle name="常规 19 3 5 12 7" xfId="20986"/>
    <cellStyle name="常规 19 3 5 12 8" xfId="20988"/>
    <cellStyle name="常规 19 3 5 13" xfId="15928"/>
    <cellStyle name="常规 19 3 5 13 2" xfId="20990"/>
    <cellStyle name="常规 19 3 5 13 3" xfId="20992"/>
    <cellStyle name="常规 19 3 5 13 4" xfId="20993"/>
    <cellStyle name="常规 19 3 5 13 5" xfId="20994"/>
    <cellStyle name="常规 19 3 5 13 6" xfId="20995"/>
    <cellStyle name="常规 19 3 5 13 7" xfId="20996"/>
    <cellStyle name="常规 19 3 5 14" xfId="15931"/>
    <cellStyle name="常规 19 3 5 15" xfId="15933"/>
    <cellStyle name="常规 19 3 5 16" xfId="15936"/>
    <cellStyle name="常规 19 3 5 17" xfId="15939"/>
    <cellStyle name="常规 19 3 5 18" xfId="11673"/>
    <cellStyle name="常规 19 3 5 19" xfId="11682"/>
    <cellStyle name="常规 19 3 5 2" xfId="8456"/>
    <cellStyle name="常规 19 3 5 2 10" xfId="6574"/>
    <cellStyle name="常规 19 3 5 2 10 2" xfId="1411"/>
    <cellStyle name="常规 19 3 5 2 10 3" xfId="1476"/>
    <cellStyle name="常规 19 3 5 2 10 4" xfId="20998"/>
    <cellStyle name="常规 19 3 5 2 10 5" xfId="20999"/>
    <cellStyle name="常规 19 3 5 2 10 6" xfId="21000"/>
    <cellStyle name="常规 19 3 5 2 10 7" xfId="3062"/>
    <cellStyle name="常规 19 3 5 2 10 8" xfId="4178"/>
    <cellStyle name="常规 19 3 5 2 11" xfId="6576"/>
    <cellStyle name="常规 19 3 5 2 11 2" xfId="21001"/>
    <cellStyle name="常规 19 3 5 2 11 3" xfId="21002"/>
    <cellStyle name="常规 19 3 5 2 11 4" xfId="9623"/>
    <cellStyle name="常规 19 3 5 2 11 5" xfId="9638"/>
    <cellStyle name="常规 19 3 5 2 11 6" xfId="3076"/>
    <cellStyle name="常规 19 3 5 2 11 7" xfId="267"/>
    <cellStyle name="常规 19 3 5 2 11 8" xfId="21004"/>
    <cellStyle name="常规 19 3 5 2 12" xfId="21005"/>
    <cellStyle name="常规 19 3 5 2 12 2" xfId="21006"/>
    <cellStyle name="常规 19 3 5 2 12 3" xfId="21008"/>
    <cellStyle name="常规 19 3 5 2 12 4" xfId="9646"/>
    <cellStyle name="常规 19 3 5 2 12 5" xfId="9652"/>
    <cellStyle name="常规 19 3 5 2 12 6" xfId="546"/>
    <cellStyle name="常规 19 3 5 2 12 7" xfId="1652"/>
    <cellStyle name="常规 19 3 5 2 13" xfId="21011"/>
    <cellStyle name="常规 19 3 5 2 14" xfId="21012"/>
    <cellStyle name="常规 19 3 5 2 15" xfId="21013"/>
    <cellStyle name="常规 19 3 5 2 16" xfId="21015"/>
    <cellStyle name="常规 19 3 5 2 17" xfId="21019"/>
    <cellStyle name="常规 19 3 5 2 18" xfId="21023"/>
    <cellStyle name="常规 19 3 5 2 19" xfId="21025"/>
    <cellStyle name="常规 19 3 5 2 2" xfId="21027"/>
    <cellStyle name="常规 19 3 5 2 2 10" xfId="21028"/>
    <cellStyle name="常规 19 3 5 2 2 10 2" xfId="21029"/>
    <cellStyle name="常规 19 3 5 2 2 10 3" xfId="21030"/>
    <cellStyle name="常规 19 3 5 2 2 10 4" xfId="21031"/>
    <cellStyle name="常规 19 3 5 2 2 10 5" xfId="21032"/>
    <cellStyle name="常规 19 3 5 2 2 10 6" xfId="21033"/>
    <cellStyle name="常规 19 3 5 2 2 10 7" xfId="21034"/>
    <cellStyle name="常规 19 3 5 2 2 11" xfId="21035"/>
    <cellStyle name="常规 19 3 5 2 2 12" xfId="21036"/>
    <cellStyle name="常规 19 3 5 2 2 13" xfId="21037"/>
    <cellStyle name="常规 19 3 5 2 2 14" xfId="21038"/>
    <cellStyle name="常规 19 3 5 2 2 15" xfId="21039"/>
    <cellStyle name="常规 19 3 5 2 2 16" xfId="21040"/>
    <cellStyle name="常规 19 3 5 2 2 17" xfId="21041"/>
    <cellStyle name="常规 19 3 5 2 2 2" xfId="21042"/>
    <cellStyle name="常规 19 3 5 2 2 2 2" xfId="21043"/>
    <cellStyle name="常规 19 3 5 2 2 2 3" xfId="21044"/>
    <cellStyle name="常规 19 3 5 2 2 2 4" xfId="21045"/>
    <cellStyle name="常规 19 3 5 2 2 2 5" xfId="21046"/>
    <cellStyle name="常规 19 3 5 2 2 2 6" xfId="21047"/>
    <cellStyle name="常规 19 3 5 2 2 2 7" xfId="21048"/>
    <cellStyle name="常规 19 3 5 2 2 2 8" xfId="6645"/>
    <cellStyle name="常规 19 3 5 2 2 3" xfId="21049"/>
    <cellStyle name="常规 19 3 5 2 2 3 2" xfId="21050"/>
    <cellStyle name="常规 19 3 5 2 2 3 3" xfId="21052"/>
    <cellStyle name="常规 19 3 5 2 2 3 4" xfId="21054"/>
    <cellStyle name="常规 19 3 5 2 2 3 5" xfId="21055"/>
    <cellStyle name="常规 19 3 5 2 2 3 6" xfId="21056"/>
    <cellStyle name="常规 19 3 5 2 2 3 7" xfId="21057"/>
    <cellStyle name="常规 19 3 5 2 2 3 8" xfId="1914"/>
    <cellStyle name="常规 19 3 5 2 2 4" xfId="21058"/>
    <cellStyle name="常规 19 3 5 2 2 4 2" xfId="21059"/>
    <cellStyle name="常规 19 3 5 2 2 4 3" xfId="21060"/>
    <cellStyle name="常规 19 3 5 2 2 4 4" xfId="21061"/>
    <cellStyle name="常规 19 3 5 2 2 4 5" xfId="21062"/>
    <cellStyle name="常规 19 3 5 2 2 4 6" xfId="21063"/>
    <cellStyle name="常规 19 3 5 2 2 4 7" xfId="21064"/>
    <cellStyle name="常规 19 3 5 2 2 4 8" xfId="6719"/>
    <cellStyle name="常规 19 3 5 2 2 5" xfId="21065"/>
    <cellStyle name="常规 19 3 5 2 2 5 2" xfId="21066"/>
    <cellStyle name="常规 19 3 5 2 2 5 3" xfId="21067"/>
    <cellStyle name="常规 19 3 5 2 2 5 4" xfId="21068"/>
    <cellStyle name="常规 19 3 5 2 2 5 5" xfId="21069"/>
    <cellStyle name="常规 19 3 5 2 2 5 6" xfId="21070"/>
    <cellStyle name="常规 19 3 5 2 2 5 7" xfId="21071"/>
    <cellStyle name="常规 19 3 5 2 2 5 8" xfId="21072"/>
    <cellStyle name="常规 19 3 5 2 2 6" xfId="21073"/>
    <cellStyle name="常规 19 3 5 2 2 6 2" xfId="21074"/>
    <cellStyle name="常规 19 3 5 2 2 6 3" xfId="21076"/>
    <cellStyle name="常规 19 3 5 2 2 6 4" xfId="21077"/>
    <cellStyle name="常规 19 3 5 2 2 6 5" xfId="21078"/>
    <cellStyle name="常规 19 3 5 2 2 6 6" xfId="21079"/>
    <cellStyle name="常规 19 3 5 2 2 6 7" xfId="21080"/>
    <cellStyle name="常规 19 3 5 2 2 6 8" xfId="21081"/>
    <cellStyle name="常规 19 3 5 2 2 7" xfId="21082"/>
    <cellStyle name="常规 19 3 5 2 2 7 2" xfId="21084"/>
    <cellStyle name="常规 19 3 5 2 2 7 3" xfId="8841"/>
    <cellStyle name="常规 19 3 5 2 2 7 4" xfId="926"/>
    <cellStyle name="常规 19 3 5 2 2 7 5" xfId="21086"/>
    <cellStyle name="常规 19 3 5 2 2 7 6" xfId="21087"/>
    <cellStyle name="常规 19 3 5 2 2 7 7" xfId="21088"/>
    <cellStyle name="常规 19 3 5 2 2 7 8" xfId="21089"/>
    <cellStyle name="常规 19 3 5 2 2 8" xfId="21090"/>
    <cellStyle name="常规 19 3 5 2 2 8 2" xfId="21092"/>
    <cellStyle name="常规 19 3 5 2 2 8 3" xfId="8900"/>
    <cellStyle name="常规 19 3 5 2 2 8 4" xfId="8922"/>
    <cellStyle name="常规 19 3 5 2 2 8 5" xfId="21093"/>
    <cellStyle name="常规 19 3 5 2 2 8 6" xfId="21094"/>
    <cellStyle name="常规 19 3 5 2 2 8 7" xfId="21095"/>
    <cellStyle name="常规 19 3 5 2 2 8 8" xfId="21096"/>
    <cellStyle name="常规 19 3 5 2 2 9" xfId="21097"/>
    <cellStyle name="常规 19 3 5 2 2 9 2" xfId="21099"/>
    <cellStyle name="常规 19 3 5 2 2 9 3" xfId="21100"/>
    <cellStyle name="常规 19 3 5 2 2 9 4" xfId="21101"/>
    <cellStyle name="常规 19 3 5 2 2 9 5" xfId="21102"/>
    <cellStyle name="常规 19 3 5 2 2 9 6" xfId="21103"/>
    <cellStyle name="常规 19 3 5 2 2 9 7" xfId="21104"/>
    <cellStyle name="常规 19 3 5 2 2 9 8" xfId="21105"/>
    <cellStyle name="常规 19 3 5 2 3" xfId="21106"/>
    <cellStyle name="常规 19 3 5 2 3 2" xfId="5835"/>
    <cellStyle name="常规 19 3 5 2 3 3" xfId="4603"/>
    <cellStyle name="常规 19 3 5 2 3 4" xfId="4792"/>
    <cellStyle name="常规 19 3 5 2 3 5" xfId="4932"/>
    <cellStyle name="常规 19 3 5 2 3 6" xfId="21107"/>
    <cellStyle name="常规 19 3 5 2 3 7" xfId="21108"/>
    <cellStyle name="常规 19 3 5 2 3 8" xfId="21109"/>
    <cellStyle name="常规 19 3 5 2 4" xfId="21110"/>
    <cellStyle name="常规 19 3 5 2 4 2" xfId="21111"/>
    <cellStyle name="常规 19 3 5 2 4 3" xfId="17728"/>
    <cellStyle name="常规 19 3 5 2 4 4" xfId="17731"/>
    <cellStyle name="常规 19 3 5 2 4 5" xfId="17734"/>
    <cellStyle name="常规 19 3 5 2 4 6" xfId="17739"/>
    <cellStyle name="常规 19 3 5 2 4 7" xfId="5629"/>
    <cellStyle name="常规 19 3 5 2 4 8" xfId="10287"/>
    <cellStyle name="常规 19 3 5 2 5" xfId="21112"/>
    <cellStyle name="常规 19 3 5 2 5 2" xfId="21113"/>
    <cellStyle name="常规 19 3 5 2 5 3" xfId="17746"/>
    <cellStyle name="常规 19 3 5 2 5 4" xfId="17749"/>
    <cellStyle name="常规 19 3 5 2 5 5" xfId="17752"/>
    <cellStyle name="常规 19 3 5 2 5 6" xfId="17755"/>
    <cellStyle name="常规 19 3 5 2 5 7" xfId="12504"/>
    <cellStyle name="常规 19 3 5 2 5 8" xfId="5850"/>
    <cellStyle name="常规 19 3 5 2 6" xfId="21114"/>
    <cellStyle name="常规 19 3 5 2 6 2" xfId="21115"/>
    <cellStyle name="常规 19 3 5 2 6 3" xfId="17758"/>
    <cellStyle name="常规 19 3 5 2 6 4" xfId="17761"/>
    <cellStyle name="常规 19 3 5 2 6 5" xfId="17764"/>
    <cellStyle name="常规 19 3 5 2 6 6" xfId="17767"/>
    <cellStyle name="常规 19 3 5 2 6 7" xfId="17770"/>
    <cellStyle name="常规 19 3 5 2 6 8" xfId="17773"/>
    <cellStyle name="常规 19 3 5 2 7" xfId="21116"/>
    <cellStyle name="常规 19 3 5 2 7 2" xfId="21119"/>
    <cellStyle name="常规 19 3 5 2 7 3" xfId="21122"/>
    <cellStyle name="常规 19 3 5 2 7 4" xfId="21125"/>
    <cellStyle name="常规 19 3 5 2 7 5" xfId="21126"/>
    <cellStyle name="常规 19 3 5 2 7 6" xfId="21128"/>
    <cellStyle name="常规 19 3 5 2 7 7" xfId="21130"/>
    <cellStyle name="常规 19 3 5 2 7 8" xfId="6366"/>
    <cellStyle name="常规 19 3 5 2 8" xfId="21131"/>
    <cellStyle name="常规 19 3 5 2 8 2" xfId="21134"/>
    <cellStyle name="常规 19 3 5 2 8 3" xfId="21135"/>
    <cellStyle name="常规 19 3 5 2 8 4" xfId="21136"/>
    <cellStyle name="常规 19 3 5 2 8 5" xfId="21137"/>
    <cellStyle name="常规 19 3 5 2 8 6" xfId="21138"/>
    <cellStyle name="常规 19 3 5 2 8 7" xfId="21139"/>
    <cellStyle name="常规 19 3 5 2 8 8" xfId="21140"/>
    <cellStyle name="常规 19 3 5 2 9" xfId="21141"/>
    <cellStyle name="常规 19 3 5 2 9 2" xfId="21144"/>
    <cellStyle name="常规 19 3 5 2 9 3" xfId="14958"/>
    <cellStyle name="常规 19 3 5 2 9 4" xfId="9756"/>
    <cellStyle name="常规 19 3 5 2 9 5" xfId="9761"/>
    <cellStyle name="常规 19 3 5 2 9 6" xfId="14960"/>
    <cellStyle name="常规 19 3 5 2 9 7" xfId="14963"/>
    <cellStyle name="常规 19 3 5 2 9 8" xfId="6992"/>
    <cellStyle name="常规 19 3 5 20" xfId="15934"/>
    <cellStyle name="常规 19 3 5 3" xfId="8540"/>
    <cellStyle name="常规 19 3 5 3 10" xfId="478"/>
    <cellStyle name="常规 19 3 5 3 10 2" xfId="460"/>
    <cellStyle name="常规 19 3 5 3 10 3" xfId="555"/>
    <cellStyle name="常规 19 3 5 3 10 4" xfId="21145"/>
    <cellStyle name="常规 19 3 5 3 10 5" xfId="21147"/>
    <cellStyle name="常规 19 3 5 3 10 6" xfId="21149"/>
    <cellStyle name="常规 19 3 5 3 10 7" xfId="5387"/>
    <cellStyle name="常规 19 3 5 3 11" xfId="559"/>
    <cellStyle name="常规 19 3 5 3 12" xfId="14262"/>
    <cellStyle name="常规 19 3 5 3 13" xfId="14264"/>
    <cellStyle name="常规 19 3 5 3 14" xfId="14266"/>
    <cellStyle name="常规 19 3 5 3 15" xfId="21151"/>
    <cellStyle name="常规 19 3 5 3 16" xfId="21152"/>
    <cellStyle name="常规 19 3 5 3 17" xfId="21153"/>
    <cellStyle name="常规 19 3 5 3 2" xfId="2130"/>
    <cellStyle name="常规 19 3 5 3 2 2" xfId="2784"/>
    <cellStyle name="常规 19 3 5 3 2 3" xfId="2801"/>
    <cellStyle name="常规 19 3 5 3 2 4" xfId="21154"/>
    <cellStyle name="常规 19 3 5 3 2 5" xfId="21155"/>
    <cellStyle name="常规 19 3 5 3 2 6" xfId="21156"/>
    <cellStyle name="常规 19 3 5 3 2 7" xfId="21157"/>
    <cellStyle name="常规 19 3 5 3 2 8" xfId="7537"/>
    <cellStyle name="常规 19 3 5 3 3" xfId="2812"/>
    <cellStyle name="常规 19 3 5 3 3 2" xfId="1995"/>
    <cellStyle name="常规 19 3 5 3 3 3" xfId="3313"/>
    <cellStyle name="常规 19 3 5 3 3 4" xfId="21158"/>
    <cellStyle name="常规 19 3 5 3 3 5" xfId="21159"/>
    <cellStyle name="常规 19 3 5 3 3 6" xfId="21160"/>
    <cellStyle name="常规 19 3 5 3 3 7" xfId="21161"/>
    <cellStyle name="常规 19 3 5 3 3 8" xfId="21162"/>
    <cellStyle name="常规 19 3 5 3 4" xfId="2888"/>
    <cellStyle name="常规 19 3 5 3 4 2" xfId="21163"/>
    <cellStyle name="常规 19 3 5 3 4 3" xfId="21165"/>
    <cellStyle name="常规 19 3 5 3 4 4" xfId="21167"/>
    <cellStyle name="常规 19 3 5 3 4 5" xfId="21168"/>
    <cellStyle name="常规 19 3 5 3 4 6" xfId="301"/>
    <cellStyle name="常规 19 3 5 3 4 7" xfId="12515"/>
    <cellStyle name="常规 19 3 5 3 4 8" xfId="12519"/>
    <cellStyle name="常规 19 3 5 3 5" xfId="2897"/>
    <cellStyle name="常规 19 3 5 3 5 2" xfId="4422"/>
    <cellStyle name="常规 19 3 5 3 5 3" xfId="4433"/>
    <cellStyle name="常规 19 3 5 3 5 4" xfId="21169"/>
    <cellStyle name="常规 19 3 5 3 5 5" xfId="21171"/>
    <cellStyle name="常规 19 3 5 3 5 6" xfId="21172"/>
    <cellStyle name="常规 19 3 5 3 5 7" xfId="21173"/>
    <cellStyle name="常规 19 3 5 3 5 8" xfId="21175"/>
    <cellStyle name="常规 19 3 5 3 6" xfId="4438"/>
    <cellStyle name="常规 19 3 5 3 6 2" xfId="21178"/>
    <cellStyle name="常规 19 3 5 3 6 3" xfId="21179"/>
    <cellStyle name="常规 19 3 5 3 6 4" xfId="21181"/>
    <cellStyle name="常规 19 3 5 3 6 5" xfId="21183"/>
    <cellStyle name="常规 19 3 5 3 6 6" xfId="21185"/>
    <cellStyle name="常规 19 3 5 3 6 7" xfId="21186"/>
    <cellStyle name="常规 19 3 5 3 6 8" xfId="8546"/>
    <cellStyle name="常规 19 3 5 3 7" xfId="5176"/>
    <cellStyle name="常规 19 3 5 3 7 2" xfId="20839"/>
    <cellStyle name="常规 19 3 5 3 7 3" xfId="20841"/>
    <cellStyle name="常规 19 3 5 3 7 4" xfId="21187"/>
    <cellStyle name="常规 19 3 5 3 7 5" xfId="21190"/>
    <cellStyle name="常规 19 3 5 3 7 6" xfId="21192"/>
    <cellStyle name="常规 19 3 5 3 7 7" xfId="21193"/>
    <cellStyle name="常规 19 3 5 3 7 8" xfId="8552"/>
    <cellStyle name="常规 19 3 5 3 8" xfId="795"/>
    <cellStyle name="常规 19 3 5 3 8 2" xfId="21194"/>
    <cellStyle name="常规 19 3 5 3 8 3" xfId="21195"/>
    <cellStyle name="常规 19 3 5 3 8 4" xfId="21196"/>
    <cellStyle name="常规 19 3 5 3 8 5" xfId="21197"/>
    <cellStyle name="常规 19 3 5 3 8 6" xfId="21198"/>
    <cellStyle name="常规 19 3 5 3 8 7" xfId="21199"/>
    <cellStyle name="常规 19 3 5 3 8 8" xfId="21200"/>
    <cellStyle name="常规 19 3 5 3 9" xfId="21201"/>
    <cellStyle name="常规 19 3 5 3 9 2" xfId="21202"/>
    <cellStyle name="常规 19 3 5 3 9 3" xfId="21203"/>
    <cellStyle name="常规 19 3 5 3 9 4" xfId="21205"/>
    <cellStyle name="常规 19 3 5 3 9 5" xfId="21207"/>
    <cellStyle name="常规 19 3 5 3 9 6" xfId="21209"/>
    <cellStyle name="常规 19 3 5 3 9 7" xfId="21211"/>
    <cellStyle name="常规 19 3 5 3 9 8" xfId="21213"/>
    <cellStyle name="常规 19 3 5 4" xfId="8590"/>
    <cellStyle name="常规 19 3 5 4 2" xfId="2157"/>
    <cellStyle name="常规 19 3 5 4 3" xfId="3326"/>
    <cellStyle name="常规 19 3 5 4 4" xfId="3338"/>
    <cellStyle name="常规 19 3 5 4 5" xfId="4448"/>
    <cellStyle name="常规 19 3 5 4 6" xfId="4454"/>
    <cellStyle name="常规 19 3 5 4 7" xfId="21214"/>
    <cellStyle name="常规 19 3 5 4 8" xfId="21215"/>
    <cellStyle name="常规 19 3 5 5" xfId="8611"/>
    <cellStyle name="常规 19 3 5 5 2" xfId="21216"/>
    <cellStyle name="常规 19 3 5 5 3" xfId="21217"/>
    <cellStyle name="常规 19 3 5 5 4" xfId="21218"/>
    <cellStyle name="常规 19 3 5 5 5" xfId="21219"/>
    <cellStyle name="常规 19 3 5 5 6" xfId="21220"/>
    <cellStyle name="常规 19 3 5 5 7" xfId="21221"/>
    <cellStyle name="常规 19 3 5 5 8" xfId="21222"/>
    <cellStyle name="常规 19 3 5 6" xfId="8647"/>
    <cellStyle name="常规 19 3 5 6 2" xfId="21223"/>
    <cellStyle name="常规 19 3 5 6 3" xfId="5570"/>
    <cellStyle name="常规 19 3 5 6 4" xfId="5591"/>
    <cellStyle name="常规 19 3 5 6 5" xfId="8485"/>
    <cellStyle name="常规 19 3 5 6 6" xfId="8487"/>
    <cellStyle name="常规 19 3 5 6 7" xfId="21224"/>
    <cellStyle name="常规 19 3 5 6 8" xfId="21226"/>
    <cellStyle name="常规 19 3 5 7" xfId="18613"/>
    <cellStyle name="常规 19 3 5 7 2" xfId="21227"/>
    <cellStyle name="常规 19 3 5 7 3" xfId="21229"/>
    <cellStyle name="常规 19 3 5 7 4" xfId="21231"/>
    <cellStyle name="常规 19 3 5 7 5" xfId="21232"/>
    <cellStyle name="常规 19 3 5 7 6" xfId="21233"/>
    <cellStyle name="常规 19 3 5 7 7" xfId="21234"/>
    <cellStyle name="常规 19 3 5 7 8" xfId="21235"/>
    <cellStyle name="常规 19 3 5 8" xfId="18616"/>
    <cellStyle name="常规 19 3 5 8 2" xfId="21236"/>
    <cellStyle name="常规 19 3 5 8 3" xfId="9826"/>
    <cellStyle name="常规 19 3 5 8 4" xfId="9836"/>
    <cellStyle name="常规 19 3 5 8 5" xfId="9840"/>
    <cellStyle name="常规 19 3 5 8 6" xfId="21237"/>
    <cellStyle name="常规 19 3 5 8 7" xfId="6010"/>
    <cellStyle name="常规 19 3 5 8 8" xfId="6015"/>
    <cellStyle name="常规 19 3 5 9" xfId="2633"/>
    <cellStyle name="常规 19 3 5 9 2" xfId="21238"/>
    <cellStyle name="常规 19 3 5 9 3" xfId="90"/>
    <cellStyle name="常规 19 3 5 9 4" xfId="2341"/>
    <cellStyle name="常规 19 3 5 9 5" xfId="19912"/>
    <cellStyle name="常规 19 3 5 9 6" xfId="19857"/>
    <cellStyle name="常规 19 3 5 9 7" xfId="2766"/>
    <cellStyle name="常规 19 3 5 9 8" xfId="6558"/>
    <cellStyle name="常规 19 3 6" xfId="12466"/>
    <cellStyle name="常规 19 3 6 10" xfId="19804"/>
    <cellStyle name="常规 19 3 6 10 2" xfId="10910"/>
    <cellStyle name="常规 19 3 6 10 3" xfId="10922"/>
    <cellStyle name="常规 19 3 6 10 4" xfId="14952"/>
    <cellStyle name="常规 19 3 6 10 5" xfId="15584"/>
    <cellStyle name="常规 19 3 6 10 6" xfId="15587"/>
    <cellStyle name="常规 19 3 6 10 7" xfId="15590"/>
    <cellStyle name="常规 19 3 6 10 8" xfId="21240"/>
    <cellStyle name="常规 19 3 6 11" xfId="19808"/>
    <cellStyle name="常规 19 3 6 11 2" xfId="9321"/>
    <cellStyle name="常规 19 3 6 11 3" xfId="10949"/>
    <cellStyle name="常规 19 3 6 11 4" xfId="15598"/>
    <cellStyle name="常规 19 3 6 11 5" xfId="15606"/>
    <cellStyle name="常规 19 3 6 11 6" xfId="15612"/>
    <cellStyle name="常规 19 3 6 11 7" xfId="15618"/>
    <cellStyle name="常规 19 3 6 11 8" xfId="18130"/>
    <cellStyle name="常规 19 3 6 12" xfId="21242"/>
    <cellStyle name="常规 19 3 6 12 2" xfId="10967"/>
    <cellStyle name="常规 19 3 6 12 3" xfId="15625"/>
    <cellStyle name="常规 19 3 6 12 4" xfId="11517"/>
    <cellStyle name="常规 19 3 6 12 5" xfId="6278"/>
    <cellStyle name="常规 19 3 6 12 6" xfId="6286"/>
    <cellStyle name="常规 19 3 6 12 7" xfId="15630"/>
    <cellStyle name="常规 19 3 6 12 8" xfId="21244"/>
    <cellStyle name="常规 19 3 6 13" xfId="21248"/>
    <cellStyle name="常规 19 3 6 13 2" xfId="2054"/>
    <cellStyle name="常规 19 3 6 13 3" xfId="6294"/>
    <cellStyle name="常规 19 3 6 13 4" xfId="6903"/>
    <cellStyle name="常规 19 3 6 13 5" xfId="6924"/>
    <cellStyle name="常规 19 3 6 13 6" xfId="4459"/>
    <cellStyle name="常规 19 3 6 13 7" xfId="4470"/>
    <cellStyle name="常规 19 3 6 14" xfId="21250"/>
    <cellStyle name="常规 19 3 6 15" xfId="2356"/>
    <cellStyle name="常规 19 3 6 16" xfId="11340"/>
    <cellStyle name="常规 19 3 6 17" xfId="21252"/>
    <cellStyle name="常规 19 3 6 18" xfId="343"/>
    <cellStyle name="常规 19 3 6 19" xfId="353"/>
    <cellStyle name="常规 19 3 6 2" xfId="21254"/>
    <cellStyle name="常规 19 3 6 2 10" xfId="21256"/>
    <cellStyle name="常规 19 3 6 2 10 2" xfId="1732"/>
    <cellStyle name="常规 19 3 6 2 10 3" xfId="966"/>
    <cellStyle name="常规 19 3 6 2 10 4" xfId="983"/>
    <cellStyle name="常规 19 3 6 2 10 5" xfId="9822"/>
    <cellStyle name="常规 19 3 6 2 10 6" xfId="9844"/>
    <cellStyle name="常规 19 3 6 2 10 7" xfId="9849"/>
    <cellStyle name="常规 19 3 6 2 10 8" xfId="9852"/>
    <cellStyle name="常规 19 3 6 2 11" xfId="21258"/>
    <cellStyle name="常规 19 3 6 2 11 2" xfId="3435"/>
    <cellStyle name="常规 19 3 6 2 11 3" xfId="5656"/>
    <cellStyle name="常规 19 3 6 2 11 4" xfId="3109"/>
    <cellStyle name="常规 19 3 6 2 11 5" xfId="4342"/>
    <cellStyle name="常规 19 3 6 2 11 6" xfId="7641"/>
    <cellStyle name="常规 19 3 6 2 11 7" xfId="7647"/>
    <cellStyle name="常规 19 3 6 2 11 8" xfId="21259"/>
    <cellStyle name="常规 19 3 6 2 12" xfId="21262"/>
    <cellStyle name="常规 19 3 6 2 12 2" xfId="16725"/>
    <cellStyle name="常规 19 3 6 2 12 3" xfId="5676"/>
    <cellStyle name="常规 19 3 6 2 12 4" xfId="4362"/>
    <cellStyle name="常规 19 3 6 2 12 5" xfId="4370"/>
    <cellStyle name="常规 19 3 6 2 12 6" xfId="7135"/>
    <cellStyle name="常规 19 3 6 2 12 7" xfId="4313"/>
    <cellStyle name="常规 19 3 6 2 13" xfId="19106"/>
    <cellStyle name="常规 19 3 6 2 14" xfId="19110"/>
    <cellStyle name="常规 19 3 6 2 15" xfId="13758"/>
    <cellStyle name="常规 19 3 6 2 16" xfId="13246"/>
    <cellStyle name="常规 19 3 6 2 17" xfId="13251"/>
    <cellStyle name="常规 19 3 6 2 18" xfId="13256"/>
    <cellStyle name="常规 19 3 6 2 19" xfId="13260"/>
    <cellStyle name="常规 19 3 6 2 2" xfId="13336"/>
    <cellStyle name="常规 19 3 6 2 2 10" xfId="21263"/>
    <cellStyle name="常规 19 3 6 2 2 10 2" xfId="21265"/>
    <cellStyle name="常规 19 3 6 2 2 10 3" xfId="21268"/>
    <cellStyle name="常规 19 3 6 2 2 10 4" xfId="21271"/>
    <cellStyle name="常规 19 3 6 2 2 10 5" xfId="21274"/>
    <cellStyle name="常规 19 3 6 2 2 10 6" xfId="21276"/>
    <cellStyle name="常规 19 3 6 2 2 10 7" xfId="21278"/>
    <cellStyle name="常规 19 3 6 2 2 11" xfId="13507"/>
    <cellStyle name="常规 19 3 6 2 2 12" xfId="13510"/>
    <cellStyle name="常规 19 3 6 2 2 13" xfId="4182"/>
    <cellStyle name="常规 19 3 6 2 2 14" xfId="4189"/>
    <cellStyle name="常规 19 3 6 2 2 15" xfId="13515"/>
    <cellStyle name="常规 19 3 6 2 2 16" xfId="13520"/>
    <cellStyle name="常规 19 3 6 2 2 17" xfId="13525"/>
    <cellStyle name="常规 19 3 6 2 2 2" xfId="17668"/>
    <cellStyle name="常规 19 3 6 2 2 2 2" xfId="21280"/>
    <cellStyle name="常规 19 3 6 2 2 2 3" xfId="21281"/>
    <cellStyle name="常规 19 3 6 2 2 2 4" xfId="21282"/>
    <cellStyle name="常规 19 3 6 2 2 2 5" xfId="21284"/>
    <cellStyle name="常规 19 3 6 2 2 2 6" xfId="21286"/>
    <cellStyle name="常规 19 3 6 2 2 2 7" xfId="21287"/>
    <cellStyle name="常规 19 3 6 2 2 2 8" xfId="21288"/>
    <cellStyle name="常规 19 3 6 2 2 3" xfId="17671"/>
    <cellStyle name="常规 19 3 6 2 2 3 2" xfId="21289"/>
    <cellStyle name="常规 19 3 6 2 2 3 3" xfId="21290"/>
    <cellStyle name="常规 19 3 6 2 2 3 4" xfId="21291"/>
    <cellStyle name="常规 19 3 6 2 2 3 5" xfId="21293"/>
    <cellStyle name="常规 19 3 6 2 2 3 6" xfId="21295"/>
    <cellStyle name="常规 19 3 6 2 2 3 7" xfId="21296"/>
    <cellStyle name="常规 19 3 6 2 2 3 8" xfId="21297"/>
    <cellStyle name="常规 19 3 6 2 2 4" xfId="21299"/>
    <cellStyle name="常规 19 3 6 2 2 4 2" xfId="8059"/>
    <cellStyle name="常规 19 3 6 2 2 4 3" xfId="8078"/>
    <cellStyle name="常规 19 3 6 2 2 4 4" xfId="289"/>
    <cellStyle name="常规 19 3 6 2 2 4 5" xfId="361"/>
    <cellStyle name="常规 19 3 6 2 2 4 6" xfId="21300"/>
    <cellStyle name="常规 19 3 6 2 2 4 7" xfId="21301"/>
    <cellStyle name="常规 19 3 6 2 2 4 8" xfId="21302"/>
    <cellStyle name="常规 19 3 6 2 2 5" xfId="7059"/>
    <cellStyle name="常规 19 3 6 2 2 5 2" xfId="8087"/>
    <cellStyle name="常规 19 3 6 2 2 5 3" xfId="8095"/>
    <cellStyle name="常规 19 3 6 2 2 5 4" xfId="2237"/>
    <cellStyle name="常规 19 3 6 2 2 5 5" xfId="2251"/>
    <cellStyle name="常规 19 3 6 2 2 5 6" xfId="3413"/>
    <cellStyle name="常规 19 3 6 2 2 5 7" xfId="3428"/>
    <cellStyle name="常规 19 3 6 2 2 5 8" xfId="21303"/>
    <cellStyle name="常规 19 3 6 2 2 6" xfId="5007"/>
    <cellStyle name="常规 19 3 6 2 2 6 2" xfId="10439"/>
    <cellStyle name="常规 19 3 6 2 2 6 3" xfId="21305"/>
    <cellStyle name="常规 19 3 6 2 2 6 4" xfId="21307"/>
    <cellStyle name="常规 19 3 6 2 2 6 5" xfId="21309"/>
    <cellStyle name="常规 19 3 6 2 2 6 6" xfId="21312"/>
    <cellStyle name="常规 19 3 6 2 2 6 7" xfId="21315"/>
    <cellStyle name="常规 19 3 6 2 2 6 8" xfId="21316"/>
    <cellStyle name="常规 19 3 6 2 2 7" xfId="21318"/>
    <cellStyle name="常规 19 3 6 2 2 7 2" xfId="9903"/>
    <cellStyle name="常规 19 3 6 2 2 7 3" xfId="9906"/>
    <cellStyle name="常规 19 3 6 2 2 7 4" xfId="10736"/>
    <cellStyle name="常规 19 3 6 2 2 7 5" xfId="21320"/>
    <cellStyle name="常规 19 3 6 2 2 7 6" xfId="21322"/>
    <cellStyle name="常规 19 3 6 2 2 7 7" xfId="21324"/>
    <cellStyle name="常规 19 3 6 2 2 7 8" xfId="21325"/>
    <cellStyle name="常规 19 3 6 2 2 8" xfId="21327"/>
    <cellStyle name="常规 19 3 6 2 2 8 2" xfId="21329"/>
    <cellStyle name="常规 19 3 6 2 2 8 3" xfId="10743"/>
    <cellStyle name="常规 19 3 6 2 2 8 4" xfId="10745"/>
    <cellStyle name="常规 19 3 6 2 2 8 5" xfId="21331"/>
    <cellStyle name="常规 19 3 6 2 2 8 6" xfId="4322"/>
    <cellStyle name="常规 19 3 6 2 2 8 7" xfId="4332"/>
    <cellStyle name="常规 19 3 6 2 2 8 8" xfId="11946"/>
    <cellStyle name="常规 19 3 6 2 2 9" xfId="748"/>
    <cellStyle name="常规 19 3 6 2 2 9 2" xfId="3955"/>
    <cellStyle name="常规 19 3 6 2 2 9 3" xfId="3957"/>
    <cellStyle name="常规 19 3 6 2 2 9 4" xfId="21332"/>
    <cellStyle name="常规 19 3 6 2 2 9 5" xfId="21333"/>
    <cellStyle name="常规 19 3 6 2 2 9 6" xfId="21334"/>
    <cellStyle name="常规 19 3 6 2 2 9 7" xfId="21335"/>
    <cellStyle name="常规 19 3 6 2 2 9 8" xfId="21336"/>
    <cellStyle name="常规 19 3 6 2 3" xfId="13339"/>
    <cellStyle name="常规 19 3 6 2 3 2" xfId="16289"/>
    <cellStyle name="常规 19 3 6 2 3 3" xfId="16300"/>
    <cellStyle name="常规 19 3 6 2 3 4" xfId="16304"/>
    <cellStyle name="常规 19 3 6 2 3 5" xfId="8125"/>
    <cellStyle name="常规 19 3 6 2 3 6" xfId="8515"/>
    <cellStyle name="常规 19 3 6 2 3 7" xfId="16308"/>
    <cellStyle name="常规 19 3 6 2 3 8" xfId="16312"/>
    <cellStyle name="常规 19 3 6 2 4" xfId="21338"/>
    <cellStyle name="常规 19 3 6 2 4 2" xfId="21340"/>
    <cellStyle name="常规 19 3 6 2 4 3" xfId="21342"/>
    <cellStyle name="常规 19 3 6 2 4 4" xfId="21344"/>
    <cellStyle name="常规 19 3 6 2 4 5" xfId="8147"/>
    <cellStyle name="常规 19 3 6 2 4 6" xfId="11854"/>
    <cellStyle name="常规 19 3 6 2 4 7" xfId="10309"/>
    <cellStyle name="常规 19 3 6 2 4 8" xfId="21346"/>
    <cellStyle name="常规 19 3 6 2 5" xfId="21349"/>
    <cellStyle name="常规 19 3 6 2 5 2" xfId="21351"/>
    <cellStyle name="常规 19 3 6 2 5 3" xfId="21353"/>
    <cellStyle name="常规 19 3 6 2 5 4" xfId="21355"/>
    <cellStyle name="常规 19 3 6 2 5 5" xfId="21358"/>
    <cellStyle name="常规 19 3 6 2 5 6" xfId="21361"/>
    <cellStyle name="常规 19 3 6 2 5 7" xfId="21365"/>
    <cellStyle name="常规 19 3 6 2 5 8" xfId="5328"/>
    <cellStyle name="常规 19 3 6 2 6" xfId="21369"/>
    <cellStyle name="常规 19 3 6 2 6 2" xfId="21371"/>
    <cellStyle name="常规 19 3 6 2 6 3" xfId="21373"/>
    <cellStyle name="常规 19 3 6 2 6 4" xfId="579"/>
    <cellStyle name="常规 19 3 6 2 6 5" xfId="590"/>
    <cellStyle name="常规 19 3 6 2 6 6" xfId="21375"/>
    <cellStyle name="常规 19 3 6 2 6 7" xfId="21379"/>
    <cellStyle name="常规 19 3 6 2 6 8" xfId="21383"/>
    <cellStyle name="常规 19 3 6 2 7" xfId="21387"/>
    <cellStyle name="常规 19 3 6 2 7 2" xfId="21390"/>
    <cellStyle name="常规 19 3 6 2 7 3" xfId="21393"/>
    <cellStyle name="常规 19 3 6 2 7 4" xfId="21396"/>
    <cellStyle name="常规 19 3 6 2 7 5" xfId="21399"/>
    <cellStyle name="常规 19 3 6 2 7 6" xfId="21402"/>
    <cellStyle name="常规 19 3 6 2 7 7" xfId="11559"/>
    <cellStyle name="常规 19 3 6 2 7 8" xfId="6384"/>
    <cellStyle name="常规 19 3 6 2 8" xfId="21405"/>
    <cellStyle name="常规 19 3 6 2 8 2" xfId="16754"/>
    <cellStyle name="常规 19 3 6 2 8 3" xfId="16757"/>
    <cellStyle name="常规 19 3 6 2 8 4" xfId="2393"/>
    <cellStyle name="常规 19 3 6 2 8 5" xfId="2405"/>
    <cellStyle name="常规 19 3 6 2 8 6" xfId="16760"/>
    <cellStyle name="常规 19 3 6 2 8 7" xfId="7417"/>
    <cellStyle name="常规 19 3 6 2 8 8" xfId="7515"/>
    <cellStyle name="常规 19 3 6 2 9" xfId="21408"/>
    <cellStyle name="常规 19 3 6 2 9 2" xfId="21411"/>
    <cellStyle name="常规 19 3 6 2 9 3" xfId="21414"/>
    <cellStyle name="常规 19 3 6 2 9 4" xfId="21416"/>
    <cellStyle name="常规 19 3 6 2 9 5" xfId="21420"/>
    <cellStyle name="常规 19 3 6 2 9 6" xfId="21424"/>
    <cellStyle name="常规 19 3 6 2 9 7" xfId="18972"/>
    <cellStyle name="常规 19 3 6 2 9 8" xfId="7019"/>
    <cellStyle name="常规 19 3 6 20" xfId="2357"/>
    <cellStyle name="常规 19 3 6 3" xfId="21427"/>
    <cellStyle name="常规 19 3 6 3 10" xfId="21428"/>
    <cellStyle name="常规 19 3 6 3 10 2" xfId="7815"/>
    <cellStyle name="常规 19 3 6 3 10 3" xfId="7817"/>
    <cellStyle name="常规 19 3 6 3 10 4" xfId="21429"/>
    <cellStyle name="常规 19 3 6 3 10 5" xfId="21430"/>
    <cellStyle name="常规 19 3 6 3 10 6" xfId="21431"/>
    <cellStyle name="常规 19 3 6 3 10 7" xfId="21433"/>
    <cellStyle name="常规 19 3 6 3 11" xfId="12094"/>
    <cellStyle name="常规 19 3 6 3 12" xfId="12105"/>
    <cellStyle name="常规 19 3 6 3 13" xfId="19131"/>
    <cellStyle name="常规 19 3 6 3 14" xfId="19134"/>
    <cellStyle name="常规 19 3 6 3 15" xfId="13818"/>
    <cellStyle name="常规 19 3 6 3 16" xfId="1855"/>
    <cellStyle name="常规 19 3 6 3 17" xfId="3269"/>
    <cellStyle name="常规 19 3 6 3 2" xfId="364"/>
    <cellStyle name="常规 19 3 6 3 2 2" xfId="17817"/>
    <cellStyle name="常规 19 3 6 3 2 3" xfId="18078"/>
    <cellStyle name="常规 19 3 6 3 2 4" xfId="21434"/>
    <cellStyle name="常规 19 3 6 3 2 5" xfId="802"/>
    <cellStyle name="常规 19 3 6 3 2 6" xfId="850"/>
    <cellStyle name="常规 19 3 6 3 2 7" xfId="7436"/>
    <cellStyle name="常规 19 3 6 3 2 8" xfId="21435"/>
    <cellStyle name="常规 19 3 6 3 3" xfId="3364"/>
    <cellStyle name="常规 19 3 6 3 3 2" xfId="3370"/>
    <cellStyle name="常规 19 3 6 3 3 3" xfId="3374"/>
    <cellStyle name="常规 19 3 6 3 3 4" xfId="21437"/>
    <cellStyle name="常规 19 3 6 3 3 5" xfId="892"/>
    <cellStyle name="常规 19 3 6 3 3 6" xfId="9436"/>
    <cellStyle name="常规 19 3 6 3 3 7" xfId="21438"/>
    <cellStyle name="常规 19 3 6 3 3 8" xfId="21440"/>
    <cellStyle name="常规 19 3 6 3 4" xfId="3387"/>
    <cellStyle name="常规 19 3 6 3 4 2" xfId="21441"/>
    <cellStyle name="常规 19 3 6 3 4 3" xfId="21443"/>
    <cellStyle name="常规 19 3 6 3 4 4" xfId="21445"/>
    <cellStyle name="常规 19 3 6 3 4 5" xfId="21446"/>
    <cellStyle name="常规 19 3 6 3 4 6" xfId="21447"/>
    <cellStyle name="常规 19 3 6 3 4 7" xfId="21449"/>
    <cellStyle name="常规 19 3 6 3 4 8" xfId="21452"/>
    <cellStyle name="常规 19 3 6 3 5" xfId="4101"/>
    <cellStyle name="常规 19 3 6 3 5 2" xfId="4462"/>
    <cellStyle name="常规 19 3 6 3 5 3" xfId="4479"/>
    <cellStyle name="常规 19 3 6 3 5 4" xfId="21453"/>
    <cellStyle name="常规 19 3 6 3 5 5" xfId="21456"/>
    <cellStyle name="常规 19 3 6 3 5 6" xfId="21459"/>
    <cellStyle name="常规 19 3 6 3 5 7" xfId="21461"/>
    <cellStyle name="常规 19 3 6 3 5 8" xfId="21463"/>
    <cellStyle name="常规 19 3 6 3 6" xfId="4114"/>
    <cellStyle name="常规 19 3 6 3 6 2" xfId="21466"/>
    <cellStyle name="常规 19 3 6 3 6 3" xfId="21467"/>
    <cellStyle name="常规 19 3 6 3 6 4" xfId="21468"/>
    <cellStyle name="常规 19 3 6 3 6 5" xfId="21470"/>
    <cellStyle name="常规 19 3 6 3 6 6" xfId="21472"/>
    <cellStyle name="常规 19 3 6 3 6 7" xfId="21475"/>
    <cellStyle name="常规 19 3 6 3 6 8" xfId="8594"/>
    <cellStyle name="常规 19 3 6 3 7" xfId="11256"/>
    <cellStyle name="常规 19 3 6 3 7 2" xfId="21478"/>
    <cellStyle name="常规 19 3 6 3 7 3" xfId="21479"/>
    <cellStyle name="常规 19 3 6 3 7 4" xfId="21480"/>
    <cellStyle name="常规 19 3 6 3 7 5" xfId="21482"/>
    <cellStyle name="常规 19 3 6 3 7 6" xfId="21484"/>
    <cellStyle name="常规 19 3 6 3 7 7" xfId="11569"/>
    <cellStyle name="常规 19 3 6 3 7 8" xfId="11572"/>
    <cellStyle name="常规 19 3 6 3 8" xfId="21487"/>
    <cellStyle name="常规 19 3 6 3 8 2" xfId="21488"/>
    <cellStyle name="常规 19 3 6 3 8 3" xfId="21489"/>
    <cellStyle name="常规 19 3 6 3 8 4" xfId="21490"/>
    <cellStyle name="常规 19 3 6 3 8 5" xfId="21492"/>
    <cellStyle name="常规 19 3 6 3 8 6" xfId="21494"/>
    <cellStyle name="常规 19 3 6 3 8 7" xfId="7883"/>
    <cellStyle name="常规 19 3 6 3 8 8" xfId="8037"/>
    <cellStyle name="常规 19 3 6 3 9" xfId="21496"/>
    <cellStyle name="常规 19 3 6 3 9 2" xfId="21497"/>
    <cellStyle name="常规 19 3 6 3 9 3" xfId="21498"/>
    <cellStyle name="常规 19 3 6 3 9 4" xfId="21499"/>
    <cellStyle name="常规 19 3 6 3 9 5" xfId="21501"/>
    <cellStyle name="常规 19 3 6 3 9 6" xfId="21503"/>
    <cellStyle name="常规 19 3 6 3 9 7" xfId="21505"/>
    <cellStyle name="常规 19 3 6 3 9 8" xfId="21507"/>
    <cellStyle name="常规 19 3 6 4" xfId="21510"/>
    <cellStyle name="常规 19 3 6 4 2" xfId="2247"/>
    <cellStyle name="常规 19 3 6 4 3" xfId="3410"/>
    <cellStyle name="常规 19 3 6 4 4" xfId="3425"/>
    <cellStyle name="常规 19 3 6 4 5" xfId="4013"/>
    <cellStyle name="常规 19 3 6 4 6" xfId="4488"/>
    <cellStyle name="常规 19 3 6 4 7" xfId="21512"/>
    <cellStyle name="常规 19 3 6 4 8" xfId="21514"/>
    <cellStyle name="常规 19 3 6 5" xfId="18624"/>
    <cellStyle name="常规 19 3 6 5 2" xfId="21516"/>
    <cellStyle name="常规 19 3 6 5 3" xfId="21518"/>
    <cellStyle name="常规 19 3 6 5 4" xfId="21520"/>
    <cellStyle name="常规 19 3 6 5 5" xfId="21522"/>
    <cellStyle name="常规 19 3 6 5 6" xfId="21524"/>
    <cellStyle name="常规 19 3 6 5 7" xfId="21526"/>
    <cellStyle name="常规 19 3 6 5 8" xfId="21528"/>
    <cellStyle name="常规 19 3 6 6" xfId="18628"/>
    <cellStyle name="常规 19 3 6 6 2" xfId="21530"/>
    <cellStyle name="常规 19 3 6 6 3" xfId="21532"/>
    <cellStyle name="常规 19 3 6 6 4" xfId="21534"/>
    <cellStyle name="常规 19 3 6 6 5" xfId="14563"/>
    <cellStyle name="常规 19 3 6 6 6" xfId="14582"/>
    <cellStyle name="常规 19 3 6 6 7" xfId="10504"/>
    <cellStyle name="常规 19 3 6 6 8" xfId="10510"/>
    <cellStyle name="常规 19 3 6 7" xfId="18632"/>
    <cellStyle name="常规 19 3 6 7 2" xfId="21536"/>
    <cellStyle name="常规 19 3 6 7 3" xfId="21538"/>
    <cellStyle name="常规 19 3 6 7 4" xfId="21540"/>
    <cellStyle name="常规 19 3 6 7 5" xfId="21542"/>
    <cellStyle name="常规 19 3 6 7 6" xfId="21544"/>
    <cellStyle name="常规 19 3 6 7 7" xfId="21547"/>
    <cellStyle name="常规 19 3 6 7 8" xfId="21550"/>
    <cellStyle name="常规 19 3 6 8" xfId="18636"/>
    <cellStyle name="常规 19 3 6 8 2" xfId="21552"/>
    <cellStyle name="常规 19 3 6 8 3" xfId="9858"/>
    <cellStyle name="常规 19 3 6 8 4" xfId="9865"/>
    <cellStyle name="常规 19 3 6 8 5" xfId="21554"/>
    <cellStyle name="常规 19 3 6 8 6" xfId="21556"/>
    <cellStyle name="常规 19 3 6 8 7" xfId="21558"/>
    <cellStyle name="常规 19 3 6 8 8" xfId="21560"/>
    <cellStyle name="常规 19 3 6 9" xfId="18642"/>
    <cellStyle name="常规 19 3 6 9 2" xfId="21562"/>
    <cellStyle name="常规 19 3 6 9 3" xfId="2468"/>
    <cellStyle name="常规 19 3 6 9 4" xfId="2481"/>
    <cellStyle name="常规 19 3 6 9 5" xfId="20014"/>
    <cellStyle name="常规 19 3 6 9 6" xfId="20017"/>
    <cellStyle name="常规 19 3 6 9 7" xfId="16352"/>
    <cellStyle name="常规 19 3 6 9 8" xfId="16368"/>
    <cellStyle name="常规 19 3 7" xfId="21564"/>
    <cellStyle name="常规 19 3 7 10" xfId="14722"/>
    <cellStyle name="常规 19 3 7 10 2" xfId="12463"/>
    <cellStyle name="常规 19 3 7 10 3" xfId="14717"/>
    <cellStyle name="常规 19 3 7 10 4" xfId="21567"/>
    <cellStyle name="常规 19 3 7 10 5" xfId="21569"/>
    <cellStyle name="常规 19 3 7 10 6" xfId="21571"/>
    <cellStyle name="常规 19 3 7 10 7" xfId="19559"/>
    <cellStyle name="常规 19 3 7 10 8" xfId="19562"/>
    <cellStyle name="常规 19 3 7 11" xfId="14726"/>
    <cellStyle name="常规 19 3 7 11 2" xfId="14732"/>
    <cellStyle name="常规 19 3 7 11 3" xfId="14736"/>
    <cellStyle name="常规 19 3 7 11 4" xfId="21574"/>
    <cellStyle name="常规 19 3 7 11 5" xfId="21577"/>
    <cellStyle name="常规 19 3 7 11 6" xfId="21580"/>
    <cellStyle name="常规 19 3 7 11 7" xfId="21582"/>
    <cellStyle name="常规 19 3 7 11 8" xfId="21586"/>
    <cellStyle name="常规 19 3 7 12" xfId="14729"/>
    <cellStyle name="常规 19 3 7 12 2" xfId="8881"/>
    <cellStyle name="常规 19 3 7 12 3" xfId="7334"/>
    <cellStyle name="常规 19 3 7 12 4" xfId="7351"/>
    <cellStyle name="常规 19 3 7 12 5" xfId="5762"/>
    <cellStyle name="常规 19 3 7 12 6" xfId="5872"/>
    <cellStyle name="常规 19 3 7 12 7" xfId="5041"/>
    <cellStyle name="常规 19 3 7 13" xfId="14733"/>
    <cellStyle name="常规 19 3 7 14" xfId="14737"/>
    <cellStyle name="常规 19 3 7 15" xfId="21573"/>
    <cellStyle name="常规 19 3 7 16" xfId="21576"/>
    <cellStyle name="常规 19 3 7 17" xfId="21579"/>
    <cellStyle name="常规 19 3 7 18" xfId="21581"/>
    <cellStyle name="常规 19 3 7 19" xfId="21585"/>
    <cellStyle name="常规 19 3 7 2" xfId="21590"/>
    <cellStyle name="常规 19 3 7 2 10" xfId="11546"/>
    <cellStyle name="常规 19 3 7 2 10 2" xfId="14440"/>
    <cellStyle name="常规 19 3 7 2 10 3" xfId="14442"/>
    <cellStyle name="常规 19 3 7 2 10 4" xfId="17887"/>
    <cellStyle name="常规 19 3 7 2 10 5" xfId="17893"/>
    <cellStyle name="常规 19 3 7 2 10 6" xfId="17897"/>
    <cellStyle name="常规 19 3 7 2 10 7" xfId="17901"/>
    <cellStyle name="常规 19 3 7 2 11" xfId="8709"/>
    <cellStyle name="常规 19 3 7 2 12" xfId="8712"/>
    <cellStyle name="常规 19 3 7 2 13" xfId="21592"/>
    <cellStyle name="常规 19 3 7 2 14" xfId="21593"/>
    <cellStyle name="常规 19 3 7 2 15" xfId="21594"/>
    <cellStyle name="常规 19 3 7 2 16" xfId="18425"/>
    <cellStyle name="常规 19 3 7 2 17" xfId="18427"/>
    <cellStyle name="常规 19 3 7 2 2" xfId="14750"/>
    <cellStyle name="常规 19 3 7 2 2 2" xfId="2767"/>
    <cellStyle name="常规 19 3 7 2 2 3" xfId="6557"/>
    <cellStyle name="常规 19 3 7 2 2 4" xfId="6563"/>
    <cellStyle name="常规 19 3 7 2 2 5" xfId="9593"/>
    <cellStyle name="常规 19 3 7 2 2 6" xfId="5067"/>
    <cellStyle name="常规 19 3 7 2 2 7" xfId="3031"/>
    <cellStyle name="常规 19 3 7 2 2 8" xfId="3038"/>
    <cellStyle name="常规 19 3 7 2 3" xfId="14756"/>
    <cellStyle name="常规 19 3 7 2 3 2" xfId="6025"/>
    <cellStyle name="常规 19 3 7 2 3 3" xfId="14762"/>
    <cellStyle name="常规 19 3 7 2 3 4" xfId="14766"/>
    <cellStyle name="常规 19 3 7 2 3 5" xfId="9610"/>
    <cellStyle name="常规 19 3 7 2 3 6" xfId="9617"/>
    <cellStyle name="常规 19 3 7 2 3 7" xfId="1795"/>
    <cellStyle name="常规 19 3 7 2 3 8" xfId="1804"/>
    <cellStyle name="常规 19 3 7 2 4" xfId="14770"/>
    <cellStyle name="常规 19 3 7 2 4 2" xfId="14775"/>
    <cellStyle name="常规 19 3 7 2 4 3" xfId="14779"/>
    <cellStyle name="常规 19 3 7 2 4 4" xfId="9074"/>
    <cellStyle name="常规 19 3 7 2 4 5" xfId="143"/>
    <cellStyle name="常规 19 3 7 2 4 6" xfId="14785"/>
    <cellStyle name="常规 19 3 7 2 4 7" xfId="14790"/>
    <cellStyle name="常规 19 3 7 2 4 8" xfId="14794"/>
    <cellStyle name="常规 19 3 7 2 5" xfId="14293"/>
    <cellStyle name="常规 19 3 7 2 5 2" xfId="14799"/>
    <cellStyle name="常规 19 3 7 2 5 3" xfId="14804"/>
    <cellStyle name="常规 19 3 7 2 5 4" xfId="14808"/>
    <cellStyle name="常规 19 3 7 2 5 5" xfId="14813"/>
    <cellStyle name="常规 19 3 7 2 5 6" xfId="14819"/>
    <cellStyle name="常规 19 3 7 2 5 7" xfId="14823"/>
    <cellStyle name="常规 19 3 7 2 5 8" xfId="14827"/>
    <cellStyle name="常规 19 3 7 2 6" xfId="14300"/>
    <cellStyle name="常规 19 3 7 2 6 2" xfId="211"/>
    <cellStyle name="常规 19 3 7 2 6 3" xfId="162"/>
    <cellStyle name="常规 19 3 7 2 6 4" xfId="107"/>
    <cellStyle name="常规 19 3 7 2 6 5" xfId="225"/>
    <cellStyle name="常规 19 3 7 2 6 6" xfId="426"/>
    <cellStyle name="常规 19 3 7 2 6 7" xfId="445"/>
    <cellStyle name="常规 19 3 7 2 6 8" xfId="14831"/>
    <cellStyle name="常规 19 3 7 2 7" xfId="14307"/>
    <cellStyle name="常规 19 3 7 2 7 2" xfId="14836"/>
    <cellStyle name="常规 19 3 7 2 7 3" xfId="14839"/>
    <cellStyle name="常规 19 3 7 2 7 4" xfId="14842"/>
    <cellStyle name="常规 19 3 7 2 7 5" xfId="14846"/>
    <cellStyle name="常规 19 3 7 2 7 6" xfId="14851"/>
    <cellStyle name="常规 19 3 7 2 7 7" xfId="11580"/>
    <cellStyle name="常规 19 3 7 2 7 8" xfId="11585"/>
    <cellStyle name="常规 19 3 7 2 8" xfId="14313"/>
    <cellStyle name="常规 19 3 7 2 8 2" xfId="14855"/>
    <cellStyle name="常规 19 3 7 2 8 3" xfId="14858"/>
    <cellStyle name="常规 19 3 7 2 8 4" xfId="9796"/>
    <cellStyle name="常规 19 3 7 2 8 5" xfId="9801"/>
    <cellStyle name="常规 19 3 7 2 8 6" xfId="14862"/>
    <cellStyle name="常规 19 3 7 2 8 7" xfId="14864"/>
    <cellStyle name="常规 19 3 7 2 8 8" xfId="14866"/>
    <cellStyle name="常规 19 3 7 2 9" xfId="14318"/>
    <cellStyle name="常规 19 3 7 2 9 2" xfId="13360"/>
    <cellStyle name="常规 19 3 7 2 9 3" xfId="13364"/>
    <cellStyle name="常规 19 3 7 2 9 4" xfId="8975"/>
    <cellStyle name="常规 19 3 7 2 9 5" xfId="8987"/>
    <cellStyle name="常规 19 3 7 2 9 6" xfId="13372"/>
    <cellStyle name="常规 19 3 7 2 9 7" xfId="13375"/>
    <cellStyle name="常规 19 3 7 2 9 8" xfId="13378"/>
    <cellStyle name="常规 19 3 7 3" xfId="21596"/>
    <cellStyle name="常规 19 3 7 3 2" xfId="1627"/>
    <cellStyle name="常规 19 3 7 3 3" xfId="1783"/>
    <cellStyle name="常规 19 3 7 3 4" xfId="1831"/>
    <cellStyle name="常规 19 3 7 3 5" xfId="1878"/>
    <cellStyle name="常规 19 3 7 3 6" xfId="1923"/>
    <cellStyle name="常规 19 3 7 3 7" xfId="14330"/>
    <cellStyle name="常规 19 3 7 3 8" xfId="14336"/>
    <cellStyle name="常规 19 3 7 4" xfId="21600"/>
    <cellStyle name="常规 19 3 7 4 2" xfId="14869"/>
    <cellStyle name="常规 19 3 7 4 3" xfId="14875"/>
    <cellStyle name="常规 19 3 7 4 4" xfId="14880"/>
    <cellStyle name="常规 19 3 7 4 5" xfId="14351"/>
    <cellStyle name="常规 19 3 7 4 6" xfId="14358"/>
    <cellStyle name="常规 19 3 7 4 7" xfId="10524"/>
    <cellStyle name="常规 19 3 7 4 8" xfId="10539"/>
    <cellStyle name="常规 19 3 7 5" xfId="18652"/>
    <cellStyle name="常规 19 3 7 5 2" xfId="14884"/>
    <cellStyle name="常规 19 3 7 5 3" xfId="14889"/>
    <cellStyle name="常规 19 3 7 5 4" xfId="14894"/>
    <cellStyle name="常规 19 3 7 5 5" xfId="14373"/>
    <cellStyle name="常规 19 3 7 5 6" xfId="14378"/>
    <cellStyle name="常规 19 3 7 5 7" xfId="10553"/>
    <cellStyle name="常规 19 3 7 5 8" xfId="10562"/>
    <cellStyle name="常规 19 3 7 6" xfId="18657"/>
    <cellStyle name="常规 19 3 7 6 2" xfId="14898"/>
    <cellStyle name="常规 19 3 7 6 3" xfId="6816"/>
    <cellStyle name="常规 19 3 7 6 4" xfId="6823"/>
    <cellStyle name="常规 19 3 7 6 5" xfId="14387"/>
    <cellStyle name="常规 19 3 7 6 6" xfId="14393"/>
    <cellStyle name="常规 19 3 7 6 7" xfId="14401"/>
    <cellStyle name="常规 19 3 7 6 8" xfId="14406"/>
    <cellStyle name="常规 19 3 7 7" xfId="18661"/>
    <cellStyle name="常规 19 3 7 7 2" xfId="14906"/>
    <cellStyle name="常规 19 3 7 7 3" xfId="14913"/>
    <cellStyle name="常规 19 3 7 7 4" xfId="14920"/>
    <cellStyle name="常规 19 3 7 7 5" xfId="14417"/>
    <cellStyle name="常规 19 3 7 7 6" xfId="14423"/>
    <cellStyle name="常规 19 3 7 7 7" xfId="14429"/>
    <cellStyle name="常规 19 3 7 7 8" xfId="14434"/>
    <cellStyle name="常规 19 3 7 8" xfId="18666"/>
    <cellStyle name="常规 19 3 7 8 2" xfId="14929"/>
    <cellStyle name="常规 19 3 7 8 3" xfId="7083"/>
    <cellStyle name="常规 19 3 7 8 4" xfId="7107"/>
    <cellStyle name="常规 19 3 7 8 5" xfId="1360"/>
    <cellStyle name="常规 19 3 7 8 6" xfId="1371"/>
    <cellStyle name="常规 19 3 7 8 7" xfId="6046"/>
    <cellStyle name="常规 19 3 7 8 8" xfId="254"/>
    <cellStyle name="常规 19 3 7 9" xfId="18670"/>
    <cellStyle name="常规 19 3 7 9 2" xfId="764"/>
    <cellStyle name="常规 19 3 7 9 3" xfId="2560"/>
    <cellStyle name="常规 19 3 7 9 4" xfId="7150"/>
    <cellStyle name="常规 19 3 7 9 5" xfId="1201"/>
    <cellStyle name="常规 19 3 7 9 6" xfId="2823"/>
    <cellStyle name="常规 19 3 7 9 7" xfId="6058"/>
    <cellStyle name="常规 19 3 7 9 8" xfId="19575"/>
    <cellStyle name="常规 19 3 8" xfId="21604"/>
    <cellStyle name="常规 19 3 8 10" xfId="598"/>
    <cellStyle name="常规 19 3 8 10 2" xfId="14943"/>
    <cellStyle name="常规 19 3 8 10 3" xfId="21606"/>
    <cellStyle name="常规 19 3 8 10 4" xfId="21607"/>
    <cellStyle name="常规 19 3 8 10 5" xfId="21609"/>
    <cellStyle name="常规 19 3 8 10 6" xfId="21611"/>
    <cellStyle name="常规 19 3 8 10 7" xfId="21613"/>
    <cellStyle name="常规 19 3 8 10 8" xfId="5786"/>
    <cellStyle name="常规 19 3 8 11" xfId="605"/>
    <cellStyle name="常规 19 3 8 11 2" xfId="21615"/>
    <cellStyle name="常规 19 3 8 11 3" xfId="21617"/>
    <cellStyle name="常规 19 3 8 11 4" xfId="21620"/>
    <cellStyle name="常规 19 3 8 11 5" xfId="21622"/>
    <cellStyle name="常规 19 3 8 11 6" xfId="21624"/>
    <cellStyle name="常规 19 3 8 11 7" xfId="21625"/>
    <cellStyle name="常规 19 3 8 11 8" xfId="5813"/>
    <cellStyle name="常规 19 3 8 12" xfId="2436"/>
    <cellStyle name="常规 19 3 8 12 2" xfId="21626"/>
    <cellStyle name="常规 19 3 8 12 3" xfId="21629"/>
    <cellStyle name="常规 19 3 8 12 4" xfId="21631"/>
    <cellStyle name="常规 19 3 8 12 5" xfId="21633"/>
    <cellStyle name="常规 19 3 8 12 6" xfId="21635"/>
    <cellStyle name="常规 19 3 8 12 7" xfId="21636"/>
    <cellStyle name="常规 19 3 8 13" xfId="2449"/>
    <cellStyle name="常规 19 3 8 14" xfId="21637"/>
    <cellStyle name="常规 19 3 8 15" xfId="21638"/>
    <cellStyle name="常规 19 3 8 16" xfId="21639"/>
    <cellStyle name="常规 19 3 8 17" xfId="21640"/>
    <cellStyle name="常规 19 3 8 18" xfId="21641"/>
    <cellStyle name="常规 19 3 8 19" xfId="21642"/>
    <cellStyle name="常规 19 3 8 2" xfId="21644"/>
    <cellStyle name="常规 19 3 8 2 10" xfId="21646"/>
    <cellStyle name="常规 19 3 8 2 10 2" xfId="20561"/>
    <cellStyle name="常规 19 3 8 2 10 3" xfId="20568"/>
    <cellStyle name="常规 19 3 8 2 10 4" xfId="20577"/>
    <cellStyle name="常规 19 3 8 2 10 5" xfId="20584"/>
    <cellStyle name="常规 19 3 8 2 10 6" xfId="20596"/>
    <cellStyle name="常规 19 3 8 2 10 7" xfId="15519"/>
    <cellStyle name="常规 19 3 8 2 11" xfId="21648"/>
    <cellStyle name="常规 19 3 8 2 12" xfId="4399"/>
    <cellStyle name="常规 19 3 8 2 13" xfId="2745"/>
    <cellStyle name="常规 19 3 8 2 14" xfId="21650"/>
    <cellStyle name="常规 19 3 8 2 15" xfId="10177"/>
    <cellStyle name="常规 19 3 8 2 16" xfId="10184"/>
    <cellStyle name="常规 19 3 8 2 17" xfId="9876"/>
    <cellStyle name="常规 19 3 8 2 2" xfId="9757"/>
    <cellStyle name="常规 19 3 8 2 2 2" xfId="6069"/>
    <cellStyle name="常规 19 3 8 2 2 3" xfId="9313"/>
    <cellStyle name="常规 19 3 8 2 2 4" xfId="9330"/>
    <cellStyle name="常规 19 3 8 2 2 5" xfId="2039"/>
    <cellStyle name="常规 19 3 8 2 2 6" xfId="2063"/>
    <cellStyle name="常规 19 3 8 2 2 7" xfId="3220"/>
    <cellStyle name="常规 19 3 8 2 2 8" xfId="3243"/>
    <cellStyle name="常规 19 3 8 2 3" xfId="9762"/>
    <cellStyle name="常规 19 3 8 2 3 2" xfId="11198"/>
    <cellStyle name="常规 19 3 8 2 3 3" xfId="9336"/>
    <cellStyle name="常规 19 3 8 2 3 4" xfId="9342"/>
    <cellStyle name="常规 19 3 8 2 3 5" xfId="2082"/>
    <cellStyle name="常规 19 3 8 2 3 6" xfId="2089"/>
    <cellStyle name="常规 19 3 8 2 3 7" xfId="1851"/>
    <cellStyle name="常规 19 3 8 2 3 8" xfId="3276"/>
    <cellStyle name="常规 19 3 8 2 4" xfId="14961"/>
    <cellStyle name="常规 19 3 8 2 4 2" xfId="11374"/>
    <cellStyle name="常规 19 3 8 2 4 3" xfId="11393"/>
    <cellStyle name="常规 19 3 8 2 4 4" xfId="10681"/>
    <cellStyle name="常规 19 3 8 2 4 5" xfId="10686"/>
    <cellStyle name="常规 19 3 8 2 4 6" xfId="20126"/>
    <cellStyle name="常规 19 3 8 2 4 7" xfId="20945"/>
    <cellStyle name="常规 19 3 8 2 4 8" xfId="20947"/>
    <cellStyle name="常规 19 3 8 2 5" xfId="14964"/>
    <cellStyle name="常规 19 3 8 2 5 2" xfId="11427"/>
    <cellStyle name="常规 19 3 8 2 5 3" xfId="11433"/>
    <cellStyle name="常规 19 3 8 2 5 4" xfId="10698"/>
    <cellStyle name="常规 19 3 8 2 5 5" xfId="20129"/>
    <cellStyle name="常规 19 3 8 2 5 6" xfId="20133"/>
    <cellStyle name="常规 19 3 8 2 5 7" xfId="20951"/>
    <cellStyle name="常规 19 3 8 2 5 8" xfId="20955"/>
    <cellStyle name="常规 19 3 8 2 6" xfId="6991"/>
    <cellStyle name="常规 19 3 8 2 6 2" xfId="15638"/>
    <cellStyle name="常规 19 3 8 2 6 3" xfId="15642"/>
    <cellStyle name="常规 19 3 8 2 6 4" xfId="10704"/>
    <cellStyle name="常规 19 3 8 2 6 5" xfId="20139"/>
    <cellStyle name="常规 19 3 8 2 6 6" xfId="20143"/>
    <cellStyle name="常规 19 3 8 2 6 7" xfId="9747"/>
    <cellStyle name="常规 19 3 8 2 6 8" xfId="9771"/>
    <cellStyle name="常规 19 3 8 2 7" xfId="6995"/>
    <cellStyle name="常规 19 3 8 2 7 2" xfId="15647"/>
    <cellStyle name="常规 19 3 8 2 7 3" xfId="15651"/>
    <cellStyle name="常规 19 3 8 2 7 4" xfId="15655"/>
    <cellStyle name="常规 19 3 8 2 7 5" xfId="20150"/>
    <cellStyle name="常规 19 3 8 2 7 6" xfId="2286"/>
    <cellStyle name="常规 19 3 8 2 7 7" xfId="2370"/>
    <cellStyle name="常规 19 3 8 2 7 8" xfId="2426"/>
    <cellStyle name="常规 19 3 8 2 8" xfId="21651"/>
    <cellStyle name="常规 19 3 8 2 8 2" xfId="15660"/>
    <cellStyle name="常规 19 3 8 2 8 3" xfId="15664"/>
    <cellStyle name="常规 19 3 8 2 8 4" xfId="15669"/>
    <cellStyle name="常规 19 3 8 2 8 5" xfId="20155"/>
    <cellStyle name="常规 19 3 8 2 8 6" xfId="20159"/>
    <cellStyle name="常规 19 3 8 2 8 7" xfId="2501"/>
    <cellStyle name="常规 19 3 8 2 8 8" xfId="2543"/>
    <cellStyle name="常规 19 3 8 2 9" xfId="21652"/>
    <cellStyle name="常规 19 3 8 2 9 2" xfId="15683"/>
    <cellStyle name="常规 19 3 8 2 9 3" xfId="15687"/>
    <cellStyle name="常规 19 3 8 2 9 4" xfId="15692"/>
    <cellStyle name="常规 19 3 8 2 9 5" xfId="20163"/>
    <cellStyle name="常规 19 3 8 2 9 6" xfId="20168"/>
    <cellStyle name="常规 19 3 8 2 9 7" xfId="2580"/>
    <cellStyle name="常规 19 3 8 2 9 8" xfId="2616"/>
    <cellStyle name="常规 19 3 8 3" xfId="21654"/>
    <cellStyle name="常规 19 3 8 3 2" xfId="10048"/>
    <cellStyle name="常规 19 3 8 3 3" xfId="10051"/>
    <cellStyle name="常规 19 3 8 3 4" xfId="14967"/>
    <cellStyle name="常规 19 3 8 3 5" xfId="14969"/>
    <cellStyle name="常规 19 3 8 3 6" xfId="14971"/>
    <cellStyle name="常规 19 3 8 3 7" xfId="14973"/>
    <cellStyle name="常规 19 3 8 3 8" xfId="21656"/>
    <cellStyle name="常规 19 3 8 4" xfId="10056"/>
    <cellStyle name="常规 19 3 8 4 2" xfId="14977"/>
    <cellStyle name="常规 19 3 8 4 3" xfId="14979"/>
    <cellStyle name="常规 19 3 8 4 4" xfId="14981"/>
    <cellStyle name="常规 19 3 8 4 5" xfId="14983"/>
    <cellStyle name="常规 19 3 8 4 6" xfId="14985"/>
    <cellStyle name="常规 19 3 8 4 7" xfId="10572"/>
    <cellStyle name="常规 19 3 8 4 8" xfId="21657"/>
    <cellStyle name="常规 19 3 8 5" xfId="10112"/>
    <cellStyle name="常规 19 3 8 5 2" xfId="14993"/>
    <cellStyle name="常规 19 3 8 5 3" xfId="14996"/>
    <cellStyle name="常规 19 3 8 5 4" xfId="14999"/>
    <cellStyle name="常规 19 3 8 5 5" xfId="15001"/>
    <cellStyle name="常规 19 3 8 5 6" xfId="15003"/>
    <cellStyle name="常规 19 3 8 5 7" xfId="8691"/>
    <cellStyle name="常规 19 3 8 5 8" xfId="21658"/>
    <cellStyle name="常规 19 3 8 6" xfId="21661"/>
    <cellStyle name="常规 19 3 8 6 2" xfId="15009"/>
    <cellStyle name="常规 19 3 8 6 3" xfId="15011"/>
    <cellStyle name="常规 19 3 8 6 4" xfId="15013"/>
    <cellStyle name="常规 19 3 8 6 5" xfId="15015"/>
    <cellStyle name="常规 19 3 8 6 6" xfId="15017"/>
    <cellStyle name="常规 19 3 8 6 7" xfId="15019"/>
    <cellStyle name="常规 19 3 8 6 8" xfId="21663"/>
    <cellStyle name="常规 19 3 8 7" xfId="12573"/>
    <cellStyle name="常规 19 3 8 7 2" xfId="15023"/>
    <cellStyle name="常规 19 3 8 7 3" xfId="15025"/>
    <cellStyle name="常规 19 3 8 7 4" xfId="15027"/>
    <cellStyle name="常规 19 3 8 7 5" xfId="15029"/>
    <cellStyle name="常规 19 3 8 7 6" xfId="15031"/>
    <cellStyle name="常规 19 3 8 7 7" xfId="15033"/>
    <cellStyle name="常规 19 3 8 7 8" xfId="21664"/>
    <cellStyle name="常规 19 3 8 8" xfId="12580"/>
    <cellStyle name="常规 19 3 8 8 2" xfId="15037"/>
    <cellStyle name="常规 19 3 8 8 3" xfId="1067"/>
    <cellStyle name="常规 19 3 8 8 4" xfId="2353"/>
    <cellStyle name="常规 19 3 8 8 5" xfId="530"/>
    <cellStyle name="常规 19 3 8 8 6" xfId="4688"/>
    <cellStyle name="常规 19 3 8 8 7" xfId="4698"/>
    <cellStyle name="常规 19 3 8 8 8" xfId="21665"/>
    <cellStyle name="常规 19 3 8 9" xfId="21666"/>
    <cellStyle name="常规 19 3 8 9 2" xfId="138"/>
    <cellStyle name="常规 19 3 8 9 3" xfId="2194"/>
    <cellStyle name="常规 19 3 8 9 4" xfId="7194"/>
    <cellStyle name="常规 19 3 8 9 5" xfId="7202"/>
    <cellStyle name="常规 19 3 8 9 6" xfId="8739"/>
    <cellStyle name="常规 19 3 8 9 7" xfId="10250"/>
    <cellStyle name="常规 19 3 8 9 8" xfId="21669"/>
    <cellStyle name="常规 19 3 9" xfId="21671"/>
    <cellStyle name="常规 19 3 9 10" xfId="7453"/>
    <cellStyle name="常规 19 3 9 10 2" xfId="21673"/>
    <cellStyle name="常规 19 3 9 10 3" xfId="21675"/>
    <cellStyle name="常规 19 3 9 10 4" xfId="21677"/>
    <cellStyle name="常规 19 3 9 10 5" xfId="10117"/>
    <cellStyle name="常规 19 3 9 10 6" xfId="10120"/>
    <cellStyle name="常规 19 3 9 10 7" xfId="21679"/>
    <cellStyle name="常规 19 3 9 11" xfId="21681"/>
    <cellStyle name="常规 19 3 9 12" xfId="21683"/>
    <cellStyle name="常规 19 3 9 13" xfId="21684"/>
    <cellStyle name="常规 19 3 9 14" xfId="20586"/>
    <cellStyle name="常规 19 3 9 15" xfId="20589"/>
    <cellStyle name="常规 19 3 9 16" xfId="20591"/>
    <cellStyle name="常规 19 3 9 17" xfId="20593"/>
    <cellStyle name="常规 19 3 9 2" xfId="21686"/>
    <cellStyle name="常规 19 3 9 2 2" xfId="21204"/>
    <cellStyle name="常规 19 3 9 2 3" xfId="21206"/>
    <cellStyle name="常规 19 3 9 2 4" xfId="21208"/>
    <cellStyle name="常规 19 3 9 2 5" xfId="21210"/>
    <cellStyle name="常规 19 3 9 2 6" xfId="21212"/>
    <cellStyle name="常规 19 3 9 2 7" xfId="21687"/>
    <cellStyle name="常规 19 3 9 2 8" xfId="21688"/>
    <cellStyle name="常规 19 3 9 3" xfId="21690"/>
    <cellStyle name="常规 19 3 9 3 2" xfId="21691"/>
    <cellStyle name="常规 19 3 9 3 3" xfId="21692"/>
    <cellStyle name="常规 19 3 9 3 4" xfId="21693"/>
    <cellStyle name="常规 19 3 9 3 5" xfId="21694"/>
    <cellStyle name="常规 19 3 9 3 6" xfId="21695"/>
    <cellStyle name="常规 19 3 9 3 7" xfId="21696"/>
    <cellStyle name="常规 19 3 9 3 8" xfId="21697"/>
    <cellStyle name="常规 19 3 9 4" xfId="21699"/>
    <cellStyle name="常规 19 3 9 4 2" xfId="21700"/>
    <cellStyle name="常规 19 3 9 4 3" xfId="21701"/>
    <cellStyle name="常规 19 3 9 4 4" xfId="21702"/>
    <cellStyle name="常规 19 3 9 4 5" xfId="21703"/>
    <cellStyle name="常规 19 3 9 4 6" xfId="21704"/>
    <cellStyle name="常规 19 3 9 4 7" xfId="21705"/>
    <cellStyle name="常规 19 3 9 4 8" xfId="21706"/>
    <cellStyle name="常规 19 3 9 5" xfId="21708"/>
    <cellStyle name="常规 19 3 9 5 2" xfId="21710"/>
    <cellStyle name="常规 19 3 9 5 3" xfId="21712"/>
    <cellStyle name="常规 19 3 9 5 4" xfId="21714"/>
    <cellStyle name="常规 19 3 9 5 5" xfId="21715"/>
    <cellStyle name="常规 19 3 9 5 6" xfId="12315"/>
    <cellStyle name="常规 19 3 9 5 7" xfId="12338"/>
    <cellStyle name="常规 19 3 9 5 8" xfId="12347"/>
    <cellStyle name="常规 19 3 9 6" xfId="21717"/>
    <cellStyle name="常规 19 3 9 6 2" xfId="21719"/>
    <cellStyle name="常规 19 3 9 6 3" xfId="1118"/>
    <cellStyle name="常规 19 3 9 6 4" xfId="2684"/>
    <cellStyle name="常规 19 3 9 6 5" xfId="21721"/>
    <cellStyle name="常规 19 3 9 6 6" xfId="12349"/>
    <cellStyle name="常规 19 3 9 6 7" xfId="12363"/>
    <cellStyle name="常规 19 3 9 6 8" xfId="12371"/>
    <cellStyle name="常规 19 3 9 7" xfId="12590"/>
    <cellStyle name="常规 19 3 9 7 2" xfId="12594"/>
    <cellStyle name="常规 19 3 9 7 3" xfId="1142"/>
    <cellStyle name="常规 19 3 9 7 4" xfId="21722"/>
    <cellStyle name="常规 19 3 9 7 5" xfId="21723"/>
    <cellStyle name="常规 19 3 9 7 6" xfId="8858"/>
    <cellStyle name="常规 19 3 9 7 7" xfId="12390"/>
    <cellStyle name="常规 19 3 9 7 8" xfId="12402"/>
    <cellStyle name="常规 19 3 9 8" xfId="12602"/>
    <cellStyle name="常规 19 3 9 8 2" xfId="21724"/>
    <cellStyle name="常规 19 3 9 8 3" xfId="21726"/>
    <cellStyle name="常规 19 3 9 8 4" xfId="21728"/>
    <cellStyle name="常规 19 3 9 8 5" xfId="21731"/>
    <cellStyle name="常规 19 3 9 8 6" xfId="6235"/>
    <cellStyle name="常规 19 3 9 8 7" xfId="6270"/>
    <cellStyle name="常规 19 3 9 8 8" xfId="12406"/>
    <cellStyle name="常规 19 3 9 9" xfId="2911"/>
    <cellStyle name="常规 19 3 9 9 2" xfId="21733"/>
    <cellStyle name="常规 19 3 9 9 3" xfId="21735"/>
    <cellStyle name="常规 19 3 9 9 4" xfId="21737"/>
    <cellStyle name="常规 19 3 9 9 5" xfId="21738"/>
    <cellStyle name="常规 19 3 9 9 6" xfId="21739"/>
    <cellStyle name="常规 19 3 9 9 7" xfId="21740"/>
    <cellStyle name="常规 19 3 9 9 8" xfId="21741"/>
    <cellStyle name="常规 19 4" xfId="12670"/>
    <cellStyle name="常规 19 4 10" xfId="21742"/>
    <cellStyle name="常规 19 4 10 2" xfId="21743"/>
    <cellStyle name="常规 19 4 10 3" xfId="21744"/>
    <cellStyle name="常规 19 4 10 4" xfId="21745"/>
    <cellStyle name="常规 19 4 10 5" xfId="21747"/>
    <cellStyle name="常规 19 4 10 6" xfId="21749"/>
    <cellStyle name="常规 19 4 10 7" xfId="13009"/>
    <cellStyle name="常规 19 4 10 8" xfId="13022"/>
    <cellStyle name="常规 19 4 11" xfId="21751"/>
    <cellStyle name="常规 19 4 11 2" xfId="21752"/>
    <cellStyle name="常规 19 4 11 3" xfId="21753"/>
    <cellStyle name="常规 19 4 11 4" xfId="21754"/>
    <cellStyle name="常规 19 4 11 5" xfId="21755"/>
    <cellStyle name="常规 19 4 11 6" xfId="21756"/>
    <cellStyle name="常规 19 4 11 7" xfId="13108"/>
    <cellStyle name="常规 19 4 11 8" xfId="13110"/>
    <cellStyle name="常规 19 4 12" xfId="10517"/>
    <cellStyle name="常规 19 4 12 2" xfId="10529"/>
    <cellStyle name="常规 19 4 12 3" xfId="10544"/>
    <cellStyle name="常规 19 4 12 4" xfId="21757"/>
    <cellStyle name="常规 19 4 12 5" xfId="11705"/>
    <cellStyle name="常规 19 4 12 6" xfId="21758"/>
    <cellStyle name="常规 19 4 12 7" xfId="3490"/>
    <cellStyle name="常规 19 4 12 8" xfId="638"/>
    <cellStyle name="常规 19 4 13" xfId="10548"/>
    <cellStyle name="常规 19 4 13 2" xfId="10557"/>
    <cellStyle name="常规 19 4 13 3" xfId="10566"/>
    <cellStyle name="常规 19 4 13 4" xfId="21759"/>
    <cellStyle name="常规 19 4 13 5" xfId="21760"/>
    <cellStyle name="常规 19 4 13 6" xfId="21761"/>
    <cellStyle name="常规 19 4 13 7" xfId="3689"/>
    <cellStyle name="常规 19 4 13 8" xfId="678"/>
    <cellStyle name="常规 19 4 14" xfId="10570"/>
    <cellStyle name="常规 19 4 14 2" xfId="21762"/>
    <cellStyle name="常规 19 4 14 3" xfId="21763"/>
    <cellStyle name="常规 19 4 14 4" xfId="21764"/>
    <cellStyle name="常规 19 4 14 5" xfId="21766"/>
    <cellStyle name="常规 19 4 14 6" xfId="21768"/>
    <cellStyle name="常规 19 4 14 7" xfId="3778"/>
    <cellStyle name="常规 19 4 14 8" xfId="3823"/>
    <cellStyle name="常规 19 4 15" xfId="21771"/>
    <cellStyle name="常规 19 4 15 2" xfId="21772"/>
    <cellStyle name="常规 19 4 15 3" xfId="21773"/>
    <cellStyle name="常规 19 4 15 4" xfId="21774"/>
    <cellStyle name="常规 19 4 15 5" xfId="21776"/>
    <cellStyle name="常规 19 4 15 6" xfId="21778"/>
    <cellStyle name="常规 19 4 15 7" xfId="13146"/>
    <cellStyle name="常规 19 4 15 8" xfId="12130"/>
    <cellStyle name="常规 19 4 16" xfId="21781"/>
    <cellStyle name="常规 19 4 16 2" xfId="6041"/>
    <cellStyle name="常规 19 4 16 3" xfId="251"/>
    <cellStyle name="常规 19 4 16 4" xfId="7931"/>
    <cellStyle name="常规 19 4 16 5" xfId="10144"/>
    <cellStyle name="常规 19 4 16 6" xfId="10156"/>
    <cellStyle name="常规 19 4 16 7" xfId="1002"/>
    <cellStyle name="常规 19 4 17" xfId="21783"/>
    <cellStyle name="常规 19 4 18" xfId="21785"/>
    <cellStyle name="常规 19 4 19" xfId="21786"/>
    <cellStyle name="常规 19 4 2" xfId="6310"/>
    <cellStyle name="常规 19 4 2 10" xfId="21787"/>
    <cellStyle name="常规 19 4 2 10 2" xfId="14684"/>
    <cellStyle name="常规 19 4 2 10 3" xfId="14686"/>
    <cellStyle name="常规 19 4 2 10 4" xfId="14688"/>
    <cellStyle name="常规 19 4 2 10 5" xfId="10796"/>
    <cellStyle name="常规 19 4 2 10 6" xfId="10799"/>
    <cellStyle name="常规 19 4 2 10 7" xfId="21788"/>
    <cellStyle name="常规 19 4 2 10 8" xfId="21791"/>
    <cellStyle name="常规 19 4 2 11" xfId="21794"/>
    <cellStyle name="常规 19 4 2 11 2" xfId="12717"/>
    <cellStyle name="常规 19 4 2 11 3" xfId="14691"/>
    <cellStyle name="常规 19 4 2 11 4" xfId="14694"/>
    <cellStyle name="常规 19 4 2 11 5" xfId="14696"/>
    <cellStyle name="常规 19 4 2 11 6" xfId="14698"/>
    <cellStyle name="常规 19 4 2 11 7" xfId="21795"/>
    <cellStyle name="常规 19 4 2 11 8" xfId="21797"/>
    <cellStyle name="常规 19 4 2 12" xfId="21799"/>
    <cellStyle name="常规 19 4 2 12 2" xfId="14702"/>
    <cellStyle name="常规 19 4 2 12 3" xfId="14704"/>
    <cellStyle name="常规 19 4 2 12 4" xfId="14707"/>
    <cellStyle name="常规 19 4 2 12 5" xfId="14710"/>
    <cellStyle name="常规 19 4 2 12 6" xfId="21800"/>
    <cellStyle name="常规 19 4 2 12 7" xfId="21801"/>
    <cellStyle name="常规 19 4 2 12 8" xfId="21802"/>
    <cellStyle name="常规 19 4 2 13" xfId="21804"/>
    <cellStyle name="常规 19 4 2 13 2" xfId="21805"/>
    <cellStyle name="常规 19 4 2 13 3" xfId="11646"/>
    <cellStyle name="常规 19 4 2 13 4" xfId="11652"/>
    <cellStyle name="常规 19 4 2 13 5" xfId="21806"/>
    <cellStyle name="常规 19 4 2 13 6" xfId="21807"/>
    <cellStyle name="常规 19 4 2 13 7" xfId="21808"/>
    <cellStyle name="常规 19 4 2 13 8" xfId="21809"/>
    <cellStyle name="常规 19 4 2 14" xfId="21810"/>
    <cellStyle name="常规 19 4 2 14 2" xfId="21811"/>
    <cellStyle name="常规 19 4 2 14 3" xfId="11654"/>
    <cellStyle name="常规 19 4 2 14 4" xfId="11656"/>
    <cellStyle name="常规 19 4 2 14 5" xfId="21812"/>
    <cellStyle name="常规 19 4 2 14 6" xfId="21814"/>
    <cellStyle name="常规 19 4 2 14 7" xfId="21815"/>
    <cellStyle name="常规 19 4 2 14 8" xfId="21816"/>
    <cellStyle name="常规 19 4 2 15" xfId="21818"/>
    <cellStyle name="常规 19 4 2 15 2" xfId="21819"/>
    <cellStyle name="常规 19 4 2 15 3" xfId="21821"/>
    <cellStyle name="常规 19 4 2 15 4" xfId="21822"/>
    <cellStyle name="常规 19 4 2 15 5" xfId="21823"/>
    <cellStyle name="常规 19 4 2 15 6" xfId="21824"/>
    <cellStyle name="常规 19 4 2 15 7" xfId="21825"/>
    <cellStyle name="常规 19 4 2 16" xfId="21827"/>
    <cellStyle name="常规 19 4 2 17" xfId="21830"/>
    <cellStyle name="常规 19 4 2 18" xfId="21833"/>
    <cellStyle name="常规 19 4 2 19" xfId="21835"/>
    <cellStyle name="常规 19 4 2 2" xfId="17673"/>
    <cellStyle name="常规 19 4 2 2 10" xfId="17675"/>
    <cellStyle name="常规 19 4 2 2 10 2" xfId="17677"/>
    <cellStyle name="常规 19 4 2 2 10 3" xfId="17679"/>
    <cellStyle name="常规 19 4 2 2 10 4" xfId="17681"/>
    <cellStyle name="常规 19 4 2 2 10 5" xfId="8994"/>
    <cellStyle name="常规 19 4 2 2 10 6" xfId="9107"/>
    <cellStyle name="常规 19 4 2 2 10 7" xfId="8754"/>
    <cellStyle name="常规 19 4 2 2 10 8" xfId="8832"/>
    <cellStyle name="常规 19 4 2 2 11" xfId="17683"/>
    <cellStyle name="常规 19 4 2 2 11 2" xfId="17685"/>
    <cellStyle name="常规 19 4 2 2 11 3" xfId="17688"/>
    <cellStyle name="常规 19 4 2 2 11 4" xfId="17692"/>
    <cellStyle name="常规 19 4 2 2 11 5" xfId="17697"/>
    <cellStyle name="常规 19 4 2 2 11 6" xfId="17702"/>
    <cellStyle name="常规 19 4 2 2 11 7" xfId="8887"/>
    <cellStyle name="常规 19 4 2 2 11 8" xfId="8893"/>
    <cellStyle name="常规 19 4 2 2 12" xfId="6116"/>
    <cellStyle name="常规 19 4 2 2 12 2" xfId="17708"/>
    <cellStyle name="常规 19 4 2 2 12 3" xfId="17710"/>
    <cellStyle name="常规 19 4 2 2 12 4" xfId="17714"/>
    <cellStyle name="常规 19 4 2 2 12 5" xfId="17718"/>
    <cellStyle name="常规 19 4 2 2 12 6" xfId="17721"/>
    <cellStyle name="常规 19 4 2 2 12 7" xfId="2491"/>
    <cellStyle name="常规 19 4 2 2 12 8" xfId="3578"/>
    <cellStyle name="常规 19 4 2 2 13" xfId="6120"/>
    <cellStyle name="常规 19 4 2 2 13 2" xfId="9070"/>
    <cellStyle name="常规 19 4 2 2 13 3" xfId="9080"/>
    <cellStyle name="常规 19 4 2 2 13 4" xfId="671"/>
    <cellStyle name="常规 19 4 2 2 13 5" xfId="683"/>
    <cellStyle name="常规 19 4 2 2 13 6" xfId="2508"/>
    <cellStyle name="常规 19 4 2 2 13 7" xfId="2529"/>
    <cellStyle name="常规 19 4 2 2 14" xfId="9086"/>
    <cellStyle name="常规 19 4 2 2 15" xfId="8322"/>
    <cellStyle name="常规 19 4 2 2 16" xfId="8327"/>
    <cellStyle name="常规 19 4 2 2 17" xfId="15565"/>
    <cellStyle name="常规 19 4 2 2 18" xfId="15569"/>
    <cellStyle name="常规 19 4 2 2 19" xfId="14569"/>
    <cellStyle name="常规 19 4 2 2 2" xfId="17725"/>
    <cellStyle name="常规 19 4 2 2 2 10" xfId="6354"/>
    <cellStyle name="常规 19 4 2 2 2 10 2" xfId="17727"/>
    <cellStyle name="常规 19 4 2 2 2 10 3" xfId="17730"/>
    <cellStyle name="常规 19 4 2 2 2 10 4" xfId="17733"/>
    <cellStyle name="常规 19 4 2 2 2 10 5" xfId="17738"/>
    <cellStyle name="常规 19 4 2 2 2 10 6" xfId="5628"/>
    <cellStyle name="常规 19 4 2 2 2 10 7" xfId="10288"/>
    <cellStyle name="常规 19 4 2 2 2 10 8" xfId="17743"/>
    <cellStyle name="常规 19 4 2 2 2 11" xfId="16088"/>
    <cellStyle name="常规 19 4 2 2 2 11 2" xfId="17745"/>
    <cellStyle name="常规 19 4 2 2 2 11 3" xfId="17748"/>
    <cellStyle name="常规 19 4 2 2 2 11 4" xfId="17751"/>
    <cellStyle name="常规 19 4 2 2 2 11 5" xfId="17754"/>
    <cellStyle name="常规 19 4 2 2 2 11 6" xfId="12505"/>
    <cellStyle name="常规 19 4 2 2 2 11 7" xfId="5849"/>
    <cellStyle name="常规 19 4 2 2 2 11 8" xfId="1091"/>
    <cellStyle name="常规 19 4 2 2 2 12" xfId="16091"/>
    <cellStyle name="常规 19 4 2 2 2 12 2" xfId="17757"/>
    <cellStyle name="常规 19 4 2 2 2 12 3" xfId="17760"/>
    <cellStyle name="常规 19 4 2 2 2 12 4" xfId="17763"/>
    <cellStyle name="常规 19 4 2 2 2 12 5" xfId="17766"/>
    <cellStyle name="常规 19 4 2 2 2 12 6" xfId="17769"/>
    <cellStyle name="常规 19 4 2 2 2 12 7" xfId="17772"/>
    <cellStyle name="常规 19 4 2 2 2 13" xfId="17776"/>
    <cellStyle name="常规 19 4 2 2 2 14" xfId="17779"/>
    <cellStyle name="常规 19 4 2 2 2 15" xfId="14956"/>
    <cellStyle name="常规 19 4 2 2 2 16" xfId="2155"/>
    <cellStyle name="常规 19 4 2 2 2 17" xfId="2168"/>
    <cellStyle name="常规 19 4 2 2 2 18" xfId="14988"/>
    <cellStyle name="常规 19 4 2 2 2 19" xfId="15006"/>
    <cellStyle name="常规 19 4 2 2 2 2" xfId="14445"/>
    <cellStyle name="常规 19 4 2 2 2 2 10" xfId="17782"/>
    <cellStyle name="常规 19 4 2 2 2 2 10 2" xfId="17784"/>
    <cellStyle name="常规 19 4 2 2 2 2 10 3" xfId="17786"/>
    <cellStyle name="常规 19 4 2 2 2 2 10 4" xfId="16180"/>
    <cellStyle name="常规 19 4 2 2 2 2 10 5" xfId="16183"/>
    <cellStyle name="常规 19 4 2 2 2 2 10 6" xfId="16186"/>
    <cellStyle name="常规 19 4 2 2 2 2 10 7" xfId="16189"/>
    <cellStyle name="常规 19 4 2 2 2 2 11" xfId="17789"/>
    <cellStyle name="常规 19 4 2 2 2 2 12" xfId="17793"/>
    <cellStyle name="常规 19 4 2 2 2 2 13" xfId="17798"/>
    <cellStyle name="常规 19 4 2 2 2 2 14" xfId="17804"/>
    <cellStyle name="常规 19 4 2 2 2 2 15" xfId="17809"/>
    <cellStyle name="常规 19 4 2 2 2 2 16" xfId="17813"/>
    <cellStyle name="常规 19 4 2 2 2 2 17" xfId="17819"/>
    <cellStyle name="常规 19 4 2 2 2 2 2" xfId="17822"/>
    <cellStyle name="常规 19 4 2 2 2 2 2 2" xfId="12921"/>
    <cellStyle name="常规 19 4 2 2 2 2 2 3" xfId="17826"/>
    <cellStyle name="常规 19 4 2 2 2 2 2 4" xfId="17828"/>
    <cellStyle name="常规 19 4 2 2 2 2 2 5" xfId="9273"/>
    <cellStyle name="常规 19 4 2 2 2 2 2 6" xfId="9377"/>
    <cellStyle name="常规 19 4 2 2 2 2 2 7" xfId="9439"/>
    <cellStyle name="常规 19 4 2 2 2 2 2 8" xfId="5190"/>
    <cellStyle name="常规 19 4 2 2 2 2 3" xfId="17831"/>
    <cellStyle name="常规 19 4 2 2 2 2 3 2" xfId="12936"/>
    <cellStyle name="常规 19 4 2 2 2 2 3 3" xfId="17834"/>
    <cellStyle name="常规 19 4 2 2 2 2 3 4" xfId="17836"/>
    <cellStyle name="常规 19 4 2 2 2 2 3 5" xfId="17838"/>
    <cellStyle name="常规 19 4 2 2 2 2 3 6" xfId="17841"/>
    <cellStyle name="常规 19 4 2 2 2 2 3 7" xfId="17844"/>
    <cellStyle name="常规 19 4 2 2 2 2 3 8" xfId="17846"/>
    <cellStyle name="常规 19 4 2 2 2 2 4" xfId="7564"/>
    <cellStyle name="常规 19 4 2 2 2 2 4 2" xfId="7574"/>
    <cellStyle name="常规 19 4 2 2 2 2 4 3" xfId="7592"/>
    <cellStyle name="常规 19 4 2 2 2 2 4 4" xfId="737"/>
    <cellStyle name="常规 19 4 2 2 2 2 4 5" xfId="779"/>
    <cellStyle name="常规 19 4 2 2 2 2 4 6" xfId="2570"/>
    <cellStyle name="常规 19 4 2 2 2 2 4 7" xfId="1178"/>
    <cellStyle name="常规 19 4 2 2 2 2 4 8" xfId="17848"/>
    <cellStyle name="常规 19 4 2 2 2 2 5" xfId="7600"/>
    <cellStyle name="常规 19 4 2 2 2 2 5 2" xfId="7607"/>
    <cellStyle name="常规 19 4 2 2 2 2 5 3" xfId="7614"/>
    <cellStyle name="常规 19 4 2 2 2 2 5 4" xfId="815"/>
    <cellStyle name="常规 19 4 2 2 2 2 5 5" xfId="836"/>
    <cellStyle name="常规 19 4 2 2 2 2 5 6" xfId="2596"/>
    <cellStyle name="常规 19 4 2 2 2 2 5 7" xfId="2607"/>
    <cellStyle name="常规 19 4 2 2 2 2 5 8" xfId="17850"/>
    <cellStyle name="常规 19 4 2 2 2 2 6" xfId="3869"/>
    <cellStyle name="常规 19 4 2 2 2 2 6 2" xfId="10078"/>
    <cellStyle name="常规 19 4 2 2 2 2 6 3" xfId="10104"/>
    <cellStyle name="常规 19 4 2 2 2 2 6 4" xfId="10717"/>
    <cellStyle name="常规 19 4 2 2 2 2 6 5" xfId="17852"/>
    <cellStyle name="常规 19 4 2 2 2 2 6 6" xfId="17855"/>
    <cellStyle name="常规 19 4 2 2 2 2 6 7" xfId="17858"/>
    <cellStyle name="常规 19 4 2 2 2 2 6 8" xfId="17860"/>
    <cellStyle name="常规 19 4 2 2 2 2 7" xfId="10722"/>
    <cellStyle name="常规 19 4 2 2 2 2 7 2" xfId="10727"/>
    <cellStyle name="常规 19 4 2 2 2 2 7 3" xfId="10740"/>
    <cellStyle name="常规 19 4 2 2 2 2 7 4" xfId="9915"/>
    <cellStyle name="常规 19 4 2 2 2 2 7 5" xfId="9920"/>
    <cellStyle name="常规 19 4 2 2 2 2 7 6" xfId="10854"/>
    <cellStyle name="常规 19 4 2 2 2 2 7 7" xfId="17862"/>
    <cellStyle name="常规 19 4 2 2 2 2 7 8" xfId="13419"/>
    <cellStyle name="常规 19 4 2 2 2 2 8" xfId="10750"/>
    <cellStyle name="常规 19 4 2 2 2 2 8 2" xfId="10755"/>
    <cellStyle name="常规 19 4 2 2 2 2 8 3" xfId="10763"/>
    <cellStyle name="常规 19 4 2 2 2 2 8 4" xfId="17864"/>
    <cellStyle name="常规 19 4 2 2 2 2 8 5" xfId="17866"/>
    <cellStyle name="常规 19 4 2 2 2 2 8 6" xfId="17868"/>
    <cellStyle name="常规 19 4 2 2 2 2 8 7" xfId="17870"/>
    <cellStyle name="常规 19 4 2 2 2 2 8 8" xfId="17872"/>
    <cellStyle name="常规 19 4 2 2 2 2 9" xfId="10768"/>
    <cellStyle name="常规 19 4 2 2 2 2 9 2" xfId="10772"/>
    <cellStyle name="常规 19 4 2 2 2 2 9 3" xfId="10775"/>
    <cellStyle name="常规 19 4 2 2 2 2 9 4" xfId="17874"/>
    <cellStyle name="常规 19 4 2 2 2 2 9 5" xfId="17876"/>
    <cellStyle name="常规 19 4 2 2 2 2 9 6" xfId="17878"/>
    <cellStyle name="常规 19 4 2 2 2 2 9 7" xfId="17880"/>
    <cellStyle name="常规 19 4 2 2 2 2 9 8" xfId="17882"/>
    <cellStyle name="常规 19 4 2 2 2 3" xfId="17884"/>
    <cellStyle name="常规 19 4 2 2 2 3 2" xfId="17888"/>
    <cellStyle name="常规 19 4 2 2 2 3 3" xfId="11147"/>
    <cellStyle name="常规 19 4 2 2 2 3 4" xfId="4761"/>
    <cellStyle name="常规 19 4 2 2 2 3 5" xfId="4768"/>
    <cellStyle name="常规 19 4 2 2 2 3 6" xfId="5501"/>
    <cellStyle name="常规 19 4 2 2 2 3 7" xfId="5508"/>
    <cellStyle name="常规 19 4 2 2 2 3 8" xfId="10861"/>
    <cellStyle name="常规 19 4 2 2 2 4" xfId="17890"/>
    <cellStyle name="常规 19 4 2 2 2 4 2" xfId="3894"/>
    <cellStyle name="常规 19 4 2 2 2 4 3" xfId="11162"/>
    <cellStyle name="常规 19 4 2 2 2 4 4" xfId="10878"/>
    <cellStyle name="常规 19 4 2 2 2 4 5" xfId="10885"/>
    <cellStyle name="常规 19 4 2 2 2 4 6" xfId="10893"/>
    <cellStyle name="常规 19 4 2 2 2 4 7" xfId="15574"/>
    <cellStyle name="常规 19 4 2 2 2 4 8" xfId="15578"/>
    <cellStyle name="常规 19 4 2 2 2 5" xfId="17894"/>
    <cellStyle name="常规 19 4 2 2 2 5 2" xfId="12136"/>
    <cellStyle name="常规 19 4 2 2 2 5 3" xfId="14946"/>
    <cellStyle name="常规 19 4 2 2 2 5 4" xfId="10898"/>
    <cellStyle name="常规 19 4 2 2 2 5 5" xfId="10908"/>
    <cellStyle name="常规 19 4 2 2 2 5 6" xfId="10920"/>
    <cellStyle name="常规 19 4 2 2 2 5 7" xfId="14950"/>
    <cellStyle name="常规 19 4 2 2 2 5 8" xfId="15582"/>
    <cellStyle name="常规 19 4 2 2 2 6" xfId="17899"/>
    <cellStyle name="常规 19 4 2 2 2 6 2" xfId="17907"/>
    <cellStyle name="常规 19 4 2 2 2 6 3" xfId="17911"/>
    <cellStyle name="常规 19 4 2 2 2 6 4" xfId="1951"/>
    <cellStyle name="常规 19 4 2 2 2 6 5" xfId="9318"/>
    <cellStyle name="常规 19 4 2 2 2 6 6" xfId="10945"/>
    <cellStyle name="常规 19 4 2 2 2 6 7" xfId="15594"/>
    <cellStyle name="常规 19 4 2 2 2 6 8" xfId="15602"/>
    <cellStyle name="常规 19 4 2 2 2 7" xfId="17913"/>
    <cellStyle name="常规 19 4 2 2 2 7 2" xfId="17916"/>
    <cellStyle name="常规 19 4 2 2 2 7 3" xfId="17919"/>
    <cellStyle name="常规 19 4 2 2 2 7 4" xfId="10955"/>
    <cellStyle name="常规 19 4 2 2 2 7 5" xfId="10965"/>
    <cellStyle name="常规 19 4 2 2 2 7 6" xfId="15622"/>
    <cellStyle name="常规 19 4 2 2 2 7 7" xfId="11514"/>
    <cellStyle name="常规 19 4 2 2 2 7 8" xfId="6281"/>
    <cellStyle name="常规 19 4 2 2 2 8" xfId="17922"/>
    <cellStyle name="常规 19 4 2 2 2 8 2" xfId="17925"/>
    <cellStyle name="常规 19 4 2 2 2 8 3" xfId="17927"/>
    <cellStyle name="常规 19 4 2 2 2 8 4" xfId="2049"/>
    <cellStyle name="常规 19 4 2 2 2 8 5" xfId="2056"/>
    <cellStyle name="常规 19 4 2 2 2 8 6" xfId="6291"/>
    <cellStyle name="常规 19 4 2 2 2 8 7" xfId="6899"/>
    <cellStyle name="常规 19 4 2 2 2 8 8" xfId="6921"/>
    <cellStyle name="常规 19 4 2 2 2 9" xfId="17929"/>
    <cellStyle name="常规 19 4 2 2 2 9 2" xfId="17933"/>
    <cellStyle name="常规 19 4 2 2 2 9 3" xfId="17936"/>
    <cellStyle name="常规 19 4 2 2 2 9 4" xfId="17938"/>
    <cellStyle name="常规 19 4 2 2 2 9 5" xfId="17941"/>
    <cellStyle name="常规 19 4 2 2 2 9 6" xfId="17944"/>
    <cellStyle name="常规 19 4 2 2 2 9 7" xfId="17947"/>
    <cellStyle name="常规 19 4 2 2 2 9 8" xfId="6906"/>
    <cellStyle name="常规 19 4 2 2 20" xfId="8323"/>
    <cellStyle name="常规 19 4 2 2 3" xfId="17950"/>
    <cellStyle name="常规 19 4 2 2 3 10" xfId="17952"/>
    <cellStyle name="常规 19 4 2 2 3 10 2" xfId="17954"/>
    <cellStyle name="常规 19 4 2 2 3 10 3" xfId="17956"/>
    <cellStyle name="常规 19 4 2 2 3 10 4" xfId="17958"/>
    <cellStyle name="常规 19 4 2 2 3 10 5" xfId="17960"/>
    <cellStyle name="常规 19 4 2 2 3 10 6" xfId="17963"/>
    <cellStyle name="常规 19 4 2 2 3 10 7" xfId="17966"/>
    <cellStyle name="常规 19 4 2 2 3 11" xfId="17970"/>
    <cellStyle name="常规 19 4 2 2 3 12" xfId="17972"/>
    <cellStyle name="常规 19 4 2 2 3 13" xfId="17974"/>
    <cellStyle name="常规 19 4 2 2 3 14" xfId="17977"/>
    <cellStyle name="常规 19 4 2 2 3 15" xfId="15079"/>
    <cellStyle name="常规 19 4 2 2 3 16" xfId="7035"/>
    <cellStyle name="常规 19 4 2 2 3 17" xfId="7180"/>
    <cellStyle name="常规 19 4 2 2 3 2" xfId="10154"/>
    <cellStyle name="常规 19 4 2 2 3 2 2" xfId="17980"/>
    <cellStyle name="常规 19 4 2 2 3 2 3" xfId="17984"/>
    <cellStyle name="常规 19 4 2 2 3 2 4" xfId="10972"/>
    <cellStyle name="常规 19 4 2 2 3 2 5" xfId="7757"/>
    <cellStyle name="常规 19 4 2 2 3 2 6" xfId="7779"/>
    <cellStyle name="常规 19 4 2 2 3 2 7" xfId="11021"/>
    <cellStyle name="常规 19 4 2 2 3 2 8" xfId="11037"/>
    <cellStyle name="常规 19 4 2 2 3 3" xfId="998"/>
    <cellStyle name="常规 19 4 2 2 3 3 2" xfId="3102"/>
    <cellStyle name="常规 19 4 2 2 3 3 3" xfId="3118"/>
    <cellStyle name="常规 19 4 2 2 3 3 4" xfId="11044"/>
    <cellStyle name="常规 19 4 2 2 3 3 5" xfId="7801"/>
    <cellStyle name="常规 19 4 2 2 3 3 6" xfId="9205"/>
    <cellStyle name="常规 19 4 2 2 3 3 7" xfId="11104"/>
    <cellStyle name="常规 19 4 2 2 3 3 8" xfId="11112"/>
    <cellStyle name="常规 19 4 2 2 3 4" xfId="3127"/>
    <cellStyle name="常规 19 4 2 2 3 4 2" xfId="17988"/>
    <cellStyle name="常规 19 4 2 2 3 4 3" xfId="11177"/>
    <cellStyle name="常规 19 4 2 2 3 4 4" xfId="11117"/>
    <cellStyle name="常规 19 4 2 2 3 4 5" xfId="11141"/>
    <cellStyle name="常规 19 4 2 2 3 4 6" xfId="11168"/>
    <cellStyle name="常规 19 4 2 2 3 4 7" xfId="11183"/>
    <cellStyle name="常规 19 4 2 2 3 4 8" xfId="11190"/>
    <cellStyle name="常规 19 4 2 2 3 5" xfId="4217"/>
    <cellStyle name="常规 19 4 2 2 3 5 2" xfId="4222"/>
    <cellStyle name="常规 19 4 2 2 3 5 3" xfId="4238"/>
    <cellStyle name="常规 19 4 2 2 3 5 4" xfId="11202"/>
    <cellStyle name="常规 19 4 2 2 3 5 5" xfId="11215"/>
    <cellStyle name="常规 19 4 2 2 3 5 6" xfId="11223"/>
    <cellStyle name="常规 19 4 2 2 3 5 7" xfId="11234"/>
    <cellStyle name="常规 19 4 2 2 3 5 8" xfId="17991"/>
    <cellStyle name="常规 19 4 2 2 3 6" xfId="4243"/>
    <cellStyle name="常规 19 4 2 2 3 6 2" xfId="17993"/>
    <cellStyle name="常规 19 4 2 2 3 6 3" xfId="17995"/>
    <cellStyle name="常规 19 4 2 2 3 6 4" xfId="11237"/>
    <cellStyle name="常规 19 4 2 2 3 6 5" xfId="11242"/>
    <cellStyle name="常规 19 4 2 2 3 6 6" xfId="11249"/>
    <cellStyle name="常规 19 4 2 2 3 6 7" xfId="17997"/>
    <cellStyle name="常规 19 4 2 2 3 6 8" xfId="18000"/>
    <cellStyle name="常规 19 4 2 2 3 7" xfId="5060"/>
    <cellStyle name="常规 19 4 2 2 3 7 2" xfId="5073"/>
    <cellStyle name="常规 19 4 2 2 3 7 3" xfId="3024"/>
    <cellStyle name="常规 19 4 2 2 3 7 4" xfId="11253"/>
    <cellStyle name="常规 19 4 2 2 3 7 5" xfId="11263"/>
    <cellStyle name="常规 19 4 2 2 3 7 6" xfId="11272"/>
    <cellStyle name="常规 19 4 2 2 3 7 7" xfId="11522"/>
    <cellStyle name="常规 19 4 2 2 3 7 8" xfId="11525"/>
    <cellStyle name="常规 19 4 2 2 3 8" xfId="5083"/>
    <cellStyle name="常规 19 4 2 2 3 8 2" xfId="17333"/>
    <cellStyle name="常规 19 4 2 2 3 8 3" xfId="17336"/>
    <cellStyle name="常规 19 4 2 2 3 8 4" xfId="11276"/>
    <cellStyle name="常规 19 4 2 2 3 8 5" xfId="4146"/>
    <cellStyle name="常规 19 4 2 2 3 8 6" xfId="17339"/>
    <cellStyle name="常规 19 4 2 2 3 8 7" xfId="18002"/>
    <cellStyle name="常规 19 4 2 2 3 8 8" xfId="18004"/>
    <cellStyle name="常规 19 4 2 2 3 9" xfId="18006"/>
    <cellStyle name="常规 19 4 2 2 3 9 2" xfId="17344"/>
    <cellStyle name="常规 19 4 2 2 3 9 3" xfId="17347"/>
    <cellStyle name="常规 19 4 2 2 3 9 4" xfId="11288"/>
    <cellStyle name="常规 19 4 2 2 3 9 5" xfId="17350"/>
    <cellStyle name="常规 19 4 2 2 3 9 6" xfId="17354"/>
    <cellStyle name="常规 19 4 2 2 3 9 7" xfId="18008"/>
    <cellStyle name="常规 19 4 2 2 3 9 8" xfId="18011"/>
    <cellStyle name="常规 19 4 2 2 4" xfId="18014"/>
    <cellStyle name="常规 19 4 2 2 4 2" xfId="18016"/>
    <cellStyle name="常规 19 4 2 2 4 3" xfId="239"/>
    <cellStyle name="常规 19 4 2 2 4 4" xfId="3148"/>
    <cellStyle name="常规 19 4 2 2 4 5" xfId="3980"/>
    <cellStyle name="常规 19 4 2 2 4 6" xfId="4257"/>
    <cellStyle name="常规 19 4 2 2 4 7" xfId="5103"/>
    <cellStyle name="常规 19 4 2 2 4 8" xfId="463"/>
    <cellStyle name="常规 19 4 2 2 5" xfId="18019"/>
    <cellStyle name="常规 19 4 2 2 5 2" xfId="18021"/>
    <cellStyle name="常规 19 4 2 2 5 3" xfId="18023"/>
    <cellStyle name="常规 19 4 2 2 5 4" xfId="18025"/>
    <cellStyle name="常规 19 4 2 2 5 5" xfId="18027"/>
    <cellStyle name="常规 19 4 2 2 5 6" xfId="18029"/>
    <cellStyle name="常规 19 4 2 2 5 7" xfId="18031"/>
    <cellStyle name="常规 19 4 2 2 5 8" xfId="18033"/>
    <cellStyle name="常规 19 4 2 2 6" xfId="18035"/>
    <cellStyle name="常规 19 4 2 2 6 2" xfId="18037"/>
    <cellStyle name="常规 19 4 2 2 6 3" xfId="18039"/>
    <cellStyle name="常规 19 4 2 2 6 4" xfId="18041"/>
    <cellStyle name="常规 19 4 2 2 6 5" xfId="18043"/>
    <cellStyle name="常规 19 4 2 2 6 6" xfId="18045"/>
    <cellStyle name="常规 19 4 2 2 6 7" xfId="18047"/>
    <cellStyle name="常规 19 4 2 2 6 8" xfId="18049"/>
    <cellStyle name="常规 19 4 2 2 7" xfId="18051"/>
    <cellStyle name="常规 19 4 2 2 7 2" xfId="18053"/>
    <cellStyle name="常规 19 4 2 2 7 3" xfId="18055"/>
    <cellStyle name="常规 19 4 2 2 7 4" xfId="18057"/>
    <cellStyle name="常规 19 4 2 2 7 5" xfId="18059"/>
    <cellStyle name="常规 19 4 2 2 7 6" xfId="18061"/>
    <cellStyle name="常规 19 4 2 2 7 7" xfId="18063"/>
    <cellStyle name="常规 19 4 2 2 7 8" xfId="18065"/>
    <cellStyle name="常规 19 4 2 2 8" xfId="9997"/>
    <cellStyle name="常规 19 4 2 2 8 2" xfId="18067"/>
    <cellStyle name="常规 19 4 2 2 8 3" xfId="18069"/>
    <cellStyle name="常规 19 4 2 2 8 4" xfId="18071"/>
    <cellStyle name="常规 19 4 2 2 8 5" xfId="18073"/>
    <cellStyle name="常规 19 4 2 2 8 6" xfId="18075"/>
    <cellStyle name="常规 19 4 2 2 8 7" xfId="2212"/>
    <cellStyle name="常规 19 4 2 2 8 8" xfId="2223"/>
    <cellStyle name="常规 19 4 2 2 9" xfId="10004"/>
    <cellStyle name="常规 19 4 2 2 9 2" xfId="17791"/>
    <cellStyle name="常规 19 4 2 2 9 3" xfId="17796"/>
    <cellStyle name="常规 19 4 2 2 9 4" xfId="17802"/>
    <cellStyle name="常规 19 4 2 2 9 5" xfId="17807"/>
    <cellStyle name="常规 19 4 2 2 9 6" xfId="17811"/>
    <cellStyle name="常规 19 4 2 2 9 7" xfId="17816"/>
    <cellStyle name="常规 19 4 2 2 9 8" xfId="18077"/>
    <cellStyle name="常规 19 4 2 20" xfId="21817"/>
    <cellStyle name="常规 19 4 2 21" xfId="21826"/>
    <cellStyle name="常规 19 4 2 22" xfId="21829"/>
    <cellStyle name="常规 19 4 2 3" xfId="18080"/>
    <cellStyle name="常规 19 4 2 3 10" xfId="17903"/>
    <cellStyle name="常规 19 4 2 3 10 2" xfId="13343"/>
    <cellStyle name="常规 19 4 2 3 10 3" xfId="13346"/>
    <cellStyle name="常规 19 4 2 3 10 4" xfId="18083"/>
    <cellStyle name="常规 19 4 2 3 10 5" xfId="10482"/>
    <cellStyle name="常规 19 4 2 3 10 6" xfId="10488"/>
    <cellStyle name="常规 19 4 2 3 10 7" xfId="18085"/>
    <cellStyle name="常规 19 4 2 3 10 8" xfId="18089"/>
    <cellStyle name="常规 19 4 2 3 11" xfId="17909"/>
    <cellStyle name="常规 19 4 2 3 11 2" xfId="13352"/>
    <cellStyle name="常规 19 4 2 3 11 3" xfId="13356"/>
    <cellStyle name="常规 19 4 2 3 11 4" xfId="18094"/>
    <cellStyle name="常规 19 4 2 3 11 5" xfId="18097"/>
    <cellStyle name="常规 19 4 2 3 11 6" xfId="18100"/>
    <cellStyle name="常规 19 4 2 3 11 7" xfId="18104"/>
    <cellStyle name="常规 19 4 2 3 11 8" xfId="18110"/>
    <cellStyle name="常规 19 4 2 3 12" xfId="1948"/>
    <cellStyle name="常规 19 4 2 3 12 2" xfId="10927"/>
    <cellStyle name="常规 19 4 2 3 12 3" xfId="10935"/>
    <cellStyle name="常规 19 4 2 3 12 4" xfId="18116"/>
    <cellStyle name="常规 19 4 2 3 12 5" xfId="18118"/>
    <cellStyle name="常规 19 4 2 3 12 6" xfId="18120"/>
    <cellStyle name="常规 19 4 2 3 12 7" xfId="18123"/>
    <cellStyle name="常规 19 4 2 3 13" xfId="9322"/>
    <cellStyle name="常规 19 4 2 3 14" xfId="10950"/>
    <cellStyle name="常规 19 4 2 3 15" xfId="15599"/>
    <cellStyle name="常规 19 4 2 3 16" xfId="15607"/>
    <cellStyle name="常规 19 4 2 3 17" xfId="15613"/>
    <cellStyle name="常规 19 4 2 3 18" xfId="15619"/>
    <cellStyle name="常规 19 4 2 3 19" xfId="18129"/>
    <cellStyle name="常规 19 4 2 3 2" xfId="18133"/>
    <cellStyle name="常规 19 4 2 3 2 10" xfId="1081"/>
    <cellStyle name="常规 19 4 2 3 2 10 2" xfId="133"/>
    <cellStyle name="常规 19 4 2 3 2 10 3" xfId="15999"/>
    <cellStyle name="常规 19 4 2 3 2 10 4" xfId="18136"/>
    <cellStyle name="常规 19 4 2 3 2 10 5" xfId="18138"/>
    <cellStyle name="常规 19 4 2 3 2 10 6" xfId="18140"/>
    <cellStyle name="常规 19 4 2 3 2 10 7" xfId="18142"/>
    <cellStyle name="常规 19 4 2 3 2 11" xfId="2882"/>
    <cellStyle name="常规 19 4 2 3 2 12" xfId="13406"/>
    <cellStyle name="常规 19 4 2 3 2 13" xfId="13409"/>
    <cellStyle name="常规 19 4 2 3 2 14" xfId="13412"/>
    <cellStyle name="常规 19 4 2 3 2 15" xfId="18144"/>
    <cellStyle name="常规 19 4 2 3 2 16" xfId="18147"/>
    <cellStyle name="常规 19 4 2 3 2 17" xfId="18151"/>
    <cellStyle name="常规 19 4 2 3 2 2" xfId="13530"/>
    <cellStyle name="常规 19 4 2 3 2 2 2" xfId="13535"/>
    <cellStyle name="常规 19 4 2 3 2 2 3" xfId="13540"/>
    <cellStyle name="常规 19 4 2 3 2 2 4" xfId="13544"/>
    <cellStyle name="常规 19 4 2 3 2 2 5" xfId="13548"/>
    <cellStyle name="常规 19 4 2 3 2 2 6" xfId="13552"/>
    <cellStyle name="常规 19 4 2 3 2 2 7" xfId="13557"/>
    <cellStyle name="常规 19 4 2 3 2 2 8" xfId="13560"/>
    <cellStyle name="常规 19 4 2 3 2 3" xfId="4037"/>
    <cellStyle name="常规 19 4 2 3 2 3 2" xfId="4044"/>
    <cellStyle name="常规 19 4 2 3 2 3 3" xfId="4047"/>
    <cellStyle name="常规 19 4 2 3 2 3 4" xfId="4907"/>
    <cellStyle name="常规 19 4 2 3 2 3 5" xfId="4324"/>
    <cellStyle name="常规 19 4 2 3 2 3 6" xfId="4336"/>
    <cellStyle name="常规 19 4 2 3 2 3 7" xfId="5604"/>
    <cellStyle name="常规 19 4 2 3 2 3 8" xfId="13564"/>
    <cellStyle name="常规 19 4 2 3 2 4" xfId="1861"/>
    <cellStyle name="常规 19 4 2 3 2 4 2" xfId="13570"/>
    <cellStyle name="常规 19 4 2 3 2 4 3" xfId="13575"/>
    <cellStyle name="常规 19 4 2 3 2 4 4" xfId="13580"/>
    <cellStyle name="常规 19 4 2 3 2 4 5" xfId="13585"/>
    <cellStyle name="常规 19 4 2 3 2 4 6" xfId="13590"/>
    <cellStyle name="常规 19 4 2 3 2 4 7" xfId="13595"/>
    <cellStyle name="常规 19 4 2 3 2 4 8" xfId="13601"/>
    <cellStyle name="常规 19 4 2 3 2 5" xfId="13607"/>
    <cellStyle name="常规 19 4 2 3 2 5 2" xfId="13614"/>
    <cellStyle name="常规 19 4 2 3 2 5 3" xfId="13620"/>
    <cellStyle name="常规 19 4 2 3 2 5 4" xfId="13625"/>
    <cellStyle name="常规 19 4 2 3 2 5 5" xfId="13630"/>
    <cellStyle name="常规 19 4 2 3 2 5 6" xfId="13635"/>
    <cellStyle name="常规 19 4 2 3 2 5 7" xfId="13639"/>
    <cellStyle name="常规 19 4 2 3 2 5 8" xfId="13643"/>
    <cellStyle name="常规 19 4 2 3 2 6" xfId="13649"/>
    <cellStyle name="常规 19 4 2 3 2 6 2" xfId="13656"/>
    <cellStyle name="常规 19 4 2 3 2 6 3" xfId="13661"/>
    <cellStyle name="常规 19 4 2 3 2 6 4" xfId="9348"/>
    <cellStyle name="常规 19 4 2 3 2 6 5" xfId="9356"/>
    <cellStyle name="常规 19 4 2 3 2 6 6" xfId="13666"/>
    <cellStyle name="常规 19 4 2 3 2 6 7" xfId="13670"/>
    <cellStyle name="常规 19 4 2 3 2 6 8" xfId="11280"/>
    <cellStyle name="常规 19 4 2 3 2 7" xfId="13676"/>
    <cellStyle name="常规 19 4 2 3 2 7 2" xfId="13683"/>
    <cellStyle name="常规 19 4 2 3 2 7 3" xfId="13688"/>
    <cellStyle name="常规 19 4 2 3 2 7 4" xfId="13693"/>
    <cellStyle name="常规 19 4 2 3 2 7 5" xfId="13698"/>
    <cellStyle name="常规 19 4 2 3 2 7 6" xfId="13703"/>
    <cellStyle name="常规 19 4 2 3 2 7 7" xfId="11534"/>
    <cellStyle name="常规 19 4 2 3 2 7 8" xfId="11539"/>
    <cellStyle name="常规 19 4 2 3 2 8" xfId="13710"/>
    <cellStyle name="常规 19 4 2 3 2 8 2" xfId="13717"/>
    <cellStyle name="常规 19 4 2 3 2 8 3" xfId="5315"/>
    <cellStyle name="常规 19 4 2 3 2 8 4" xfId="5351"/>
    <cellStyle name="常规 19 4 2 3 2 8 5" xfId="5366"/>
    <cellStyle name="常规 19 4 2 3 2 8 6" xfId="6396"/>
    <cellStyle name="常规 19 4 2 3 2 8 7" xfId="7014"/>
    <cellStyle name="常规 19 4 2 3 2 8 8" xfId="7029"/>
    <cellStyle name="常规 19 4 2 3 2 9" xfId="14033"/>
    <cellStyle name="常规 19 4 2 3 2 9 2" xfId="18155"/>
    <cellStyle name="常规 19 4 2 3 2 9 3" xfId="18160"/>
    <cellStyle name="常规 19 4 2 3 2 9 4" xfId="18165"/>
    <cellStyle name="常规 19 4 2 3 2 9 5" xfId="18170"/>
    <cellStyle name="常规 19 4 2 3 2 9 6" xfId="18174"/>
    <cellStyle name="常规 19 4 2 3 2 9 7" xfId="18178"/>
    <cellStyle name="常规 19 4 2 3 2 9 8" xfId="18181"/>
    <cellStyle name="常规 19 4 2 3 3" xfId="18185"/>
    <cellStyle name="常规 19 4 2 3 3 2" xfId="13751"/>
    <cellStyle name="常规 19 4 2 3 3 3" xfId="512"/>
    <cellStyle name="常规 19 4 2 3 3 4" xfId="3164"/>
    <cellStyle name="常规 19 4 2 3 3 5" xfId="4276"/>
    <cellStyle name="常规 19 4 2 3 3 6" xfId="4064"/>
    <cellStyle name="常规 19 4 2 3 3 7" xfId="4077"/>
    <cellStyle name="常规 19 4 2 3 3 8" xfId="2943"/>
    <cellStyle name="常规 19 4 2 3 4" xfId="8068"/>
    <cellStyle name="常规 19 4 2 3 4 2" xfId="13821"/>
    <cellStyle name="常规 19 4 2 3 4 3" xfId="13825"/>
    <cellStyle name="常规 19 4 2 3 4 4" xfId="13829"/>
    <cellStyle name="常规 19 4 2 3 4 5" xfId="13835"/>
    <cellStyle name="常规 19 4 2 3 4 6" xfId="13842"/>
    <cellStyle name="常规 19 4 2 3 4 7" xfId="8586"/>
    <cellStyle name="常规 19 4 2 3 4 8" xfId="8606"/>
    <cellStyle name="常规 19 4 2 3 5" xfId="8073"/>
    <cellStyle name="常规 19 4 2 3 5 2" xfId="13846"/>
    <cellStyle name="常规 19 4 2 3 5 3" xfId="13851"/>
    <cellStyle name="常规 19 4 2 3 5 4" xfId="13856"/>
    <cellStyle name="常规 19 4 2 3 5 5" xfId="13863"/>
    <cellStyle name="常规 19 4 2 3 5 6" xfId="13870"/>
    <cellStyle name="常规 19 4 2 3 5 7" xfId="10394"/>
    <cellStyle name="常规 19 4 2 3 5 8" xfId="10401"/>
    <cellStyle name="常规 19 4 2 3 6" xfId="18188"/>
    <cellStyle name="常规 19 4 2 3 6 2" xfId="13876"/>
    <cellStyle name="常规 19 4 2 3 6 3" xfId="13882"/>
    <cellStyle name="常规 19 4 2 3 6 4" xfId="13888"/>
    <cellStyle name="常规 19 4 2 3 6 5" xfId="6938"/>
    <cellStyle name="常规 19 4 2 3 6 6" xfId="6948"/>
    <cellStyle name="常规 19 4 2 3 6 7" xfId="10410"/>
    <cellStyle name="常规 19 4 2 3 6 8" xfId="10417"/>
    <cellStyle name="常规 19 4 2 3 7" xfId="18191"/>
    <cellStyle name="常规 19 4 2 3 7 2" xfId="13894"/>
    <cellStyle name="常规 19 4 2 3 7 3" xfId="13900"/>
    <cellStyle name="常规 19 4 2 3 7 4" xfId="13906"/>
    <cellStyle name="常规 19 4 2 3 7 5" xfId="13912"/>
    <cellStyle name="常规 19 4 2 3 7 6" xfId="13919"/>
    <cellStyle name="常规 19 4 2 3 7 7" xfId="13386"/>
    <cellStyle name="常规 19 4 2 3 7 8" xfId="13399"/>
    <cellStyle name="常规 19 4 2 3 8" xfId="18194"/>
    <cellStyle name="常规 19 4 2 3 8 2" xfId="13925"/>
    <cellStyle name="常规 19 4 2 3 8 3" xfId="13931"/>
    <cellStyle name="常规 19 4 2 3 8 4" xfId="13936"/>
    <cellStyle name="常规 19 4 2 3 8 5" xfId="13942"/>
    <cellStyle name="常规 19 4 2 3 8 6" xfId="5971"/>
    <cellStyle name="常规 19 4 2 3 8 7" xfId="5983"/>
    <cellStyle name="常规 19 4 2 3 8 8" xfId="6502"/>
    <cellStyle name="常规 19 4 2 3 9" xfId="18196"/>
    <cellStyle name="常规 19 4 2 3 9 2" xfId="13948"/>
    <cellStyle name="常规 19 4 2 3 9 3" xfId="13953"/>
    <cellStyle name="常规 19 4 2 3 9 4" xfId="13957"/>
    <cellStyle name="常规 19 4 2 3 9 5" xfId="13962"/>
    <cellStyle name="常规 19 4 2 3 9 6" xfId="5993"/>
    <cellStyle name="常规 19 4 2 3 9 7" xfId="6000"/>
    <cellStyle name="常规 19 4 2 3 9 8" xfId="18199"/>
    <cellStyle name="常规 19 4 2 4" xfId="18203"/>
    <cellStyle name="常规 19 4 2 4 10" xfId="18206"/>
    <cellStyle name="常规 19 4 2 4 10 2" xfId="13969"/>
    <cellStyle name="常规 19 4 2 4 10 3" xfId="13973"/>
    <cellStyle name="常规 19 4 2 4 10 4" xfId="15389"/>
    <cellStyle name="常规 19 4 2 4 10 5" xfId="15402"/>
    <cellStyle name="常规 19 4 2 4 10 6" xfId="15413"/>
    <cellStyle name="常规 19 4 2 4 10 7" xfId="18209"/>
    <cellStyle name="常规 19 4 2 4 10 8" xfId="18213"/>
    <cellStyle name="常规 19 4 2 4 11" xfId="18218"/>
    <cellStyle name="常规 19 4 2 4 11 2" xfId="13984"/>
    <cellStyle name="常规 19 4 2 4 11 3" xfId="13989"/>
    <cellStyle name="常规 19 4 2 4 11 4" xfId="16201"/>
    <cellStyle name="常规 19 4 2 4 11 5" xfId="16215"/>
    <cellStyle name="常规 19 4 2 4 11 6" xfId="16228"/>
    <cellStyle name="常规 19 4 2 4 11 7" xfId="18220"/>
    <cellStyle name="常规 19 4 2 4 11 8" xfId="18223"/>
    <cellStyle name="常规 19 4 2 4 12" xfId="18226"/>
    <cellStyle name="常规 19 4 2 4 12 2" xfId="13997"/>
    <cellStyle name="常规 19 4 2 4 12 3" xfId="17294"/>
    <cellStyle name="常规 19 4 2 4 12 4" xfId="17305"/>
    <cellStyle name="常规 19 4 2 4 12 5" xfId="9628"/>
    <cellStyle name="常规 19 4 2 4 12 6" xfId="9633"/>
    <cellStyle name="常规 19 4 2 4 12 7" xfId="18231"/>
    <cellStyle name="常规 19 4 2 4 13" xfId="18233"/>
    <cellStyle name="常规 19 4 2 4 14" xfId="18238"/>
    <cellStyle name="常规 19 4 2 4 15" xfId="18242"/>
    <cellStyle name="常规 19 4 2 4 16" xfId="7294"/>
    <cellStyle name="常规 19 4 2 4 17" xfId="6474"/>
    <cellStyle name="常规 19 4 2 4 18" xfId="18246"/>
    <cellStyle name="常规 19 4 2 4 19" xfId="18251"/>
    <cellStyle name="常规 19 4 2 4 2" xfId="18254"/>
    <cellStyle name="常规 19 4 2 4 2 10" xfId="7007"/>
    <cellStyle name="常规 19 4 2 4 2 10 2" xfId="5529"/>
    <cellStyle name="常规 19 4 2 4 2 10 3" xfId="5619"/>
    <cellStyle name="常规 19 4 2 4 2 10 4" xfId="5663"/>
    <cellStyle name="常规 19 4 2 4 2 10 5" xfId="5683"/>
    <cellStyle name="常规 19 4 2 4 2 10 6" xfId="3742"/>
    <cellStyle name="常规 19 4 2 4 2 10 7" xfId="1339"/>
    <cellStyle name="常规 19 4 2 4 2 11" xfId="14011"/>
    <cellStyle name="常规 19 4 2 4 2 12" xfId="14015"/>
    <cellStyle name="常规 19 4 2 4 2 13" xfId="18259"/>
    <cellStyle name="常规 19 4 2 4 2 14" xfId="18263"/>
    <cellStyle name="常规 19 4 2 4 2 15" xfId="18267"/>
    <cellStyle name="常规 19 4 2 4 2 16" xfId="18270"/>
    <cellStyle name="常规 19 4 2 4 2 17" xfId="18272"/>
    <cellStyle name="常规 19 4 2 4 2 2" xfId="12996"/>
    <cellStyle name="常规 19 4 2 4 2 2 2" xfId="13608"/>
    <cellStyle name="常规 19 4 2 4 2 2 3" xfId="13650"/>
    <cellStyle name="常规 19 4 2 4 2 2 4" xfId="13677"/>
    <cellStyle name="常规 19 4 2 4 2 2 5" xfId="13711"/>
    <cellStyle name="常规 19 4 2 4 2 2 6" xfId="14034"/>
    <cellStyle name="常规 19 4 2 4 2 2 7" xfId="14038"/>
    <cellStyle name="常规 19 4 2 4 2 2 8" xfId="14041"/>
    <cellStyle name="常规 19 4 2 4 2 3" xfId="4267"/>
    <cellStyle name="常规 19 4 2 4 2 3 2" xfId="4275"/>
    <cellStyle name="常规 19 4 2 4 2 3 3" xfId="4063"/>
    <cellStyle name="常规 19 4 2 4 2 3 4" xfId="4076"/>
    <cellStyle name="常规 19 4 2 4 2 3 5" xfId="2944"/>
    <cellStyle name="常规 19 4 2 4 2 3 6" xfId="14045"/>
    <cellStyle name="常规 19 4 2 4 2 3 7" xfId="14048"/>
    <cellStyle name="常规 19 4 2 4 2 3 8" xfId="14051"/>
    <cellStyle name="常规 19 4 2 4 2 4" xfId="4284"/>
    <cellStyle name="常规 19 4 2 4 2 4 2" xfId="13836"/>
    <cellStyle name="常规 19 4 2 4 2 4 3" xfId="13843"/>
    <cellStyle name="常规 19 4 2 4 2 4 4" xfId="8587"/>
    <cellStyle name="常规 19 4 2 4 2 4 5" xfId="8607"/>
    <cellStyle name="常规 19 4 2 4 2 4 6" xfId="8643"/>
    <cellStyle name="常规 19 4 2 4 2 4 7" xfId="14054"/>
    <cellStyle name="常规 19 4 2 4 2 4 8" xfId="10351"/>
    <cellStyle name="常规 19 4 2 4 2 5" xfId="13004"/>
    <cellStyle name="常规 19 4 2 4 2 5 2" xfId="13864"/>
    <cellStyle name="常规 19 4 2 4 2 5 3" xfId="13871"/>
    <cellStyle name="常规 19 4 2 4 2 5 4" xfId="10395"/>
    <cellStyle name="常规 19 4 2 4 2 5 5" xfId="10402"/>
    <cellStyle name="常规 19 4 2 4 2 5 6" xfId="14059"/>
    <cellStyle name="常规 19 4 2 4 2 5 7" xfId="14062"/>
    <cellStyle name="常规 19 4 2 4 2 5 8" xfId="14065"/>
    <cellStyle name="常规 19 4 2 4 2 6" xfId="6649"/>
    <cellStyle name="常规 19 4 2 4 2 6 2" xfId="6937"/>
    <cellStyle name="常规 19 4 2 4 2 6 3" xfId="6947"/>
    <cellStyle name="常规 19 4 2 4 2 6 4" xfId="10411"/>
    <cellStyle name="常规 19 4 2 4 2 6 5" xfId="10418"/>
    <cellStyle name="常规 19 4 2 4 2 6 6" xfId="14071"/>
    <cellStyle name="常规 19 4 2 4 2 6 7" xfId="9444"/>
    <cellStyle name="常规 19 4 2 4 2 6 8" xfId="9471"/>
    <cellStyle name="常规 19 4 2 4 2 7" xfId="6662"/>
    <cellStyle name="常规 19 4 2 4 2 7 2" xfId="13913"/>
    <cellStyle name="常规 19 4 2 4 2 7 3" xfId="13920"/>
    <cellStyle name="常规 19 4 2 4 2 7 4" xfId="13387"/>
    <cellStyle name="常规 19 4 2 4 2 7 5" xfId="13400"/>
    <cellStyle name="常规 19 4 2 4 2 7 6" xfId="938"/>
    <cellStyle name="常规 19 4 2 4 2 7 7" xfId="1024"/>
    <cellStyle name="常规 19 4 2 4 2 7 8" xfId="1057"/>
    <cellStyle name="常规 19 4 2 4 2 8" xfId="14076"/>
    <cellStyle name="常规 19 4 2 4 2 8 2" xfId="13943"/>
    <cellStyle name="常规 19 4 2 4 2 8 3" xfId="5970"/>
    <cellStyle name="常规 19 4 2 4 2 8 4" xfId="5982"/>
    <cellStyle name="常规 19 4 2 4 2 8 5" xfId="6501"/>
    <cellStyle name="常规 19 4 2 4 2 8 6" xfId="1108"/>
    <cellStyle name="常规 19 4 2 4 2 8 7" xfId="1126"/>
    <cellStyle name="常规 19 4 2 4 2 8 8" xfId="1159"/>
    <cellStyle name="常规 19 4 2 4 2 9" xfId="18274"/>
    <cellStyle name="常规 19 4 2 4 2 9 2" xfId="13963"/>
    <cellStyle name="常规 19 4 2 4 2 9 3" xfId="5992"/>
    <cellStyle name="常规 19 4 2 4 2 9 4" xfId="5999"/>
    <cellStyle name="常规 19 4 2 4 2 9 5" xfId="18198"/>
    <cellStyle name="常规 19 4 2 4 2 9 6" xfId="18277"/>
    <cellStyle name="常规 19 4 2 4 2 9 7" xfId="1215"/>
    <cellStyle name="常规 19 4 2 4 2 9 8" xfId="1246"/>
    <cellStyle name="常规 19 4 2 4 3" xfId="18280"/>
    <cellStyle name="常规 19 4 2 4 3 2" xfId="14082"/>
    <cellStyle name="常规 19 4 2 4 3 3" xfId="4292"/>
    <cellStyle name="常规 19 4 2 4 3 4" xfId="2954"/>
    <cellStyle name="常规 19 4 2 4 3 5" xfId="14087"/>
    <cellStyle name="常规 19 4 2 4 3 6" xfId="6956"/>
    <cellStyle name="常规 19 4 2 4 3 7" xfId="6962"/>
    <cellStyle name="常规 19 4 2 4 3 8" xfId="18284"/>
    <cellStyle name="常规 19 4 2 4 4" xfId="18288"/>
    <cellStyle name="常规 19 4 2 4 4 2" xfId="14093"/>
    <cellStyle name="常规 19 4 2 4 4 3" xfId="14099"/>
    <cellStyle name="常规 19 4 2 4 4 4" xfId="14104"/>
    <cellStyle name="常规 19 4 2 4 4 5" xfId="14109"/>
    <cellStyle name="常规 19 4 2 4 4 6" xfId="7336"/>
    <cellStyle name="常规 19 4 2 4 4 7" xfId="7345"/>
    <cellStyle name="常规 19 4 2 4 4 8" xfId="18293"/>
    <cellStyle name="常规 19 4 2 4 5" xfId="18296"/>
    <cellStyle name="常规 19 4 2 4 5 2" xfId="14115"/>
    <cellStyle name="常规 19 4 2 4 5 3" xfId="14121"/>
    <cellStyle name="常规 19 4 2 4 5 4" xfId="14128"/>
    <cellStyle name="常规 19 4 2 4 5 5" xfId="14134"/>
    <cellStyle name="常规 19 4 2 4 5 6" xfId="14140"/>
    <cellStyle name="常规 19 4 2 4 5 7" xfId="10427"/>
    <cellStyle name="常规 19 4 2 4 5 8" xfId="18302"/>
    <cellStyle name="常规 19 4 2 4 6" xfId="18306"/>
    <cellStyle name="常规 19 4 2 4 6 2" xfId="14144"/>
    <cellStyle name="常规 19 4 2 4 6 3" xfId="14150"/>
    <cellStyle name="常规 19 4 2 4 6 4" xfId="14156"/>
    <cellStyle name="常规 19 4 2 4 6 5" xfId="14161"/>
    <cellStyle name="常规 19 4 2 4 6 6" xfId="14166"/>
    <cellStyle name="常规 19 4 2 4 6 7" xfId="14171"/>
    <cellStyle name="常规 19 4 2 4 6 8" xfId="18312"/>
    <cellStyle name="常规 19 4 2 4 7" xfId="18315"/>
    <cellStyle name="常规 19 4 2 4 7 2" xfId="14175"/>
    <cellStyle name="常规 19 4 2 4 7 3" xfId="14181"/>
    <cellStyle name="常规 19 4 2 4 7 4" xfId="14187"/>
    <cellStyle name="常规 19 4 2 4 7 5" xfId="14191"/>
    <cellStyle name="常规 19 4 2 4 7 6" xfId="14195"/>
    <cellStyle name="常规 19 4 2 4 7 7" xfId="14199"/>
    <cellStyle name="常规 19 4 2 4 7 8" xfId="18319"/>
    <cellStyle name="常规 19 4 2 4 8" xfId="18322"/>
    <cellStyle name="常规 19 4 2 4 8 2" xfId="12210"/>
    <cellStyle name="常规 19 4 2 4 8 3" xfId="14206"/>
    <cellStyle name="常规 19 4 2 4 8 4" xfId="14212"/>
    <cellStyle name="常规 19 4 2 4 8 5" xfId="14217"/>
    <cellStyle name="常规 19 4 2 4 8 6" xfId="3545"/>
    <cellStyle name="常规 19 4 2 4 8 7" xfId="3561"/>
    <cellStyle name="常规 19 4 2 4 8 8" xfId="18327"/>
    <cellStyle name="常规 19 4 2 4 9" xfId="18330"/>
    <cellStyle name="常规 19 4 2 4 9 2" xfId="14225"/>
    <cellStyle name="常规 19 4 2 4 9 3" xfId="14232"/>
    <cellStyle name="常规 19 4 2 4 9 4" xfId="14239"/>
    <cellStyle name="常规 19 4 2 4 9 5" xfId="14245"/>
    <cellStyle name="常规 19 4 2 4 9 6" xfId="4633"/>
    <cellStyle name="常规 19 4 2 4 9 7" xfId="4609"/>
    <cellStyle name="常规 19 4 2 4 9 8" xfId="11750"/>
    <cellStyle name="常规 19 4 2 5" xfId="18335"/>
    <cellStyle name="常规 19 4 2 5 10" xfId="9137"/>
    <cellStyle name="常规 19 4 2 5 10 2" xfId="14254"/>
    <cellStyle name="常规 19 4 2 5 10 3" xfId="14257"/>
    <cellStyle name="常规 19 4 2 5 10 4" xfId="18338"/>
    <cellStyle name="常规 19 4 2 5 10 5" xfId="18340"/>
    <cellStyle name="常规 19 4 2 5 10 6" xfId="18342"/>
    <cellStyle name="常规 19 4 2 5 10 7" xfId="18344"/>
    <cellStyle name="常规 19 4 2 5 11" xfId="12553"/>
    <cellStyle name="常规 19 4 2 5 12" xfId="18346"/>
    <cellStyle name="常规 19 4 2 5 13" xfId="7071"/>
    <cellStyle name="常规 19 4 2 5 14" xfId="14588"/>
    <cellStyle name="常规 19 4 2 5 15" xfId="14593"/>
    <cellStyle name="常规 19 4 2 5 16" xfId="14598"/>
    <cellStyle name="常规 19 4 2 5 17" xfId="14604"/>
    <cellStyle name="常规 19 4 2 5 2" xfId="11927"/>
    <cellStyle name="常规 19 4 2 5 2 2" xfId="14288"/>
    <cellStyle name="常规 19 4 2 5 2 3" xfId="2703"/>
    <cellStyle name="常规 19 4 2 5 2 4" xfId="2723"/>
    <cellStyle name="常规 19 4 2 5 2 5" xfId="14368"/>
    <cellStyle name="常规 19 4 2 5 2 6" xfId="6968"/>
    <cellStyle name="常规 19 4 2 5 2 7" xfId="1317"/>
    <cellStyle name="常规 19 4 2 5 2 8" xfId="14448"/>
    <cellStyle name="常规 19 4 2 5 3" xfId="18350"/>
    <cellStyle name="常规 19 4 2 5 3 2" xfId="14457"/>
    <cellStyle name="常规 19 4 2 5 3 3" xfId="4153"/>
    <cellStyle name="常规 19 4 2 5 3 4" xfId="4501"/>
    <cellStyle name="常规 19 4 2 5 3 5" xfId="14463"/>
    <cellStyle name="常规 19 4 2 5 3 6" xfId="14466"/>
    <cellStyle name="常规 19 4 2 5 3 7" xfId="14469"/>
    <cellStyle name="常规 19 4 2 5 3 8" xfId="18353"/>
    <cellStyle name="常规 19 4 2 5 4" xfId="18355"/>
    <cellStyle name="常规 19 4 2 5 4 2" xfId="14476"/>
    <cellStyle name="常规 19 4 2 5 4 3" xfId="14480"/>
    <cellStyle name="常规 19 4 2 5 4 4" xfId="14483"/>
    <cellStyle name="常规 19 4 2 5 4 5" xfId="14486"/>
    <cellStyle name="常规 19 4 2 5 4 6" xfId="14489"/>
    <cellStyle name="常规 19 4 2 5 4 7" xfId="8838"/>
    <cellStyle name="常规 19 4 2 5 4 8" xfId="18358"/>
    <cellStyle name="常规 19 4 2 5 5" xfId="18360"/>
    <cellStyle name="常规 19 4 2 5 5 2" xfId="14497"/>
    <cellStyle name="常规 19 4 2 5 5 3" xfId="14502"/>
    <cellStyle name="常规 19 4 2 5 5 4" xfId="14505"/>
    <cellStyle name="常规 19 4 2 5 5 5" xfId="14508"/>
    <cellStyle name="常规 19 4 2 5 5 6" xfId="12265"/>
    <cellStyle name="常规 19 4 2 5 5 7" xfId="8898"/>
    <cellStyle name="常规 19 4 2 5 5 8" xfId="8920"/>
    <cellStyle name="常规 19 4 2 5 6" xfId="18363"/>
    <cellStyle name="常规 19 4 2 5 6 2" xfId="14516"/>
    <cellStyle name="常规 19 4 2 5 6 3" xfId="14520"/>
    <cellStyle name="常规 19 4 2 5 6 4" xfId="14524"/>
    <cellStyle name="常规 19 4 2 5 6 5" xfId="14527"/>
    <cellStyle name="常规 19 4 2 5 6 6" xfId="12276"/>
    <cellStyle name="常规 19 4 2 5 6 7" xfId="12286"/>
    <cellStyle name="常规 19 4 2 5 6 8" xfId="18366"/>
    <cellStyle name="常规 19 4 2 5 7" xfId="18369"/>
    <cellStyle name="常规 19 4 2 5 7 2" xfId="14534"/>
    <cellStyle name="常规 19 4 2 5 7 3" xfId="690"/>
    <cellStyle name="常规 19 4 2 5 7 4" xfId="2513"/>
    <cellStyle name="常规 19 4 2 5 7 5" xfId="2533"/>
    <cellStyle name="常规 19 4 2 5 7 6" xfId="3597"/>
    <cellStyle name="常规 19 4 2 5 7 7" xfId="10732"/>
    <cellStyle name="常规 19 4 2 5 7 8" xfId="18372"/>
    <cellStyle name="常规 19 4 2 5 8" xfId="18374"/>
    <cellStyle name="常规 19 4 2 5 8 2" xfId="14541"/>
    <cellStyle name="常规 19 4 2 5 8 3" xfId="9422"/>
    <cellStyle name="常规 19 4 2 5 8 4" xfId="9806"/>
    <cellStyle name="常规 19 4 2 5 8 5" xfId="14545"/>
    <cellStyle name="常规 19 4 2 5 8 6" xfId="4648"/>
    <cellStyle name="常规 19 4 2 5 8 7" xfId="4661"/>
    <cellStyle name="常规 19 4 2 5 8 8" xfId="18377"/>
    <cellStyle name="常规 19 4 2 5 9" xfId="9430"/>
    <cellStyle name="常规 19 4 2 5 9 2" xfId="10336"/>
    <cellStyle name="常规 19 4 2 5 9 3" xfId="10342"/>
    <cellStyle name="常规 19 4 2 5 9 4" xfId="14550"/>
    <cellStyle name="常规 19 4 2 5 9 5" xfId="14553"/>
    <cellStyle name="常规 19 4 2 5 9 6" xfId="14556"/>
    <cellStyle name="常规 19 4 2 5 9 7" xfId="14559"/>
    <cellStyle name="常规 19 4 2 5 9 8" xfId="18379"/>
    <cellStyle name="常规 19 4 2 6" xfId="21837"/>
    <cellStyle name="常规 19 4 2 6 2" xfId="21839"/>
    <cellStyle name="常规 19 4 2 6 3" xfId="21840"/>
    <cellStyle name="常规 19 4 2 6 4" xfId="21841"/>
    <cellStyle name="常规 19 4 2 6 5" xfId="21842"/>
    <cellStyle name="常规 19 4 2 6 6" xfId="21844"/>
    <cellStyle name="常规 19 4 2 6 7" xfId="21846"/>
    <cellStyle name="常规 19 4 2 6 8" xfId="21848"/>
    <cellStyle name="常规 19 4 2 7" xfId="21850"/>
    <cellStyle name="常规 19 4 2 7 2" xfId="21852"/>
    <cellStyle name="常规 19 4 2 7 3" xfId="21853"/>
    <cellStyle name="常规 19 4 2 7 4" xfId="21854"/>
    <cellStyle name="常规 19 4 2 7 5" xfId="21855"/>
    <cellStyle name="常规 19 4 2 7 6" xfId="21856"/>
    <cellStyle name="常规 19 4 2 7 7" xfId="21857"/>
    <cellStyle name="常规 19 4 2 7 8" xfId="21858"/>
    <cellStyle name="常规 19 4 2 8" xfId="21860"/>
    <cellStyle name="常规 19 4 2 8 2" xfId="21863"/>
    <cellStyle name="常规 19 4 2 8 3" xfId="21866"/>
    <cellStyle name="常规 19 4 2 8 4" xfId="21867"/>
    <cellStyle name="常规 19 4 2 8 5" xfId="21868"/>
    <cellStyle name="常规 19 4 2 8 6" xfId="21869"/>
    <cellStyle name="常规 19 4 2 8 7" xfId="21870"/>
    <cellStyle name="常规 19 4 2 8 8" xfId="21871"/>
    <cellStyle name="常规 19 4 2 9" xfId="21873"/>
    <cellStyle name="常规 19 4 2 9 2" xfId="20880"/>
    <cellStyle name="常规 19 4 2 9 3" xfId="20888"/>
    <cellStyle name="常规 19 4 2 9 4" xfId="20890"/>
    <cellStyle name="常规 19 4 2 9 5" xfId="4474"/>
    <cellStyle name="常规 19 4 2 9 6" xfId="20892"/>
    <cellStyle name="常规 19 4 2 9 7" xfId="20895"/>
    <cellStyle name="常规 19 4 2 9 8" xfId="20897"/>
    <cellStyle name="常规 19 4 20" xfId="21770"/>
    <cellStyle name="常规 19 4 21" xfId="21780"/>
    <cellStyle name="常规 19 4 22" xfId="21782"/>
    <cellStyle name="常规 19 4 23" xfId="21784"/>
    <cellStyle name="常规 19 4 3" xfId="21875"/>
    <cellStyle name="常规 19 4 3 10" xfId="21876"/>
    <cellStyle name="常规 19 4 3 10 2" xfId="4009"/>
    <cellStyle name="常规 19 4 3 10 3" xfId="15096"/>
    <cellStyle name="常规 19 4 3 10 4" xfId="6542"/>
    <cellStyle name="常规 19 4 3 10 5" xfId="6572"/>
    <cellStyle name="常规 19 4 3 10 6" xfId="6581"/>
    <cellStyle name="常规 19 4 3 10 7" xfId="21877"/>
    <cellStyle name="常规 19 4 3 10 8" xfId="6108"/>
    <cellStyle name="常规 19 4 3 11" xfId="21878"/>
    <cellStyle name="常规 19 4 3 11 2" xfId="11207"/>
    <cellStyle name="常规 19 4 3 11 3" xfId="15098"/>
    <cellStyle name="常规 19 4 3 11 4" xfId="6596"/>
    <cellStyle name="常规 19 4 3 11 5" xfId="6606"/>
    <cellStyle name="常规 19 4 3 11 6" xfId="21879"/>
    <cellStyle name="常规 19 4 3 11 7" xfId="21880"/>
    <cellStyle name="常规 19 4 3 11 8" xfId="9057"/>
    <cellStyle name="常规 19 4 3 12" xfId="21881"/>
    <cellStyle name="常规 19 4 3 12 2" xfId="215"/>
    <cellStyle name="常规 19 4 3 12 3" xfId="21882"/>
    <cellStyle name="常规 19 4 3 12 4" xfId="454"/>
    <cellStyle name="常规 19 4 3 12 5" xfId="610"/>
    <cellStyle name="常规 19 4 3 12 6" xfId="711"/>
    <cellStyle name="常规 19 4 3 12 7" xfId="858"/>
    <cellStyle name="常规 19 4 3 12 8" xfId="899"/>
    <cellStyle name="常规 19 4 3 13" xfId="21883"/>
    <cellStyle name="常规 19 4 3 13 2" xfId="21884"/>
    <cellStyle name="常规 19 4 3 13 3" xfId="21885"/>
    <cellStyle name="常规 19 4 3 13 4" xfId="933"/>
    <cellStyle name="常规 19 4 3 13 5" xfId="1099"/>
    <cellStyle name="常规 19 4 3 13 6" xfId="1167"/>
    <cellStyle name="常规 19 4 3 13 7" xfId="1251"/>
    <cellStyle name="常规 19 4 3 14" xfId="21886"/>
    <cellStyle name="常规 19 4 3 15" xfId="21888"/>
    <cellStyle name="常规 19 4 3 16" xfId="21890"/>
    <cellStyle name="常规 19 4 3 17" xfId="21891"/>
    <cellStyle name="常规 19 4 3 18" xfId="21892"/>
    <cellStyle name="常规 19 4 3 19" xfId="16281"/>
    <cellStyle name="常规 19 4 3 2" xfId="12467"/>
    <cellStyle name="常规 19 4 3 2 10" xfId="19803"/>
    <cellStyle name="常规 19 4 3 2 10 2" xfId="10911"/>
    <cellStyle name="常规 19 4 3 2 10 3" xfId="10923"/>
    <cellStyle name="常规 19 4 3 2 10 4" xfId="14953"/>
    <cellStyle name="常规 19 4 3 2 10 5" xfId="15585"/>
    <cellStyle name="常规 19 4 3 2 10 6" xfId="15588"/>
    <cellStyle name="常规 19 4 3 2 10 7" xfId="15591"/>
    <cellStyle name="常规 19 4 3 2 10 8" xfId="21239"/>
    <cellStyle name="常规 19 4 3 2 11" xfId="19807"/>
    <cellStyle name="常规 19 4 3 2 11 2" xfId="9323"/>
    <cellStyle name="常规 19 4 3 2 11 3" xfId="10951"/>
    <cellStyle name="常规 19 4 3 2 11 4" xfId="15600"/>
    <cellStyle name="常规 19 4 3 2 11 5" xfId="15608"/>
    <cellStyle name="常规 19 4 3 2 11 6" xfId="15614"/>
    <cellStyle name="常规 19 4 3 2 11 7" xfId="15620"/>
    <cellStyle name="常规 19 4 3 2 11 8" xfId="18128"/>
    <cellStyle name="常规 19 4 3 2 12" xfId="21241"/>
    <cellStyle name="常规 19 4 3 2 12 2" xfId="10968"/>
    <cellStyle name="常规 19 4 3 2 12 3" xfId="15626"/>
    <cellStyle name="常规 19 4 3 2 12 4" xfId="11518"/>
    <cellStyle name="常规 19 4 3 2 12 5" xfId="6277"/>
    <cellStyle name="常规 19 4 3 2 12 6" xfId="6285"/>
    <cellStyle name="常规 19 4 3 2 12 7" xfId="15631"/>
    <cellStyle name="常规 19 4 3 2 13" xfId="21247"/>
    <cellStyle name="常规 19 4 3 2 14" xfId="21249"/>
    <cellStyle name="常规 19 4 3 2 15" xfId="2358"/>
    <cellStyle name="常规 19 4 3 2 16" xfId="11341"/>
    <cellStyle name="常规 19 4 3 2 17" xfId="21251"/>
    <cellStyle name="常规 19 4 3 2 18" xfId="342"/>
    <cellStyle name="常规 19 4 3 2 19" xfId="352"/>
    <cellStyle name="常规 19 4 3 2 2" xfId="21253"/>
    <cellStyle name="常规 19 4 3 2 2 10" xfId="21255"/>
    <cellStyle name="常规 19 4 3 2 2 10 2" xfId="1731"/>
    <cellStyle name="常规 19 4 3 2 2 10 3" xfId="967"/>
    <cellStyle name="常规 19 4 3 2 2 10 4" xfId="980"/>
    <cellStyle name="常规 19 4 3 2 2 10 5" xfId="9823"/>
    <cellStyle name="常规 19 4 3 2 2 10 6" xfId="9845"/>
    <cellStyle name="常规 19 4 3 2 2 10 7" xfId="9850"/>
    <cellStyle name="常规 19 4 3 2 2 11" xfId="21257"/>
    <cellStyle name="常规 19 4 3 2 2 12" xfId="21261"/>
    <cellStyle name="常规 19 4 3 2 2 13" xfId="19105"/>
    <cellStyle name="常规 19 4 3 2 2 14" xfId="19109"/>
    <cellStyle name="常规 19 4 3 2 2 15" xfId="13759"/>
    <cellStyle name="常规 19 4 3 2 2 16" xfId="13247"/>
    <cellStyle name="常规 19 4 3 2 2 17" xfId="13252"/>
    <cellStyle name="常规 19 4 3 2 2 2" xfId="13337"/>
    <cellStyle name="常规 19 4 3 2 2 2 2" xfId="17667"/>
    <cellStyle name="常规 19 4 3 2 2 2 3" xfId="17670"/>
    <cellStyle name="常规 19 4 3 2 2 2 4" xfId="21298"/>
    <cellStyle name="常规 19 4 3 2 2 2 5" xfId="7058"/>
    <cellStyle name="常规 19 4 3 2 2 2 6" xfId="5006"/>
    <cellStyle name="常规 19 4 3 2 2 2 7" xfId="21317"/>
    <cellStyle name="常规 19 4 3 2 2 2 8" xfId="21326"/>
    <cellStyle name="常规 19 4 3 2 2 3" xfId="13340"/>
    <cellStyle name="常规 19 4 3 2 2 3 2" xfId="16290"/>
    <cellStyle name="常规 19 4 3 2 2 3 3" xfId="16301"/>
    <cellStyle name="常规 19 4 3 2 2 3 4" xfId="16305"/>
    <cellStyle name="常规 19 4 3 2 2 3 5" xfId="8124"/>
    <cellStyle name="常规 19 4 3 2 2 3 6" xfId="8516"/>
    <cellStyle name="常规 19 4 3 2 2 3 7" xfId="16309"/>
    <cellStyle name="常规 19 4 3 2 2 3 8" xfId="16313"/>
    <cellStyle name="常规 19 4 3 2 2 4" xfId="21337"/>
    <cellStyle name="常规 19 4 3 2 2 4 2" xfId="21339"/>
    <cellStyle name="常规 19 4 3 2 2 4 3" xfId="21341"/>
    <cellStyle name="常规 19 4 3 2 2 4 4" xfId="21343"/>
    <cellStyle name="常规 19 4 3 2 2 4 5" xfId="8148"/>
    <cellStyle name="常规 19 4 3 2 2 4 6" xfId="11855"/>
    <cellStyle name="常规 19 4 3 2 2 4 7" xfId="10310"/>
    <cellStyle name="常规 19 4 3 2 2 4 8" xfId="21345"/>
    <cellStyle name="常规 19 4 3 2 2 5" xfId="21348"/>
    <cellStyle name="常规 19 4 3 2 2 5 2" xfId="21350"/>
    <cellStyle name="常规 19 4 3 2 2 5 3" xfId="21352"/>
    <cellStyle name="常规 19 4 3 2 2 5 4" xfId="21354"/>
    <cellStyle name="常规 19 4 3 2 2 5 5" xfId="21357"/>
    <cellStyle name="常规 19 4 3 2 2 5 6" xfId="21360"/>
    <cellStyle name="常规 19 4 3 2 2 5 7" xfId="21364"/>
    <cellStyle name="常规 19 4 3 2 2 5 8" xfId="5327"/>
    <cellStyle name="常规 19 4 3 2 2 6" xfId="21368"/>
    <cellStyle name="常规 19 4 3 2 2 6 2" xfId="21370"/>
    <cellStyle name="常规 19 4 3 2 2 6 3" xfId="21372"/>
    <cellStyle name="常规 19 4 3 2 2 6 4" xfId="580"/>
    <cellStyle name="常规 19 4 3 2 2 6 5" xfId="591"/>
    <cellStyle name="常规 19 4 3 2 2 6 6" xfId="21374"/>
    <cellStyle name="常规 19 4 3 2 2 6 7" xfId="21378"/>
    <cellStyle name="常规 19 4 3 2 2 6 8" xfId="21382"/>
    <cellStyle name="常规 19 4 3 2 2 7" xfId="21386"/>
    <cellStyle name="常规 19 4 3 2 2 7 2" xfId="21389"/>
    <cellStyle name="常规 19 4 3 2 2 7 3" xfId="21392"/>
    <cellStyle name="常规 19 4 3 2 2 7 4" xfId="21395"/>
    <cellStyle name="常规 19 4 3 2 2 7 5" xfId="21398"/>
    <cellStyle name="常规 19 4 3 2 2 7 6" xfId="21401"/>
    <cellStyle name="常规 19 4 3 2 2 7 7" xfId="11560"/>
    <cellStyle name="常规 19 4 3 2 2 7 8" xfId="6383"/>
    <cellStyle name="常规 19 4 3 2 2 8" xfId="21404"/>
    <cellStyle name="常规 19 4 3 2 2 8 2" xfId="16753"/>
    <cellStyle name="常规 19 4 3 2 2 8 3" xfId="16756"/>
    <cellStyle name="常规 19 4 3 2 2 8 4" xfId="2394"/>
    <cellStyle name="常规 19 4 3 2 2 8 5" xfId="2406"/>
    <cellStyle name="常规 19 4 3 2 2 8 6" xfId="16759"/>
    <cellStyle name="常规 19 4 3 2 2 8 7" xfId="7416"/>
    <cellStyle name="常规 19 4 3 2 2 8 8" xfId="7514"/>
    <cellStyle name="常规 19 4 3 2 2 9" xfId="21407"/>
    <cellStyle name="常规 19 4 3 2 2 9 2" xfId="21410"/>
    <cellStyle name="常规 19 4 3 2 2 9 3" xfId="21413"/>
    <cellStyle name="常规 19 4 3 2 2 9 4" xfId="21415"/>
    <cellStyle name="常规 19 4 3 2 2 9 5" xfId="21419"/>
    <cellStyle name="常规 19 4 3 2 2 9 6" xfId="21423"/>
    <cellStyle name="常规 19 4 3 2 2 9 7" xfId="18971"/>
    <cellStyle name="常规 19 4 3 2 2 9 8" xfId="7018"/>
    <cellStyle name="常规 19 4 3 2 3" xfId="21426"/>
    <cellStyle name="常规 19 4 3 2 3 2" xfId="363"/>
    <cellStyle name="常规 19 4 3 2 3 3" xfId="3365"/>
    <cellStyle name="常规 19 4 3 2 3 4" xfId="3388"/>
    <cellStyle name="常规 19 4 3 2 3 5" xfId="4100"/>
    <cellStyle name="常规 19 4 3 2 3 6" xfId="4113"/>
    <cellStyle name="常规 19 4 3 2 3 7" xfId="11257"/>
    <cellStyle name="常规 19 4 3 2 3 8" xfId="21486"/>
    <cellStyle name="常规 19 4 3 2 4" xfId="21509"/>
    <cellStyle name="常规 19 4 3 2 4 2" xfId="2248"/>
    <cellStyle name="常规 19 4 3 2 4 3" xfId="3411"/>
    <cellStyle name="常规 19 4 3 2 4 4" xfId="3426"/>
    <cellStyle name="常规 19 4 3 2 4 5" xfId="4014"/>
    <cellStyle name="常规 19 4 3 2 4 6" xfId="4487"/>
    <cellStyle name="常规 19 4 3 2 4 7" xfId="21511"/>
    <cellStyle name="常规 19 4 3 2 4 8" xfId="21513"/>
    <cellStyle name="常规 19 4 3 2 5" xfId="18623"/>
    <cellStyle name="常规 19 4 3 2 5 2" xfId="21515"/>
    <cellStyle name="常规 19 4 3 2 5 3" xfId="21517"/>
    <cellStyle name="常规 19 4 3 2 5 4" xfId="21519"/>
    <cellStyle name="常规 19 4 3 2 5 5" xfId="21521"/>
    <cellStyle name="常规 19 4 3 2 5 6" xfId="21523"/>
    <cellStyle name="常规 19 4 3 2 5 7" xfId="21525"/>
    <cellStyle name="常规 19 4 3 2 5 8" xfId="21527"/>
    <cellStyle name="常规 19 4 3 2 6" xfId="18627"/>
    <cellStyle name="常规 19 4 3 2 6 2" xfId="21529"/>
    <cellStyle name="常规 19 4 3 2 6 3" xfId="21531"/>
    <cellStyle name="常规 19 4 3 2 6 4" xfId="21533"/>
    <cellStyle name="常规 19 4 3 2 6 5" xfId="14564"/>
    <cellStyle name="常规 19 4 3 2 6 6" xfId="14583"/>
    <cellStyle name="常规 19 4 3 2 6 7" xfId="10505"/>
    <cellStyle name="常规 19 4 3 2 6 8" xfId="10511"/>
    <cellStyle name="常规 19 4 3 2 7" xfId="18631"/>
    <cellStyle name="常规 19 4 3 2 7 2" xfId="21535"/>
    <cellStyle name="常规 19 4 3 2 7 3" xfId="21537"/>
    <cellStyle name="常规 19 4 3 2 7 4" xfId="21539"/>
    <cellStyle name="常规 19 4 3 2 7 5" xfId="21541"/>
    <cellStyle name="常规 19 4 3 2 7 6" xfId="21543"/>
    <cellStyle name="常规 19 4 3 2 7 7" xfId="21546"/>
    <cellStyle name="常规 19 4 3 2 7 8" xfId="21549"/>
    <cellStyle name="常规 19 4 3 2 8" xfId="18635"/>
    <cellStyle name="常规 19 4 3 2 8 2" xfId="21551"/>
    <cellStyle name="常规 19 4 3 2 8 3" xfId="9859"/>
    <cellStyle name="常规 19 4 3 2 8 4" xfId="9866"/>
    <cellStyle name="常规 19 4 3 2 8 5" xfId="21553"/>
    <cellStyle name="常规 19 4 3 2 8 6" xfId="21555"/>
    <cellStyle name="常规 19 4 3 2 8 7" xfId="21557"/>
    <cellStyle name="常规 19 4 3 2 8 8" xfId="21559"/>
    <cellStyle name="常规 19 4 3 2 9" xfId="18641"/>
    <cellStyle name="常规 19 4 3 2 9 2" xfId="21561"/>
    <cellStyle name="常规 19 4 3 2 9 3" xfId="2469"/>
    <cellStyle name="常规 19 4 3 2 9 4" xfId="2482"/>
    <cellStyle name="常规 19 4 3 2 9 5" xfId="20013"/>
    <cellStyle name="常规 19 4 3 2 9 6" xfId="20016"/>
    <cellStyle name="常规 19 4 3 2 9 7" xfId="16351"/>
    <cellStyle name="常规 19 4 3 2 9 8" xfId="16367"/>
    <cellStyle name="常规 19 4 3 20" xfId="21887"/>
    <cellStyle name="常规 19 4 3 3" xfId="21563"/>
    <cellStyle name="常规 19 4 3 3 10" xfId="14723"/>
    <cellStyle name="常规 19 4 3 3 10 2" xfId="12464"/>
    <cellStyle name="常规 19 4 3 3 10 3" xfId="14718"/>
    <cellStyle name="常规 19 4 3 3 10 4" xfId="21566"/>
    <cellStyle name="常规 19 4 3 3 10 5" xfId="21568"/>
    <cellStyle name="常规 19 4 3 3 10 6" xfId="21570"/>
    <cellStyle name="常规 19 4 3 3 10 7" xfId="19558"/>
    <cellStyle name="常规 19 4 3 3 11" xfId="14727"/>
    <cellStyle name="常规 19 4 3 3 12" xfId="14730"/>
    <cellStyle name="常规 19 4 3 3 13" xfId="14734"/>
    <cellStyle name="常规 19 4 3 3 14" xfId="14738"/>
    <cellStyle name="常规 19 4 3 3 15" xfId="21572"/>
    <cellStyle name="常规 19 4 3 3 16" xfId="21575"/>
    <cellStyle name="常规 19 4 3 3 17" xfId="21578"/>
    <cellStyle name="常规 19 4 3 3 2" xfId="21589"/>
    <cellStyle name="常规 19 4 3 3 2 2" xfId="14751"/>
    <cellStyle name="常规 19 4 3 3 2 3" xfId="14757"/>
    <cellStyle name="常规 19 4 3 3 2 4" xfId="14771"/>
    <cellStyle name="常规 19 4 3 3 2 5" xfId="14294"/>
    <cellStyle name="常规 19 4 3 3 2 6" xfId="14301"/>
    <cellStyle name="常规 19 4 3 3 2 7" xfId="14308"/>
    <cellStyle name="常规 19 4 3 3 2 8" xfId="14314"/>
    <cellStyle name="常规 19 4 3 3 3" xfId="21595"/>
    <cellStyle name="常规 19 4 3 3 3 2" xfId="1626"/>
    <cellStyle name="常规 19 4 3 3 3 3" xfId="1782"/>
    <cellStyle name="常规 19 4 3 3 3 4" xfId="1830"/>
    <cellStyle name="常规 19 4 3 3 3 5" xfId="1877"/>
    <cellStyle name="常规 19 4 3 3 3 6" xfId="1922"/>
    <cellStyle name="常规 19 4 3 3 3 7" xfId="14331"/>
    <cellStyle name="常规 19 4 3 3 3 8" xfId="14337"/>
    <cellStyle name="常规 19 4 3 3 4" xfId="21599"/>
    <cellStyle name="常规 19 4 3 3 4 2" xfId="14870"/>
    <cellStyle name="常规 19 4 3 3 4 3" xfId="14876"/>
    <cellStyle name="常规 19 4 3 3 4 4" xfId="14881"/>
    <cellStyle name="常规 19 4 3 3 4 5" xfId="14352"/>
    <cellStyle name="常规 19 4 3 3 4 6" xfId="14359"/>
    <cellStyle name="常规 19 4 3 3 4 7" xfId="10525"/>
    <cellStyle name="常规 19 4 3 3 4 8" xfId="10540"/>
    <cellStyle name="常规 19 4 3 3 5" xfId="18651"/>
    <cellStyle name="常规 19 4 3 3 5 2" xfId="14885"/>
    <cellStyle name="常规 19 4 3 3 5 3" xfId="14890"/>
    <cellStyle name="常规 19 4 3 3 5 4" xfId="14895"/>
    <cellStyle name="常规 19 4 3 3 5 5" xfId="14374"/>
    <cellStyle name="常规 19 4 3 3 5 6" xfId="14379"/>
    <cellStyle name="常规 19 4 3 3 5 7" xfId="10554"/>
    <cellStyle name="常规 19 4 3 3 5 8" xfId="10563"/>
    <cellStyle name="常规 19 4 3 3 6" xfId="18656"/>
    <cellStyle name="常规 19 4 3 3 6 2" xfId="14899"/>
    <cellStyle name="常规 19 4 3 3 6 3" xfId="6815"/>
    <cellStyle name="常规 19 4 3 3 6 4" xfId="6822"/>
    <cellStyle name="常规 19 4 3 3 6 5" xfId="14388"/>
    <cellStyle name="常规 19 4 3 3 6 6" xfId="14394"/>
    <cellStyle name="常规 19 4 3 3 6 7" xfId="14402"/>
    <cellStyle name="常规 19 4 3 3 6 8" xfId="14407"/>
    <cellStyle name="常规 19 4 3 3 7" xfId="18660"/>
    <cellStyle name="常规 19 4 3 3 7 2" xfId="14907"/>
    <cellStyle name="常规 19 4 3 3 7 3" xfId="14914"/>
    <cellStyle name="常规 19 4 3 3 7 4" xfId="14921"/>
    <cellStyle name="常规 19 4 3 3 7 5" xfId="14418"/>
    <cellStyle name="常规 19 4 3 3 7 6" xfId="14424"/>
    <cellStyle name="常规 19 4 3 3 7 7" xfId="14430"/>
    <cellStyle name="常规 19 4 3 3 7 8" xfId="14435"/>
    <cellStyle name="常规 19 4 3 3 8" xfId="18665"/>
    <cellStyle name="常规 19 4 3 3 8 2" xfId="14930"/>
    <cellStyle name="常规 19 4 3 3 8 3" xfId="7082"/>
    <cellStyle name="常规 19 4 3 3 8 4" xfId="7106"/>
    <cellStyle name="常规 19 4 3 3 8 5" xfId="1359"/>
    <cellStyle name="常规 19 4 3 3 8 6" xfId="1370"/>
    <cellStyle name="常规 19 4 3 3 8 7" xfId="6045"/>
    <cellStyle name="常规 19 4 3 3 8 8" xfId="253"/>
    <cellStyle name="常规 19 4 3 3 9" xfId="18669"/>
    <cellStyle name="常规 19 4 3 3 9 2" xfId="765"/>
    <cellStyle name="常规 19 4 3 3 9 3" xfId="2561"/>
    <cellStyle name="常规 19 4 3 3 9 4" xfId="7149"/>
    <cellStyle name="常规 19 4 3 3 9 5" xfId="1200"/>
    <cellStyle name="常规 19 4 3 3 9 6" xfId="2824"/>
    <cellStyle name="常规 19 4 3 3 9 7" xfId="6057"/>
    <cellStyle name="常规 19 4 3 3 9 8" xfId="19574"/>
    <cellStyle name="常规 19 4 3 4" xfId="21603"/>
    <cellStyle name="常规 19 4 3 4 2" xfId="21643"/>
    <cellStyle name="常规 19 4 3 4 3" xfId="21653"/>
    <cellStyle name="常规 19 4 3 4 4" xfId="10057"/>
    <cellStyle name="常规 19 4 3 4 5" xfId="10113"/>
    <cellStyle name="常规 19 4 3 4 6" xfId="21660"/>
    <cellStyle name="常规 19 4 3 4 7" xfId="12574"/>
    <cellStyle name="常规 19 4 3 4 8" xfId="12581"/>
    <cellStyle name="常规 19 4 3 5" xfId="21670"/>
    <cellStyle name="常规 19 4 3 5 2" xfId="21685"/>
    <cellStyle name="常规 19 4 3 5 3" xfId="21689"/>
    <cellStyle name="常规 19 4 3 5 4" xfId="21698"/>
    <cellStyle name="常规 19 4 3 5 5" xfId="21707"/>
    <cellStyle name="常规 19 4 3 5 6" xfId="21716"/>
    <cellStyle name="常规 19 4 3 5 7" xfId="12591"/>
    <cellStyle name="常规 19 4 3 5 8" xfId="12603"/>
    <cellStyle name="常规 19 4 3 6" xfId="21893"/>
    <cellStyle name="常规 19 4 3 6 2" xfId="9788"/>
    <cellStyle name="常规 19 4 3 6 3" xfId="15983"/>
    <cellStyle name="常规 19 4 3 6 4" xfId="15985"/>
    <cellStyle name="常规 19 4 3 6 5" xfId="6514"/>
    <cellStyle name="常规 19 4 3 6 6" xfId="1172"/>
    <cellStyle name="常规 19 4 3 6 7" xfId="21894"/>
    <cellStyle name="常规 19 4 3 6 8" xfId="21896"/>
    <cellStyle name="常规 19 4 3 7" xfId="21898"/>
    <cellStyle name="常规 19 4 3 7 2" xfId="21899"/>
    <cellStyle name="常规 19 4 3 7 3" xfId="21900"/>
    <cellStyle name="常规 19 4 3 7 4" xfId="21902"/>
    <cellStyle name="常规 19 4 3 7 5" xfId="21904"/>
    <cellStyle name="常规 19 4 3 7 6" xfId="21905"/>
    <cellStyle name="常规 19 4 3 7 7" xfId="21906"/>
    <cellStyle name="常规 19 4 3 7 8" xfId="21907"/>
    <cellStyle name="常规 19 4 3 8" xfId="21909"/>
    <cellStyle name="常规 19 4 3 8 2" xfId="21912"/>
    <cellStyle name="常规 19 4 3 8 3" xfId="21914"/>
    <cellStyle name="常规 19 4 3 8 4" xfId="21916"/>
    <cellStyle name="常规 19 4 3 8 5" xfId="21918"/>
    <cellStyle name="常规 19 4 3 8 6" xfId="21919"/>
    <cellStyle name="常规 19 4 3 8 7" xfId="21920"/>
    <cellStyle name="常规 19 4 3 8 8" xfId="21923"/>
    <cellStyle name="常规 19 4 3 9" xfId="21925"/>
    <cellStyle name="常规 19 4 3 9 2" xfId="21928"/>
    <cellStyle name="常规 19 4 3 9 3" xfId="21930"/>
    <cellStyle name="常规 19 4 3 9 4" xfId="21931"/>
    <cellStyle name="常规 19 4 3 9 5" xfId="21932"/>
    <cellStyle name="常规 19 4 3 9 6" xfId="21933"/>
    <cellStyle name="常规 19 4 3 9 7" xfId="21934"/>
    <cellStyle name="常规 19 4 3 9 8" xfId="21935"/>
    <cellStyle name="常规 19 4 4" xfId="21937"/>
    <cellStyle name="常规 19 4 4 10" xfId="12375"/>
    <cellStyle name="常规 19 4 4 10 2" xfId="12296"/>
    <cellStyle name="常规 19 4 4 10 3" xfId="12305"/>
    <cellStyle name="常规 19 4 4 10 4" xfId="15254"/>
    <cellStyle name="常规 19 4 4 10 5" xfId="15256"/>
    <cellStyle name="常规 19 4 4 10 6" xfId="15258"/>
    <cellStyle name="常规 19 4 4 10 7" xfId="21939"/>
    <cellStyle name="常规 19 4 4 10 8" xfId="10900"/>
    <cellStyle name="常规 19 4 4 11" xfId="12378"/>
    <cellStyle name="常规 19 4 4 11 2" xfId="1096"/>
    <cellStyle name="常规 19 4 4 11 3" xfId="15260"/>
    <cellStyle name="常规 19 4 4 11 4" xfId="15262"/>
    <cellStyle name="常规 19 4 4 11 5" xfId="15264"/>
    <cellStyle name="常规 19 4 4 11 6" xfId="21940"/>
    <cellStyle name="常规 19 4 4 11 7" xfId="21941"/>
    <cellStyle name="常规 19 4 4 11 8" xfId="10914"/>
    <cellStyle name="常规 19 4 4 12" xfId="13113"/>
    <cellStyle name="常规 19 4 4 12 2" xfId="12312"/>
    <cellStyle name="常规 19 4 4 12 3" xfId="21943"/>
    <cellStyle name="常规 19 4 4 12 4" xfId="21945"/>
    <cellStyle name="常规 19 4 4 12 5" xfId="21947"/>
    <cellStyle name="常规 19 4 4 12 6" xfId="21949"/>
    <cellStyle name="常规 19 4 4 12 7" xfId="21951"/>
    <cellStyle name="常规 19 4 4 13" xfId="13116"/>
    <cellStyle name="常规 19 4 4 14" xfId="21953"/>
    <cellStyle name="常规 19 4 4 15" xfId="21954"/>
    <cellStyle name="常规 19 4 4 16" xfId="21956"/>
    <cellStyle name="常规 19 4 4 17" xfId="5476"/>
    <cellStyle name="常规 19 4 4 18" xfId="5482"/>
    <cellStyle name="常规 19 4 4 19" xfId="10590"/>
    <cellStyle name="常规 19 4 4 2" xfId="21959"/>
    <cellStyle name="常规 19 4 4 2 10" xfId="5957"/>
    <cellStyle name="常规 19 4 4 2 10 2" xfId="21961"/>
    <cellStyle name="常规 19 4 4 2 10 3" xfId="21963"/>
    <cellStyle name="常规 19 4 4 2 10 4" xfId="21965"/>
    <cellStyle name="常规 19 4 4 2 10 5" xfId="21967"/>
    <cellStyle name="常规 19 4 4 2 10 6" xfId="21970"/>
    <cellStyle name="常规 19 4 4 2 10 7" xfId="21973"/>
    <cellStyle name="常规 19 4 4 2 11" xfId="5960"/>
    <cellStyle name="常规 19 4 4 2 12" xfId="6487"/>
    <cellStyle name="常规 19 4 4 2 13" xfId="721"/>
    <cellStyle name="常规 19 4 4 2 14" xfId="799"/>
    <cellStyle name="常规 19 4 4 2 15" xfId="852"/>
    <cellStyle name="常规 19 4 4 2 16" xfId="7434"/>
    <cellStyle name="常规 19 4 4 2 17" xfId="9925"/>
    <cellStyle name="常规 19 4 4 2 2" xfId="21976"/>
    <cellStyle name="常规 19 4 4 2 2 2" xfId="21979"/>
    <cellStyle name="常规 19 4 4 2 2 3" xfId="21982"/>
    <cellStyle name="常规 19 4 4 2 2 4" xfId="21985"/>
    <cellStyle name="常规 19 4 4 2 2 5" xfId="21988"/>
    <cellStyle name="常规 19 4 4 2 2 6" xfId="21991"/>
    <cellStyle name="常规 19 4 4 2 2 7" xfId="21995"/>
    <cellStyle name="常规 19 4 4 2 2 8" xfId="21999"/>
    <cellStyle name="常规 19 4 4 2 3" xfId="22001"/>
    <cellStyle name="常规 19 4 4 2 3 2" xfId="1181"/>
    <cellStyle name="常规 19 4 4 2 3 3" xfId="3633"/>
    <cellStyle name="常规 19 4 4 2 3 4" xfId="3642"/>
    <cellStyle name="常规 19 4 4 2 3 5" xfId="22004"/>
    <cellStyle name="常规 19 4 4 2 3 6" xfId="22007"/>
    <cellStyle name="常规 19 4 4 2 3 7" xfId="22011"/>
    <cellStyle name="常规 19 4 4 2 3 8" xfId="22015"/>
    <cellStyle name="常规 19 4 4 2 4" xfId="22018"/>
    <cellStyle name="常规 19 4 4 2 4 2" xfId="2604"/>
    <cellStyle name="常规 19 4 4 2 4 3" xfId="3657"/>
    <cellStyle name="常规 19 4 4 2 4 4" xfId="3661"/>
    <cellStyle name="常规 19 4 4 2 4 5" xfId="22021"/>
    <cellStyle name="常规 19 4 4 2 4 6" xfId="22025"/>
    <cellStyle name="常规 19 4 4 2 4 7" xfId="22029"/>
    <cellStyle name="常规 19 4 4 2 4 8" xfId="22032"/>
    <cellStyle name="常规 19 4 4 2 5" xfId="22036"/>
    <cellStyle name="常规 19 4 4 2 5 2" xfId="22039"/>
    <cellStyle name="常规 19 4 4 2 5 3" xfId="22042"/>
    <cellStyle name="常规 19 4 4 2 5 4" xfId="22045"/>
    <cellStyle name="常规 19 4 4 2 5 5" xfId="22048"/>
    <cellStyle name="常规 19 4 4 2 5 6" xfId="22051"/>
    <cellStyle name="常规 19 4 4 2 5 7" xfId="22055"/>
    <cellStyle name="常规 19 4 4 2 5 8" xfId="5891"/>
    <cellStyle name="常规 19 4 4 2 6" xfId="22059"/>
    <cellStyle name="常规 19 4 4 2 6 2" xfId="22061"/>
    <cellStyle name="常规 19 4 4 2 6 3" xfId="22063"/>
    <cellStyle name="常规 19 4 4 2 6 4" xfId="22065"/>
    <cellStyle name="常规 19 4 4 2 6 5" xfId="4800"/>
    <cellStyle name="常规 19 4 4 2 6 6" xfId="4845"/>
    <cellStyle name="常规 19 4 4 2 6 7" xfId="1684"/>
    <cellStyle name="常规 19 4 4 2 6 8" xfId="2108"/>
    <cellStyle name="常规 19 4 4 2 7" xfId="22067"/>
    <cellStyle name="常规 19 4 4 2 7 2" xfId="19886"/>
    <cellStyle name="常规 19 4 4 2 7 3" xfId="19891"/>
    <cellStyle name="常规 19 4 4 2 7 4" xfId="19895"/>
    <cellStyle name="常规 19 4 4 2 7 5" xfId="4865"/>
    <cellStyle name="常规 19 4 4 2 7 6" xfId="4875"/>
    <cellStyle name="常规 19 4 4 2 7 7" xfId="2280"/>
    <cellStyle name="常规 19 4 4 2 7 8" xfId="2460"/>
    <cellStyle name="常规 19 4 4 2 8" xfId="22070"/>
    <cellStyle name="常规 19 4 4 2 8 2" xfId="22074"/>
    <cellStyle name="常规 19 4 4 2 8 3" xfId="22076"/>
    <cellStyle name="常规 19 4 4 2 8 4" xfId="22078"/>
    <cellStyle name="常规 19 4 4 2 8 5" xfId="1594"/>
    <cellStyle name="常规 19 4 4 2 8 6" xfId="152"/>
    <cellStyle name="常规 19 4 4 2 8 7" xfId="2642"/>
    <cellStyle name="常规 19 4 4 2 8 8" xfId="2673"/>
    <cellStyle name="常规 19 4 4 2 9" xfId="22080"/>
    <cellStyle name="常规 19 4 4 2 9 2" xfId="22084"/>
    <cellStyle name="常规 19 4 4 2 9 3" xfId="15715"/>
    <cellStyle name="常规 19 4 4 2 9 4" xfId="15719"/>
    <cellStyle name="常规 19 4 4 2 9 5" xfId="4902"/>
    <cellStyle name="常规 19 4 4 2 9 6" xfId="4915"/>
    <cellStyle name="常规 19 4 4 2 9 7" xfId="15722"/>
    <cellStyle name="常规 19 4 4 2 9 8" xfId="2840"/>
    <cellStyle name="常规 19 4 4 3" xfId="22086"/>
    <cellStyle name="常规 19 4 4 3 2" xfId="2346"/>
    <cellStyle name="常规 19 4 4 3 3" xfId="1226"/>
    <cellStyle name="常规 19 4 4 3 4" xfId="3500"/>
    <cellStyle name="常规 19 4 4 3 5" xfId="3511"/>
    <cellStyle name="常规 19 4 4 3 6" xfId="4512"/>
    <cellStyle name="常规 19 4 4 3 7" xfId="5144"/>
    <cellStyle name="常规 19 4 4 3 8" xfId="5154"/>
    <cellStyle name="常规 19 4 4 4" xfId="22089"/>
    <cellStyle name="常规 19 4 4 4 2" xfId="2418"/>
    <cellStyle name="常规 19 4 4 4 3" xfId="3521"/>
    <cellStyle name="常规 19 4 4 4 4" xfId="3529"/>
    <cellStyle name="常规 19 4 4 4 5" xfId="4516"/>
    <cellStyle name="常规 19 4 4 4 6" xfId="1310"/>
    <cellStyle name="常规 19 4 4 4 7" xfId="12613"/>
    <cellStyle name="常规 19 4 4 4 8" xfId="12618"/>
    <cellStyle name="常规 19 4 4 5" xfId="22092"/>
    <cellStyle name="常规 19 4 4 5 2" xfId="2447"/>
    <cellStyle name="常规 19 4 4 5 3" xfId="3540"/>
    <cellStyle name="常规 19 4 4 5 4" xfId="3556"/>
    <cellStyle name="常规 19 4 4 5 5" xfId="22095"/>
    <cellStyle name="常规 19 4 4 5 6" xfId="22099"/>
    <cellStyle name="常规 19 4 4 5 7" xfId="22102"/>
    <cellStyle name="常规 19 4 4 5 8" xfId="22105"/>
    <cellStyle name="常规 19 4 4 6" xfId="22108"/>
    <cellStyle name="常规 19 4 4 6 2" xfId="20251"/>
    <cellStyle name="常规 19 4 4 6 3" xfId="22109"/>
    <cellStyle name="常规 19 4 4 6 4" xfId="22110"/>
    <cellStyle name="常规 19 4 4 6 5" xfId="8281"/>
    <cellStyle name="常规 19 4 4 6 6" xfId="1480"/>
    <cellStyle name="常规 19 4 4 6 7" xfId="22111"/>
    <cellStyle name="常规 19 4 4 6 8" xfId="22113"/>
    <cellStyle name="常规 19 4 4 7" xfId="22115"/>
    <cellStyle name="常规 19 4 4 7 2" xfId="20254"/>
    <cellStyle name="常规 19 4 4 7 3" xfId="22117"/>
    <cellStyle name="常规 19 4 4 7 4" xfId="22119"/>
    <cellStyle name="常规 19 4 4 7 5" xfId="22121"/>
    <cellStyle name="常规 19 4 4 7 6" xfId="22122"/>
    <cellStyle name="常规 19 4 4 7 7" xfId="22123"/>
    <cellStyle name="常规 19 4 4 7 8" xfId="22124"/>
    <cellStyle name="常规 19 4 4 8" xfId="22126"/>
    <cellStyle name="常规 19 4 4 8 2" xfId="20260"/>
    <cellStyle name="常规 19 4 4 8 3" xfId="22129"/>
    <cellStyle name="常规 19 4 4 8 4" xfId="22130"/>
    <cellStyle name="常规 19 4 4 8 5" xfId="22131"/>
    <cellStyle name="常规 19 4 4 8 6" xfId="22132"/>
    <cellStyle name="常规 19 4 4 8 7" xfId="22133"/>
    <cellStyle name="常规 19 4 4 8 8" xfId="22134"/>
    <cellStyle name="常规 19 4 4 9" xfId="22136"/>
    <cellStyle name="常规 19 4 4 9 2" xfId="20266"/>
    <cellStyle name="常规 19 4 4 9 3" xfId="22138"/>
    <cellStyle name="常规 19 4 4 9 4" xfId="22139"/>
    <cellStyle name="常规 19 4 4 9 5" xfId="22141"/>
    <cellStyle name="常规 19 4 4 9 6" xfId="22143"/>
    <cellStyle name="常规 19 4 4 9 7" xfId="22145"/>
    <cellStyle name="常规 19 4 4 9 8" xfId="22147"/>
    <cellStyle name="常规 19 4 5" xfId="22150"/>
    <cellStyle name="常规 19 4 5 10" xfId="4260"/>
    <cellStyle name="常规 19 4 5 10 2" xfId="15710"/>
    <cellStyle name="常规 19 4 5 10 3" xfId="15712"/>
    <cellStyle name="常规 19 4 5 10 4" xfId="11395"/>
    <cellStyle name="常规 19 4 5 10 5" xfId="22152"/>
    <cellStyle name="常规 19 4 5 10 6" xfId="2794"/>
    <cellStyle name="常规 19 4 5 10 7" xfId="2982"/>
    <cellStyle name="常规 19 4 5 10 8" xfId="22154"/>
    <cellStyle name="常规 19 4 5 11" xfId="5106"/>
    <cellStyle name="常规 19 4 5 11 2" xfId="9635"/>
    <cellStyle name="常规 19 4 5 11 3" xfId="3078"/>
    <cellStyle name="常规 19 4 5 11 4" xfId="262"/>
    <cellStyle name="常规 19 4 5 11 5" xfId="4197"/>
    <cellStyle name="常规 19 4 5 11 6" xfId="11003"/>
    <cellStyle name="常规 19 4 5 11 7" xfId="5022"/>
    <cellStyle name="常规 19 4 5 11 8" xfId="5026"/>
    <cellStyle name="常规 19 4 5 12" xfId="466"/>
    <cellStyle name="常规 19 4 5 12 2" xfId="9648"/>
    <cellStyle name="常规 19 4 5 12 3" xfId="548"/>
    <cellStyle name="常规 19 4 5 12 4" xfId="1650"/>
    <cellStyle name="常规 19 4 5 12 5" xfId="10689"/>
    <cellStyle name="常规 19 4 5 12 6" xfId="22155"/>
    <cellStyle name="常规 19 4 5 12 7" xfId="7440"/>
    <cellStyle name="常规 19 4 5 13" xfId="10354"/>
    <cellStyle name="常规 19 4 5 14" xfId="10359"/>
    <cellStyle name="常规 19 4 5 15" xfId="22156"/>
    <cellStyle name="常规 19 4 5 16" xfId="22157"/>
    <cellStyle name="常规 19 4 5 17" xfId="22158"/>
    <cellStyle name="常规 19 4 5 18" xfId="22159"/>
    <cellStyle name="常规 19 4 5 19" xfId="22161"/>
    <cellStyle name="常规 19 4 5 2" xfId="22164"/>
    <cellStyle name="常规 19 4 5 2 10" xfId="22166"/>
    <cellStyle name="常规 19 4 5 2 10 2" xfId="22167"/>
    <cellStyle name="常规 19 4 5 2 10 3" xfId="22168"/>
    <cellStyle name="常规 19 4 5 2 10 4" xfId="22169"/>
    <cellStyle name="常规 19 4 5 2 10 5" xfId="22170"/>
    <cellStyle name="常规 19 4 5 2 10 6" xfId="22171"/>
    <cellStyle name="常规 19 4 5 2 10 7" xfId="22172"/>
    <cellStyle name="常规 19 4 5 2 11" xfId="22173"/>
    <cellStyle name="常规 19 4 5 2 12" xfId="22174"/>
    <cellStyle name="常规 19 4 5 2 13" xfId="22176"/>
    <cellStyle name="常规 19 4 5 2 14" xfId="4987"/>
    <cellStyle name="常规 19 4 5 2 15" xfId="5003"/>
    <cellStyle name="常规 19 4 5 2 16" xfId="22178"/>
    <cellStyle name="常规 19 4 5 2 17" xfId="22180"/>
    <cellStyle name="常规 19 4 5 2 2" xfId="22182"/>
    <cellStyle name="常规 19 4 5 2 2 2" xfId="22184"/>
    <cellStyle name="常规 19 4 5 2 2 3" xfId="22185"/>
    <cellStyle name="常规 19 4 5 2 2 4" xfId="22186"/>
    <cellStyle name="常规 19 4 5 2 2 5" xfId="22187"/>
    <cellStyle name="常规 19 4 5 2 2 6" xfId="22188"/>
    <cellStyle name="常规 19 4 5 2 2 7" xfId="22191"/>
    <cellStyle name="常规 19 4 5 2 2 8" xfId="22194"/>
    <cellStyle name="常规 19 4 5 2 3" xfId="22195"/>
    <cellStyle name="常规 19 4 5 2 3 2" xfId="2758"/>
    <cellStyle name="常规 19 4 5 2 3 3" xfId="22197"/>
    <cellStyle name="常规 19 4 5 2 3 4" xfId="22198"/>
    <cellStyle name="常规 19 4 5 2 3 5" xfId="22199"/>
    <cellStyle name="常规 19 4 5 2 3 6" xfId="22200"/>
    <cellStyle name="常规 19 4 5 2 3 7" xfId="22201"/>
    <cellStyle name="常规 19 4 5 2 3 8" xfId="15267"/>
    <cellStyle name="常规 19 4 5 2 4" xfId="22202"/>
    <cellStyle name="常规 19 4 5 2 4 2" xfId="2781"/>
    <cellStyle name="常规 19 4 5 2 4 3" xfId="22204"/>
    <cellStyle name="常规 19 4 5 2 4 4" xfId="22205"/>
    <cellStyle name="常规 19 4 5 2 4 5" xfId="8021"/>
    <cellStyle name="常规 19 4 5 2 4 6" xfId="8024"/>
    <cellStyle name="常规 19 4 5 2 4 7" xfId="22206"/>
    <cellStyle name="常规 19 4 5 2 4 8" xfId="22208"/>
    <cellStyle name="常规 19 4 5 2 5" xfId="22209"/>
    <cellStyle name="常规 19 4 5 2 5 2" xfId="22211"/>
    <cellStyle name="常规 19 4 5 2 5 3" xfId="22212"/>
    <cellStyle name="常规 19 4 5 2 5 4" xfId="22214"/>
    <cellStyle name="常规 19 4 5 2 5 5" xfId="22216"/>
    <cellStyle name="常规 19 4 5 2 5 6" xfId="22218"/>
    <cellStyle name="常规 19 4 5 2 5 7" xfId="22220"/>
    <cellStyle name="常规 19 4 5 2 5 8" xfId="5952"/>
    <cellStyle name="常规 19 4 5 2 6" xfId="22222"/>
    <cellStyle name="常规 19 4 5 2 6 2" xfId="16952"/>
    <cellStyle name="常规 19 4 5 2 6 3" xfId="16954"/>
    <cellStyle name="常规 19 4 5 2 6 4" xfId="16957"/>
    <cellStyle name="常规 19 4 5 2 6 5" xfId="16960"/>
    <cellStyle name="常规 19 4 5 2 6 6" xfId="16963"/>
    <cellStyle name="常规 19 4 5 2 6 7" xfId="22224"/>
    <cellStyle name="常规 19 4 5 2 6 8" xfId="22225"/>
    <cellStyle name="常规 19 4 5 2 7" xfId="22226"/>
    <cellStyle name="常规 19 4 5 2 7 2" xfId="16971"/>
    <cellStyle name="常规 19 4 5 2 7 3" xfId="16975"/>
    <cellStyle name="常规 19 4 5 2 7 4" xfId="16980"/>
    <cellStyle name="常规 19 4 5 2 7 5" xfId="16985"/>
    <cellStyle name="常规 19 4 5 2 7 6" xfId="16989"/>
    <cellStyle name="常规 19 4 5 2 7 7" xfId="22230"/>
    <cellStyle name="常规 19 4 5 2 7 8" xfId="3302"/>
    <cellStyle name="常规 19 4 5 2 8" xfId="22232"/>
    <cellStyle name="常规 19 4 5 2 8 2" xfId="16999"/>
    <cellStyle name="常规 19 4 5 2 8 3" xfId="17002"/>
    <cellStyle name="常规 19 4 5 2 8 4" xfId="17006"/>
    <cellStyle name="常规 19 4 5 2 8 5" xfId="17010"/>
    <cellStyle name="常规 19 4 5 2 8 6" xfId="22236"/>
    <cellStyle name="常规 19 4 5 2 8 7" xfId="22238"/>
    <cellStyle name="常规 19 4 5 2 8 8" xfId="631"/>
    <cellStyle name="常规 19 4 5 2 9" xfId="22240"/>
    <cellStyle name="常规 19 4 5 2 9 2" xfId="22243"/>
    <cellStyle name="常规 19 4 5 2 9 3" xfId="22245"/>
    <cellStyle name="常规 19 4 5 2 9 4" xfId="22247"/>
    <cellStyle name="常规 19 4 5 2 9 5" xfId="22249"/>
    <cellStyle name="常规 19 4 5 2 9 6" xfId="22251"/>
    <cellStyle name="常规 19 4 5 2 9 7" xfId="22253"/>
    <cellStyle name="常规 19 4 5 2 9 8" xfId="667"/>
    <cellStyle name="常规 19 4 5 3" xfId="22255"/>
    <cellStyle name="常规 19 4 5 3 2" xfId="2486"/>
    <cellStyle name="常规 19 4 5 3 3" xfId="3574"/>
    <cellStyle name="常规 19 4 5 3 4" xfId="3584"/>
    <cellStyle name="常规 19 4 5 3 5" xfId="4525"/>
    <cellStyle name="常规 19 4 5 3 6" xfId="4528"/>
    <cellStyle name="常规 19 4 5 3 7" xfId="22258"/>
    <cellStyle name="常规 19 4 5 3 8" xfId="22260"/>
    <cellStyle name="常规 19 4 5 4" xfId="22262"/>
    <cellStyle name="常规 19 4 5 4 2" xfId="2524"/>
    <cellStyle name="常规 19 4 5 4 3" xfId="3590"/>
    <cellStyle name="常规 19 4 5 4 4" xfId="3603"/>
    <cellStyle name="常规 19 4 5 4 5" xfId="22265"/>
    <cellStyle name="常规 19 4 5 4 6" xfId="22268"/>
    <cellStyle name="常规 19 4 5 4 7" xfId="22271"/>
    <cellStyle name="常规 19 4 5 4 8" xfId="22273"/>
    <cellStyle name="常规 19 4 5 5" xfId="5764"/>
    <cellStyle name="常规 19 4 5 5 2" xfId="5768"/>
    <cellStyle name="常规 19 4 5 5 3" xfId="4639"/>
    <cellStyle name="常规 19 4 5 5 4" xfId="4652"/>
    <cellStyle name="常规 19 4 5 5 5" xfId="5864"/>
    <cellStyle name="常规 19 4 5 5 6" xfId="1718"/>
    <cellStyle name="常规 19 4 5 5 7" xfId="1747"/>
    <cellStyle name="常规 19 4 5 5 8" xfId="20786"/>
    <cellStyle name="常规 19 4 5 6" xfId="5874"/>
    <cellStyle name="常规 19 4 5 6 2" xfId="5879"/>
    <cellStyle name="常规 19 4 5 6 3" xfId="5941"/>
    <cellStyle name="常规 19 4 5 6 4" xfId="5962"/>
    <cellStyle name="常规 19 4 5 6 5" xfId="4626"/>
    <cellStyle name="常规 19 4 5 6 6" xfId="1765"/>
    <cellStyle name="常规 19 4 5 6 7" xfId="1773"/>
    <cellStyle name="常规 19 4 5 6 8" xfId="4670"/>
    <cellStyle name="常规 19 4 5 7" xfId="5044"/>
    <cellStyle name="常规 19 4 5 7 2" xfId="5055"/>
    <cellStyle name="常规 19 4 5 7 3" xfId="5078"/>
    <cellStyle name="常规 19 4 5 7 4" xfId="5446"/>
    <cellStyle name="常规 19 4 5 7 5" xfId="4678"/>
    <cellStyle name="常规 19 4 5 7 6" xfId="4706"/>
    <cellStyle name="常规 19 4 5 7 7" xfId="4712"/>
    <cellStyle name="常规 19 4 5 7 8" xfId="10303"/>
    <cellStyle name="常规 19 4 5 8" xfId="5087"/>
    <cellStyle name="常规 19 4 5 8 2" xfId="5099"/>
    <cellStyle name="常规 19 4 5 8 3" xfId="471"/>
    <cellStyle name="常规 19 4 5 8 4" xfId="6076"/>
    <cellStyle name="常规 19 4 5 8 5" xfId="1490"/>
    <cellStyle name="常规 19 4 5 8 6" xfId="1533"/>
    <cellStyle name="常规 19 4 5 8 7" xfId="4754"/>
    <cellStyle name="常规 19 4 5 8 8" xfId="6599"/>
    <cellStyle name="常规 19 4 5 9" xfId="5112"/>
    <cellStyle name="常规 19 4 5 9 2" xfId="6102"/>
    <cellStyle name="常规 19 4 5 9 3" xfId="6112"/>
    <cellStyle name="常规 19 4 5 9 4" xfId="6125"/>
    <cellStyle name="常规 19 4 5 9 5" xfId="1553"/>
    <cellStyle name="常规 19 4 5 9 6" xfId="1565"/>
    <cellStyle name="常规 19 4 5 9 7" xfId="6068"/>
    <cellStyle name="常规 19 4 5 9 8" xfId="9314"/>
    <cellStyle name="常规 19 4 6" xfId="21958"/>
    <cellStyle name="常规 19 4 6 10" xfId="5956"/>
    <cellStyle name="常规 19 4 6 10 2" xfId="21960"/>
    <cellStyle name="常规 19 4 6 10 3" xfId="21962"/>
    <cellStyle name="常规 19 4 6 10 4" xfId="21964"/>
    <cellStyle name="常规 19 4 6 10 5" xfId="21966"/>
    <cellStyle name="常规 19 4 6 10 6" xfId="21969"/>
    <cellStyle name="常规 19 4 6 10 7" xfId="21972"/>
    <cellStyle name="常规 19 4 6 11" xfId="5959"/>
    <cellStyle name="常规 19 4 6 12" xfId="6486"/>
    <cellStyle name="常规 19 4 6 13" xfId="722"/>
    <cellStyle name="常规 19 4 6 14" xfId="800"/>
    <cellStyle name="常规 19 4 6 15" xfId="853"/>
    <cellStyle name="常规 19 4 6 16" xfId="7433"/>
    <cellStyle name="常规 19 4 6 17" xfId="9926"/>
    <cellStyle name="常规 19 4 6 2" xfId="21975"/>
    <cellStyle name="常规 19 4 6 2 2" xfId="21978"/>
    <cellStyle name="常规 19 4 6 2 3" xfId="21981"/>
    <cellStyle name="常规 19 4 6 2 4" xfId="21984"/>
    <cellStyle name="常规 19 4 6 2 5" xfId="21987"/>
    <cellStyle name="常规 19 4 6 2 6" xfId="21990"/>
    <cellStyle name="常规 19 4 6 2 7" xfId="21994"/>
    <cellStyle name="常规 19 4 6 2 8" xfId="21998"/>
    <cellStyle name="常规 19 4 6 3" xfId="22002"/>
    <cellStyle name="常规 19 4 6 3 2" xfId="1182"/>
    <cellStyle name="常规 19 4 6 3 3" xfId="3630"/>
    <cellStyle name="常规 19 4 6 3 4" xfId="3640"/>
    <cellStyle name="常规 19 4 6 3 5" xfId="22005"/>
    <cellStyle name="常规 19 4 6 3 6" xfId="22008"/>
    <cellStyle name="常规 19 4 6 3 7" xfId="22012"/>
    <cellStyle name="常规 19 4 6 3 8" xfId="22016"/>
    <cellStyle name="常规 19 4 6 4" xfId="22019"/>
    <cellStyle name="常规 19 4 6 4 2" xfId="2603"/>
    <cellStyle name="常规 19 4 6 4 3" xfId="3655"/>
    <cellStyle name="常规 19 4 6 4 4" xfId="3659"/>
    <cellStyle name="常规 19 4 6 4 5" xfId="22022"/>
    <cellStyle name="常规 19 4 6 4 6" xfId="22026"/>
    <cellStyle name="常规 19 4 6 4 7" xfId="22030"/>
    <cellStyle name="常规 19 4 6 4 8" xfId="22033"/>
    <cellStyle name="常规 19 4 6 5" xfId="22037"/>
    <cellStyle name="常规 19 4 6 5 2" xfId="22040"/>
    <cellStyle name="常规 19 4 6 5 3" xfId="22043"/>
    <cellStyle name="常规 19 4 6 5 4" xfId="22046"/>
    <cellStyle name="常规 19 4 6 5 5" xfId="22049"/>
    <cellStyle name="常规 19 4 6 5 6" xfId="22052"/>
    <cellStyle name="常规 19 4 6 5 7" xfId="22056"/>
    <cellStyle name="常规 19 4 6 5 8" xfId="5892"/>
    <cellStyle name="常规 19 4 6 6" xfId="22060"/>
    <cellStyle name="常规 19 4 6 6 2" xfId="22062"/>
    <cellStyle name="常规 19 4 6 6 3" xfId="22064"/>
    <cellStyle name="常规 19 4 6 6 4" xfId="22066"/>
    <cellStyle name="常规 19 4 6 6 5" xfId="4801"/>
    <cellStyle name="常规 19 4 6 6 6" xfId="4846"/>
    <cellStyle name="常规 19 4 6 6 7" xfId="1685"/>
    <cellStyle name="常规 19 4 6 6 8" xfId="2107"/>
    <cellStyle name="常规 19 4 6 7" xfId="22068"/>
    <cellStyle name="常规 19 4 6 7 2" xfId="19888"/>
    <cellStyle name="常规 19 4 6 7 3" xfId="19893"/>
    <cellStyle name="常规 19 4 6 7 4" xfId="19897"/>
    <cellStyle name="常规 19 4 6 7 5" xfId="4867"/>
    <cellStyle name="常规 19 4 6 7 6" xfId="4877"/>
    <cellStyle name="常规 19 4 6 7 7" xfId="2278"/>
    <cellStyle name="常规 19 4 6 7 8" xfId="2458"/>
    <cellStyle name="常规 19 4 6 8" xfId="22071"/>
    <cellStyle name="常规 19 4 6 8 2" xfId="22075"/>
    <cellStyle name="常规 19 4 6 8 3" xfId="22077"/>
    <cellStyle name="常规 19 4 6 8 4" xfId="22079"/>
    <cellStyle name="常规 19 4 6 8 5" xfId="1595"/>
    <cellStyle name="常规 19 4 6 8 6" xfId="153"/>
    <cellStyle name="常规 19 4 6 8 7" xfId="2641"/>
    <cellStyle name="常规 19 4 6 8 8" xfId="2671"/>
    <cellStyle name="常规 19 4 6 9" xfId="22081"/>
    <cellStyle name="常规 19 4 6 9 2" xfId="22085"/>
    <cellStyle name="常规 19 4 6 9 3" xfId="15713"/>
    <cellStyle name="常规 19 4 6 9 4" xfId="15717"/>
    <cellStyle name="常规 19 4 6 9 5" xfId="4904"/>
    <cellStyle name="常规 19 4 6 9 6" xfId="4917"/>
    <cellStyle name="常规 19 4 6 9 7" xfId="15720"/>
    <cellStyle name="常规 19 4 6 9 8" xfId="2838"/>
    <cellStyle name="常规 19 4 7" xfId="22087"/>
    <cellStyle name="常规 19 4 7 2" xfId="2345"/>
    <cellStyle name="常规 19 4 7 3" xfId="1228"/>
    <cellStyle name="常规 19 4 7 4" xfId="3498"/>
    <cellStyle name="常规 19 4 7 5" xfId="3509"/>
    <cellStyle name="常规 19 4 7 6" xfId="4513"/>
    <cellStyle name="常规 19 4 7 7" xfId="5146"/>
    <cellStyle name="常规 19 4 7 8" xfId="5156"/>
    <cellStyle name="常规 19 4 8" xfId="22090"/>
    <cellStyle name="常规 19 4 8 2" xfId="2416"/>
    <cellStyle name="常规 19 4 8 3" xfId="3519"/>
    <cellStyle name="常规 19 4 8 4" xfId="3527"/>
    <cellStyle name="常规 19 4 8 5" xfId="4517"/>
    <cellStyle name="常规 19 4 8 6" xfId="1311"/>
    <cellStyle name="常规 19 4 8 7" xfId="12612"/>
    <cellStyle name="常规 19 4 8 8" xfId="12617"/>
    <cellStyle name="常规 19 4 9" xfId="22093"/>
    <cellStyle name="常规 19 4 9 2" xfId="2445"/>
    <cellStyle name="常规 19 4 9 3" xfId="3538"/>
    <cellStyle name="常规 19 4 9 4" xfId="3554"/>
    <cellStyle name="常规 19 4 9 5" xfId="22096"/>
    <cellStyle name="常规 19 4 9 6" xfId="22100"/>
    <cellStyle name="常规 19 4 9 7" xfId="22103"/>
    <cellStyle name="常规 19 4 9 8" xfId="22106"/>
    <cellStyle name="常规 19 5" xfId="12671"/>
    <cellStyle name="常规 19 5 10" xfId="22276"/>
    <cellStyle name="常规 19 5 10 2" xfId="22278"/>
    <cellStyle name="常规 19 5 10 3" xfId="22279"/>
    <cellStyle name="常规 19 5 10 4" xfId="22280"/>
    <cellStyle name="常规 19 5 10 5" xfId="22281"/>
    <cellStyle name="常规 19 5 10 6" xfId="22282"/>
    <cellStyle name="常规 19 5 10 7" xfId="22283"/>
    <cellStyle name="常规 19 5 10 8" xfId="16854"/>
    <cellStyle name="常规 19 5 11" xfId="22284"/>
    <cellStyle name="常规 19 5 11 2" xfId="22286"/>
    <cellStyle name="常规 19 5 11 3" xfId="22287"/>
    <cellStyle name="常规 19 5 11 4" xfId="22288"/>
    <cellStyle name="常规 19 5 11 5" xfId="22289"/>
    <cellStyle name="常规 19 5 11 6" xfId="22290"/>
    <cellStyle name="常规 19 5 11 7" xfId="22291"/>
    <cellStyle name="常规 19 5 11 8" xfId="16879"/>
    <cellStyle name="常规 19 5 12" xfId="22292"/>
    <cellStyle name="常规 19 5 12 2" xfId="22293"/>
    <cellStyle name="常规 19 5 12 3" xfId="22294"/>
    <cellStyle name="常规 19 5 12 4" xfId="22296"/>
    <cellStyle name="常规 19 5 12 5" xfId="22298"/>
    <cellStyle name="常规 19 5 12 6" xfId="22299"/>
    <cellStyle name="常规 19 5 12 7" xfId="22300"/>
    <cellStyle name="常规 19 5 12 8" xfId="16900"/>
    <cellStyle name="常规 19 5 13" xfId="22301"/>
    <cellStyle name="常规 19 5 13 2" xfId="22303"/>
    <cellStyle name="常规 19 5 13 3" xfId="22305"/>
    <cellStyle name="常规 19 5 13 4" xfId="22307"/>
    <cellStyle name="常规 19 5 13 5" xfId="22309"/>
    <cellStyle name="常规 19 5 13 6" xfId="22311"/>
    <cellStyle name="常规 19 5 13 7" xfId="22313"/>
    <cellStyle name="常规 19 5 13 8" xfId="4558"/>
    <cellStyle name="常规 19 5 14" xfId="22315"/>
    <cellStyle name="常规 19 5 14 2" xfId="22318"/>
    <cellStyle name="常规 19 5 14 3" xfId="22320"/>
    <cellStyle name="常规 19 5 14 4" xfId="22321"/>
    <cellStyle name="常规 19 5 14 5" xfId="22323"/>
    <cellStyle name="常规 19 5 14 6" xfId="22325"/>
    <cellStyle name="常规 19 5 14 7" xfId="22327"/>
    <cellStyle name="常规 19 5 14 8" xfId="22329"/>
    <cellStyle name="常规 19 5 15" xfId="22331"/>
    <cellStyle name="常规 19 5 15 2" xfId="9988"/>
    <cellStyle name="常规 19 5 15 3" xfId="22335"/>
    <cellStyle name="常规 19 5 15 4" xfId="22337"/>
    <cellStyle name="常规 19 5 15 5" xfId="22339"/>
    <cellStyle name="常规 19 5 15 6" xfId="22341"/>
    <cellStyle name="常规 19 5 15 7" xfId="22343"/>
    <cellStyle name="常规 19 5 16" xfId="22345"/>
    <cellStyle name="常规 19 5 17" xfId="767"/>
    <cellStyle name="常规 19 5 18" xfId="2563"/>
    <cellStyle name="常规 19 5 19" xfId="22348"/>
    <cellStyle name="常规 19 5 2" xfId="22349"/>
    <cellStyle name="常规 19 5 2 10" xfId="22350"/>
    <cellStyle name="常规 19 5 2 10 2" xfId="22351"/>
    <cellStyle name="常规 19 5 2 10 3" xfId="5722"/>
    <cellStyle name="常规 19 5 2 10 4" xfId="5731"/>
    <cellStyle name="常规 19 5 2 10 5" xfId="12428"/>
    <cellStyle name="常规 19 5 2 10 6" xfId="22352"/>
    <cellStyle name="常规 19 5 2 10 7" xfId="22353"/>
    <cellStyle name="常规 19 5 2 10 8" xfId="22354"/>
    <cellStyle name="常规 19 5 2 11" xfId="22356"/>
    <cellStyle name="常规 19 5 2 11 2" xfId="22358"/>
    <cellStyle name="常规 19 5 2 11 3" xfId="22359"/>
    <cellStyle name="常规 19 5 2 11 4" xfId="22360"/>
    <cellStyle name="常规 19 5 2 11 5" xfId="22361"/>
    <cellStyle name="常规 19 5 2 11 6" xfId="22362"/>
    <cellStyle name="常规 19 5 2 11 7" xfId="22363"/>
    <cellStyle name="常规 19 5 2 11 8" xfId="22364"/>
    <cellStyle name="常规 19 5 2 12" xfId="22365"/>
    <cellStyle name="常规 19 5 2 12 2" xfId="22368"/>
    <cellStyle name="常规 19 5 2 12 3" xfId="22369"/>
    <cellStyle name="常规 19 5 2 12 4" xfId="22370"/>
    <cellStyle name="常规 19 5 2 12 5" xfId="22371"/>
    <cellStyle name="常规 19 5 2 12 6" xfId="22372"/>
    <cellStyle name="常规 19 5 2 12 7" xfId="22373"/>
    <cellStyle name="常规 19 5 2 12 8" xfId="22374"/>
    <cellStyle name="常规 19 5 2 13" xfId="22375"/>
    <cellStyle name="常规 19 5 2 13 2" xfId="22377"/>
    <cellStyle name="常规 19 5 2 13 3" xfId="22378"/>
    <cellStyle name="常规 19 5 2 13 4" xfId="22379"/>
    <cellStyle name="常规 19 5 2 13 5" xfId="22380"/>
    <cellStyle name="常规 19 5 2 13 6" xfId="22381"/>
    <cellStyle name="常规 19 5 2 13 7" xfId="12653"/>
    <cellStyle name="常规 19 5 2 14" xfId="22382"/>
    <cellStyle name="常规 19 5 2 15" xfId="22384"/>
    <cellStyle name="常规 19 5 2 16" xfId="10090"/>
    <cellStyle name="常规 19 5 2 17" xfId="10099"/>
    <cellStyle name="常规 19 5 2 18" xfId="22388"/>
    <cellStyle name="常规 19 5 2 19" xfId="22392"/>
    <cellStyle name="常规 19 5 2 2" xfId="22395"/>
    <cellStyle name="常规 19 5 2 2 10" xfId="22397"/>
    <cellStyle name="常规 19 5 2 2 10 2" xfId="22398"/>
    <cellStyle name="常规 19 5 2 2 10 3" xfId="22399"/>
    <cellStyle name="常规 19 5 2 2 10 4" xfId="22400"/>
    <cellStyle name="常规 19 5 2 2 10 5" xfId="22401"/>
    <cellStyle name="常规 19 5 2 2 10 6" xfId="22402"/>
    <cellStyle name="常规 19 5 2 2 10 7" xfId="22403"/>
    <cellStyle name="常规 19 5 2 2 10 8" xfId="22404"/>
    <cellStyle name="常规 19 5 2 2 11" xfId="22405"/>
    <cellStyle name="常规 19 5 2 2 11 2" xfId="22406"/>
    <cellStyle name="常规 19 5 2 2 11 3" xfId="22407"/>
    <cellStyle name="常规 19 5 2 2 11 4" xfId="22408"/>
    <cellStyle name="常规 19 5 2 2 11 5" xfId="22409"/>
    <cellStyle name="常规 19 5 2 2 11 6" xfId="22410"/>
    <cellStyle name="常规 19 5 2 2 11 7" xfId="22411"/>
    <cellStyle name="常规 19 5 2 2 11 8" xfId="22412"/>
    <cellStyle name="常规 19 5 2 2 12" xfId="22413"/>
    <cellStyle name="常规 19 5 2 2 12 2" xfId="5760"/>
    <cellStyle name="常规 19 5 2 2 12 3" xfId="22414"/>
    <cellStyle name="常规 19 5 2 2 12 4" xfId="22415"/>
    <cellStyle name="常规 19 5 2 2 12 5" xfId="22416"/>
    <cellStyle name="常规 19 5 2 2 12 6" xfId="22417"/>
    <cellStyle name="常规 19 5 2 2 12 7" xfId="22418"/>
    <cellStyle name="常规 19 5 2 2 13" xfId="22420"/>
    <cellStyle name="常规 19 5 2 2 14" xfId="22421"/>
    <cellStyle name="常规 19 5 2 2 15" xfId="22422"/>
    <cellStyle name="常规 19 5 2 2 16" xfId="22423"/>
    <cellStyle name="常规 19 5 2 2 17" xfId="6534"/>
    <cellStyle name="常规 19 5 2 2 18" xfId="11757"/>
    <cellStyle name="常规 19 5 2 2 19" xfId="22424"/>
    <cellStyle name="常规 19 5 2 2 2" xfId="22426"/>
    <cellStyle name="常规 19 5 2 2 2 10" xfId="22427"/>
    <cellStyle name="常规 19 5 2 2 2 10 2" xfId="22428"/>
    <cellStyle name="常规 19 5 2 2 2 10 3" xfId="22430"/>
    <cellStyle name="常规 19 5 2 2 2 10 4" xfId="22431"/>
    <cellStyle name="常规 19 5 2 2 2 10 5" xfId="22432"/>
    <cellStyle name="常规 19 5 2 2 2 10 6" xfId="22433"/>
    <cellStyle name="常规 19 5 2 2 2 10 7" xfId="22434"/>
    <cellStyle name="常规 19 5 2 2 2 11" xfId="22435"/>
    <cellStyle name="常规 19 5 2 2 2 12" xfId="22437"/>
    <cellStyle name="常规 19 5 2 2 2 13" xfId="22439"/>
    <cellStyle name="常规 19 5 2 2 2 14" xfId="17446"/>
    <cellStyle name="常规 19 5 2 2 2 15" xfId="17451"/>
    <cellStyle name="常规 19 5 2 2 2 16" xfId="17456"/>
    <cellStyle name="常规 19 5 2 2 2 17" xfId="17460"/>
    <cellStyle name="常规 19 5 2 2 2 2" xfId="22140"/>
    <cellStyle name="常规 19 5 2 2 2 2 2" xfId="22440"/>
    <cellStyle name="常规 19 5 2 2 2 2 3" xfId="22441"/>
    <cellStyle name="常规 19 5 2 2 2 2 4" xfId="22442"/>
    <cellStyle name="常规 19 5 2 2 2 2 5" xfId="22443"/>
    <cellStyle name="常规 19 5 2 2 2 2 6" xfId="22444"/>
    <cellStyle name="常规 19 5 2 2 2 2 7" xfId="22445"/>
    <cellStyle name="常规 19 5 2 2 2 2 8" xfId="22446"/>
    <cellStyle name="常规 19 5 2 2 2 3" xfId="22142"/>
    <cellStyle name="常规 19 5 2 2 2 3 2" xfId="11067"/>
    <cellStyle name="常规 19 5 2 2 2 3 3" xfId="22447"/>
    <cellStyle name="常规 19 5 2 2 2 3 4" xfId="4827"/>
    <cellStyle name="常规 19 5 2 2 2 3 5" xfId="4833"/>
    <cellStyle name="常规 19 5 2 2 2 3 6" xfId="12723"/>
    <cellStyle name="常规 19 5 2 2 2 3 7" xfId="12727"/>
    <cellStyle name="常规 19 5 2 2 2 3 8" xfId="22449"/>
    <cellStyle name="常规 19 5 2 2 2 4" xfId="22144"/>
    <cellStyle name="常规 19 5 2 2 2 4 2" xfId="11074"/>
    <cellStyle name="常规 19 5 2 2 2 4 3" xfId="22450"/>
    <cellStyle name="常规 19 5 2 2 2 4 4" xfId="22451"/>
    <cellStyle name="常规 19 5 2 2 2 4 5" xfId="22452"/>
    <cellStyle name="常规 19 5 2 2 2 4 6" xfId="22453"/>
    <cellStyle name="常规 19 5 2 2 2 4 7" xfId="22454"/>
    <cellStyle name="常规 19 5 2 2 2 4 8" xfId="22455"/>
    <cellStyle name="常规 19 5 2 2 2 5" xfId="22146"/>
    <cellStyle name="常规 19 5 2 2 2 5 2" xfId="22456"/>
    <cellStyle name="常规 19 5 2 2 2 5 3" xfId="22457"/>
    <cellStyle name="常规 19 5 2 2 2 5 4" xfId="22458"/>
    <cellStyle name="常规 19 5 2 2 2 5 5" xfId="22459"/>
    <cellStyle name="常规 19 5 2 2 2 5 6" xfId="22460"/>
    <cellStyle name="常规 19 5 2 2 2 5 7" xfId="22461"/>
    <cellStyle name="常规 19 5 2 2 2 5 8" xfId="22462"/>
    <cellStyle name="常规 19 5 2 2 2 6" xfId="22148"/>
    <cellStyle name="常规 19 5 2 2 2 6 2" xfId="22463"/>
    <cellStyle name="常规 19 5 2 2 2 6 3" xfId="22464"/>
    <cellStyle name="常规 19 5 2 2 2 6 4" xfId="22466"/>
    <cellStyle name="常规 19 5 2 2 2 6 5" xfId="22468"/>
    <cellStyle name="常规 19 5 2 2 2 6 6" xfId="22469"/>
    <cellStyle name="常规 19 5 2 2 2 6 7" xfId="22470"/>
    <cellStyle name="常规 19 5 2 2 2 6 8" xfId="22471"/>
    <cellStyle name="常规 19 5 2 2 2 7" xfId="22472"/>
    <cellStyle name="常规 19 5 2 2 2 7 2" xfId="22474"/>
    <cellStyle name="常规 19 5 2 2 2 7 3" xfId="22475"/>
    <cellStyle name="常规 19 5 2 2 2 7 4" xfId="22477"/>
    <cellStyle name="常规 19 5 2 2 2 7 5" xfId="22479"/>
    <cellStyle name="常规 19 5 2 2 2 7 6" xfId="22480"/>
    <cellStyle name="常规 19 5 2 2 2 7 7" xfId="22481"/>
    <cellStyle name="常规 19 5 2 2 2 7 8" xfId="22482"/>
    <cellStyle name="常规 19 5 2 2 2 8" xfId="22484"/>
    <cellStyle name="常规 19 5 2 2 2 8 2" xfId="22485"/>
    <cellStyle name="常规 19 5 2 2 2 8 3" xfId="22486"/>
    <cellStyle name="常规 19 5 2 2 2 8 4" xfId="22487"/>
    <cellStyle name="常规 19 5 2 2 2 8 5" xfId="22488"/>
    <cellStyle name="常规 19 5 2 2 2 8 6" xfId="22489"/>
    <cellStyle name="常规 19 5 2 2 2 8 7" xfId="22490"/>
    <cellStyle name="常规 19 5 2 2 2 8 8" xfId="22492"/>
    <cellStyle name="常规 19 5 2 2 2 9" xfId="22495"/>
    <cellStyle name="常规 19 5 2 2 2 9 2" xfId="22496"/>
    <cellStyle name="常规 19 5 2 2 2 9 3" xfId="22498"/>
    <cellStyle name="常规 19 5 2 2 2 9 4" xfId="22500"/>
    <cellStyle name="常规 19 5 2 2 2 9 5" xfId="22502"/>
    <cellStyle name="常规 19 5 2 2 2 9 6" xfId="5916"/>
    <cellStyle name="常规 19 5 2 2 2 9 7" xfId="6884"/>
    <cellStyle name="常规 19 5 2 2 2 9 8" xfId="22503"/>
    <cellStyle name="常规 19 5 2 2 3" xfId="22506"/>
    <cellStyle name="常规 19 5 2 2 3 2" xfId="22507"/>
    <cellStyle name="常规 19 5 2 2 3 3" xfId="22508"/>
    <cellStyle name="常规 19 5 2 2 3 4" xfId="22509"/>
    <cellStyle name="常规 19 5 2 2 3 5" xfId="22511"/>
    <cellStyle name="常规 19 5 2 2 3 6" xfId="22513"/>
    <cellStyle name="常规 19 5 2 2 3 7" xfId="22514"/>
    <cellStyle name="常规 19 5 2 2 3 8" xfId="9700"/>
    <cellStyle name="常规 19 5 2 2 4" xfId="22515"/>
    <cellStyle name="常规 19 5 2 2 4 2" xfId="22516"/>
    <cellStyle name="常规 19 5 2 2 4 3" xfId="22517"/>
    <cellStyle name="常规 19 5 2 2 4 4" xfId="22518"/>
    <cellStyle name="常规 19 5 2 2 4 5" xfId="22519"/>
    <cellStyle name="常规 19 5 2 2 4 6" xfId="22520"/>
    <cellStyle name="常规 19 5 2 2 4 7" xfId="22522"/>
    <cellStyle name="常规 19 5 2 2 4 8" xfId="7590"/>
    <cellStyle name="常规 19 5 2 2 5" xfId="22524"/>
    <cellStyle name="常规 19 5 2 2 5 2" xfId="22525"/>
    <cellStyle name="常规 19 5 2 2 5 3" xfId="22526"/>
    <cellStyle name="常规 19 5 2 2 5 4" xfId="22527"/>
    <cellStyle name="常规 19 5 2 2 5 5" xfId="22528"/>
    <cellStyle name="常规 19 5 2 2 5 6" xfId="22529"/>
    <cellStyle name="常规 19 5 2 2 5 7" xfId="22530"/>
    <cellStyle name="常规 19 5 2 2 5 8" xfId="22531"/>
    <cellStyle name="常规 19 5 2 2 6" xfId="22532"/>
    <cellStyle name="常规 19 5 2 2 6 2" xfId="22534"/>
    <cellStyle name="常规 19 5 2 2 6 3" xfId="22535"/>
    <cellStyle name="常规 19 5 2 2 6 4" xfId="22536"/>
    <cellStyle name="常规 19 5 2 2 6 5" xfId="22537"/>
    <cellStyle name="常规 19 5 2 2 6 6" xfId="22538"/>
    <cellStyle name="常规 19 5 2 2 6 7" xfId="742"/>
    <cellStyle name="常规 19 5 2 2 6 8" xfId="756"/>
    <cellStyle name="常规 19 5 2 2 7" xfId="336"/>
    <cellStyle name="常规 19 5 2 2 7 2" xfId="11"/>
    <cellStyle name="常规 19 5 2 2 7 3" xfId="22539"/>
    <cellStyle name="常规 19 5 2 2 7 4" xfId="5431"/>
    <cellStyle name="常规 19 5 2 2 7 5" xfId="5436"/>
    <cellStyle name="常规 19 5 2 2 7 6" xfId="22541"/>
    <cellStyle name="常规 19 5 2 2 7 7" xfId="22544"/>
    <cellStyle name="常规 19 5 2 2 7 8" xfId="22547"/>
    <cellStyle name="常规 19 5 2 2 8" xfId="346"/>
    <cellStyle name="常规 19 5 2 2 8 2" xfId="1938"/>
    <cellStyle name="常规 19 5 2 2 8 3" xfId="22549"/>
    <cellStyle name="常规 19 5 2 2 8 4" xfId="22551"/>
    <cellStyle name="常规 19 5 2 2 8 5" xfId="22553"/>
    <cellStyle name="常规 19 5 2 2 8 6" xfId="22555"/>
    <cellStyle name="常规 19 5 2 2 8 7" xfId="22557"/>
    <cellStyle name="常规 19 5 2 2 8 8" xfId="22559"/>
    <cellStyle name="常规 19 5 2 2 9" xfId="28"/>
    <cellStyle name="常规 19 5 2 2 9 2" xfId="2945"/>
    <cellStyle name="常规 19 5 2 2 9 3" xfId="22561"/>
    <cellStyle name="常规 19 5 2 2 9 4" xfId="22563"/>
    <cellStyle name="常规 19 5 2 2 9 5" xfId="22566"/>
    <cellStyle name="常规 19 5 2 2 9 6" xfId="22569"/>
    <cellStyle name="常规 19 5 2 2 9 7" xfId="22571"/>
    <cellStyle name="常规 19 5 2 2 9 8" xfId="22573"/>
    <cellStyle name="常规 19 5 2 20" xfId="22385"/>
    <cellStyle name="常规 19 5 2 3" xfId="22575"/>
    <cellStyle name="常规 19 5 2 3 10" xfId="22577"/>
    <cellStyle name="常规 19 5 2 3 10 2" xfId="15512"/>
    <cellStyle name="常规 19 5 2 3 10 3" xfId="15514"/>
    <cellStyle name="常规 19 5 2 3 10 4" xfId="22578"/>
    <cellStyle name="常规 19 5 2 3 10 5" xfId="16651"/>
    <cellStyle name="常规 19 5 2 3 10 6" xfId="16654"/>
    <cellStyle name="常规 19 5 2 3 10 7" xfId="16659"/>
    <cellStyle name="常规 19 5 2 3 11" xfId="22579"/>
    <cellStyle name="常规 19 5 2 3 12" xfId="22580"/>
    <cellStyle name="常规 19 5 2 3 13" xfId="22581"/>
    <cellStyle name="常规 19 5 2 3 14" xfId="22582"/>
    <cellStyle name="常规 19 5 2 3 15" xfId="22583"/>
    <cellStyle name="常规 19 5 2 3 16" xfId="22584"/>
    <cellStyle name="常规 19 5 2 3 17" xfId="22586"/>
    <cellStyle name="常规 19 5 2 3 2" xfId="22588"/>
    <cellStyle name="常规 19 5 2 3 2 2" xfId="6128"/>
    <cellStyle name="常规 19 5 2 3 2 3" xfId="1555"/>
    <cellStyle name="常规 19 5 2 3 2 4" xfId="1567"/>
    <cellStyle name="常规 19 5 2 3 2 5" xfId="6071"/>
    <cellStyle name="常规 19 5 2 3 2 6" xfId="9311"/>
    <cellStyle name="常规 19 5 2 3 2 7" xfId="9328"/>
    <cellStyle name="常规 19 5 2 3 2 8" xfId="2036"/>
    <cellStyle name="常规 19 5 2 3 3" xfId="22590"/>
    <cellStyle name="常规 19 5 2 3 3 2" xfId="6151"/>
    <cellStyle name="常规 19 5 2 3 3 3" xfId="4780"/>
    <cellStyle name="常规 19 5 2 3 3 4" xfId="4785"/>
    <cellStyle name="常规 19 5 2 3 3 5" xfId="11196"/>
    <cellStyle name="常规 19 5 2 3 3 6" xfId="9334"/>
    <cellStyle name="常规 19 5 2 3 3 7" xfId="9340"/>
    <cellStyle name="常规 19 5 2 3 3 8" xfId="2079"/>
    <cellStyle name="常规 19 5 2 3 4" xfId="22592"/>
    <cellStyle name="常规 19 5 2 3 4 2" xfId="11292"/>
    <cellStyle name="常规 19 5 2 3 4 3" xfId="11346"/>
    <cellStyle name="常规 19 5 2 3 4 4" xfId="11354"/>
    <cellStyle name="常规 19 5 2 3 4 5" xfId="11372"/>
    <cellStyle name="常规 19 5 2 3 4 6" xfId="11391"/>
    <cellStyle name="常规 19 5 2 3 4 7" xfId="10679"/>
    <cellStyle name="常规 19 5 2 3 4 8" xfId="10685"/>
    <cellStyle name="常规 19 5 2 3 5" xfId="22593"/>
    <cellStyle name="常规 19 5 2 3 5 2" xfId="11402"/>
    <cellStyle name="常规 19 5 2 3 5 3" xfId="11406"/>
    <cellStyle name="常规 19 5 2 3 5 4" xfId="11410"/>
    <cellStyle name="常规 19 5 2 3 5 5" xfId="11425"/>
    <cellStyle name="常规 19 5 2 3 5 6" xfId="11431"/>
    <cellStyle name="常规 19 5 2 3 5 7" xfId="10696"/>
    <cellStyle name="常规 19 5 2 3 5 8" xfId="20130"/>
    <cellStyle name="常规 19 5 2 3 6" xfId="22594"/>
    <cellStyle name="常规 19 5 2 3 6 2" xfId="11439"/>
    <cellStyle name="常规 19 5 2 3 6 3" xfId="11452"/>
    <cellStyle name="常规 19 5 2 3 6 4" xfId="11458"/>
    <cellStyle name="常规 19 5 2 3 6 5" xfId="15636"/>
    <cellStyle name="常规 19 5 2 3 6 6" xfId="15640"/>
    <cellStyle name="常规 19 5 2 3 6 7" xfId="10702"/>
    <cellStyle name="常规 19 5 2 3 6 8" xfId="20140"/>
    <cellStyle name="常规 19 5 2 3 7" xfId="22595"/>
    <cellStyle name="常规 19 5 2 3 7 2" xfId="11464"/>
    <cellStyle name="常规 19 5 2 3 7 3" xfId="11468"/>
    <cellStyle name="常规 19 5 2 3 7 4" xfId="11473"/>
    <cellStyle name="常规 19 5 2 3 7 5" xfId="15645"/>
    <cellStyle name="常规 19 5 2 3 7 6" xfId="15649"/>
    <cellStyle name="常规 19 5 2 3 7 7" xfId="15653"/>
    <cellStyle name="常规 19 5 2 3 7 8" xfId="20151"/>
    <cellStyle name="常规 19 5 2 3 8" xfId="22596"/>
    <cellStyle name="常规 19 5 2 3 8 2" xfId="11479"/>
    <cellStyle name="常规 19 5 2 3 8 3" xfId="11489"/>
    <cellStyle name="常规 19 5 2 3 8 4" xfId="11496"/>
    <cellStyle name="常规 19 5 2 3 8 5" xfId="15658"/>
    <cellStyle name="常规 19 5 2 3 8 6" xfId="15662"/>
    <cellStyle name="常规 19 5 2 3 8 7" xfId="15667"/>
    <cellStyle name="常规 19 5 2 3 8 8" xfId="20156"/>
    <cellStyle name="常规 19 5 2 3 9" xfId="22597"/>
    <cellStyle name="常规 19 5 2 3 9 2" xfId="15672"/>
    <cellStyle name="常规 19 5 2 3 9 3" xfId="15674"/>
    <cellStyle name="常规 19 5 2 3 9 4" xfId="15677"/>
    <cellStyle name="常规 19 5 2 3 9 5" xfId="15681"/>
    <cellStyle name="常规 19 5 2 3 9 6" xfId="15685"/>
    <cellStyle name="常规 19 5 2 3 9 7" xfId="15690"/>
    <cellStyle name="常规 19 5 2 3 9 8" xfId="20164"/>
    <cellStyle name="常规 19 5 2 4" xfId="22598"/>
    <cellStyle name="常规 19 5 2 4 2" xfId="22600"/>
    <cellStyle name="常规 19 5 2 4 3" xfId="22602"/>
    <cellStyle name="常规 19 5 2 4 4" xfId="22604"/>
    <cellStyle name="常规 19 5 2 4 5" xfId="22606"/>
    <cellStyle name="常规 19 5 2 4 6" xfId="15326"/>
    <cellStyle name="常规 19 5 2 4 7" xfId="15328"/>
    <cellStyle name="常规 19 5 2 4 8" xfId="15330"/>
    <cellStyle name="常规 19 5 2 5" xfId="22608"/>
    <cellStyle name="常规 19 5 2 5 2" xfId="22610"/>
    <cellStyle name="常规 19 5 2 5 3" xfId="15693"/>
    <cellStyle name="常规 19 5 2 5 4" xfId="15697"/>
    <cellStyle name="常规 19 5 2 5 5" xfId="15700"/>
    <cellStyle name="常规 19 5 2 5 6" xfId="15703"/>
    <cellStyle name="常规 19 5 2 5 7" xfId="15706"/>
    <cellStyle name="常规 19 5 2 5 8" xfId="15708"/>
    <cellStyle name="常规 19 5 2 6" xfId="22611"/>
    <cellStyle name="常规 19 5 2 6 2" xfId="22612"/>
    <cellStyle name="常规 19 5 2 6 3" xfId="22613"/>
    <cellStyle name="常规 19 5 2 6 4" xfId="22614"/>
    <cellStyle name="常规 19 5 2 6 5" xfId="22615"/>
    <cellStyle name="常规 19 5 2 6 6" xfId="22617"/>
    <cellStyle name="常规 19 5 2 6 7" xfId="22619"/>
    <cellStyle name="常规 19 5 2 6 8" xfId="22621"/>
    <cellStyle name="常规 19 5 2 7" xfId="22622"/>
    <cellStyle name="常规 19 5 2 7 2" xfId="22623"/>
    <cellStyle name="常规 19 5 2 7 3" xfId="22624"/>
    <cellStyle name="常规 19 5 2 7 4" xfId="22625"/>
    <cellStyle name="常规 19 5 2 7 5" xfId="22626"/>
    <cellStyle name="常规 19 5 2 7 6" xfId="22627"/>
    <cellStyle name="常规 19 5 2 7 7" xfId="22628"/>
    <cellStyle name="常规 19 5 2 7 8" xfId="22629"/>
    <cellStyle name="常规 19 5 2 8" xfId="22630"/>
    <cellStyle name="常规 19 5 2 8 2" xfId="22631"/>
    <cellStyle name="常规 19 5 2 8 3" xfId="22633"/>
    <cellStyle name="常规 19 5 2 8 4" xfId="12061"/>
    <cellStyle name="常规 19 5 2 8 5" xfId="22634"/>
    <cellStyle name="常规 19 5 2 8 6" xfId="22635"/>
    <cellStyle name="常规 19 5 2 8 7" xfId="22636"/>
    <cellStyle name="常规 19 5 2 8 8" xfId="22638"/>
    <cellStyle name="常规 19 5 2 9" xfId="22640"/>
    <cellStyle name="常规 19 5 2 9 2" xfId="22641"/>
    <cellStyle name="常规 19 5 2 9 3" xfId="22643"/>
    <cellStyle name="常规 19 5 2 9 4" xfId="22644"/>
    <cellStyle name="常规 19 5 2 9 5" xfId="22645"/>
    <cellStyle name="常规 19 5 2 9 6" xfId="22646"/>
    <cellStyle name="常规 19 5 2 9 7" xfId="22647"/>
    <cellStyle name="常规 19 5 2 9 8" xfId="22649"/>
    <cellStyle name="常规 19 5 20" xfId="22332"/>
    <cellStyle name="常规 19 5 21" xfId="22346"/>
    <cellStyle name="常规 19 5 22" xfId="766"/>
    <cellStyle name="常规 19 5 3" xfId="10386"/>
    <cellStyle name="常规 19 5 3 10" xfId="7314"/>
    <cellStyle name="常规 19 5 3 10 2" xfId="22651"/>
    <cellStyle name="常规 19 5 3 10 3" xfId="22652"/>
    <cellStyle name="常规 19 5 3 10 4" xfId="22653"/>
    <cellStyle name="常规 19 5 3 10 5" xfId="22654"/>
    <cellStyle name="常规 19 5 3 10 6" xfId="22656"/>
    <cellStyle name="常规 19 5 3 10 7" xfId="10632"/>
    <cellStyle name="常规 19 5 3 10 8" xfId="10638"/>
    <cellStyle name="常规 19 5 3 11" xfId="16809"/>
    <cellStyle name="常规 19 5 3 11 2" xfId="22658"/>
    <cellStyle name="常规 19 5 3 11 3" xfId="22659"/>
    <cellStyle name="常规 19 5 3 11 4" xfId="8556"/>
    <cellStyle name="常规 19 5 3 11 5" xfId="8563"/>
    <cellStyle name="常规 19 5 3 11 6" xfId="22660"/>
    <cellStyle name="常规 19 5 3 11 7" xfId="402"/>
    <cellStyle name="常规 19 5 3 11 8" xfId="22662"/>
    <cellStyle name="常规 19 5 3 12" xfId="16813"/>
    <cellStyle name="常规 19 5 3 12 2" xfId="22663"/>
    <cellStyle name="常规 19 5 3 12 3" xfId="22664"/>
    <cellStyle name="常规 19 5 3 12 4" xfId="5269"/>
    <cellStyle name="常规 19 5 3 12 5" xfId="5311"/>
    <cellStyle name="常规 19 5 3 12 6" xfId="5377"/>
    <cellStyle name="常规 19 5 3 12 7" xfId="2010"/>
    <cellStyle name="常规 19 5 3 13" xfId="20850"/>
    <cellStyle name="常规 19 5 3 14" xfId="20852"/>
    <cellStyle name="常规 19 5 3 15" xfId="22666"/>
    <cellStyle name="常规 19 5 3 16" xfId="22667"/>
    <cellStyle name="常规 19 5 3 17" xfId="22668"/>
    <cellStyle name="常规 19 5 3 18" xfId="22670"/>
    <cellStyle name="常规 19 5 3 19" xfId="16746"/>
    <cellStyle name="常规 19 5 3 2" xfId="22672"/>
    <cellStyle name="常规 19 5 3 2 10" xfId="22673"/>
    <cellStyle name="常规 19 5 3 2 10 2" xfId="19483"/>
    <cellStyle name="常规 19 5 3 2 10 3" xfId="19486"/>
    <cellStyle name="常规 19 5 3 2 10 4" xfId="9304"/>
    <cellStyle name="常规 19 5 3 2 10 5" xfId="7582"/>
    <cellStyle name="常规 19 5 3 2 10 6" xfId="7588"/>
    <cellStyle name="常规 19 5 3 2 10 7" xfId="9716"/>
    <cellStyle name="常规 19 5 3 2 11" xfId="22675"/>
    <cellStyle name="常规 19 5 3 2 12" xfId="22676"/>
    <cellStyle name="常规 19 5 3 2 13" xfId="22677"/>
    <cellStyle name="常规 19 5 3 2 14" xfId="22678"/>
    <cellStyle name="常规 19 5 3 2 15" xfId="22679"/>
    <cellStyle name="常规 19 5 3 2 16" xfId="22680"/>
    <cellStyle name="常规 19 5 3 2 17" xfId="22681"/>
    <cellStyle name="常规 19 5 3 2 2" xfId="22682"/>
    <cellStyle name="常规 19 5 3 2 2 2" xfId="22683"/>
    <cellStyle name="常规 19 5 3 2 2 3" xfId="22685"/>
    <cellStyle name="常规 19 5 3 2 2 4" xfId="22687"/>
    <cellStyle name="常规 19 5 3 2 2 5" xfId="22689"/>
    <cellStyle name="常规 19 5 3 2 2 6" xfId="22691"/>
    <cellStyle name="常规 19 5 3 2 2 7" xfId="22693"/>
    <cellStyle name="常规 19 5 3 2 2 8" xfId="22695"/>
    <cellStyle name="常规 19 5 3 2 3" xfId="22697"/>
    <cellStyle name="常规 19 5 3 2 3 2" xfId="22698"/>
    <cellStyle name="常规 19 5 3 2 3 3" xfId="22700"/>
    <cellStyle name="常规 19 5 3 2 3 4" xfId="22701"/>
    <cellStyle name="常规 19 5 3 2 3 5" xfId="22702"/>
    <cellStyle name="常规 19 5 3 2 3 6" xfId="22703"/>
    <cellStyle name="常规 19 5 3 2 3 7" xfId="22704"/>
    <cellStyle name="常规 19 5 3 2 3 8" xfId="22705"/>
    <cellStyle name="常规 19 5 3 2 4" xfId="22706"/>
    <cellStyle name="常规 19 5 3 2 4 2" xfId="15440"/>
    <cellStyle name="常规 19 5 3 2 4 3" xfId="22707"/>
    <cellStyle name="常规 19 5 3 2 4 4" xfId="22708"/>
    <cellStyle name="常规 19 5 3 2 4 5" xfId="22709"/>
    <cellStyle name="常规 19 5 3 2 4 6" xfId="22710"/>
    <cellStyle name="常规 19 5 3 2 4 7" xfId="22711"/>
    <cellStyle name="常规 19 5 3 2 4 8" xfId="22712"/>
    <cellStyle name="常规 19 5 3 2 5" xfId="22713"/>
    <cellStyle name="常规 19 5 3 2 5 2" xfId="22714"/>
    <cellStyle name="常规 19 5 3 2 5 3" xfId="22715"/>
    <cellStyle name="常规 19 5 3 2 5 4" xfId="22716"/>
    <cellStyle name="常规 19 5 3 2 5 5" xfId="22717"/>
    <cellStyle name="常规 19 5 3 2 5 6" xfId="22718"/>
    <cellStyle name="常规 19 5 3 2 5 7" xfId="22719"/>
    <cellStyle name="常规 19 5 3 2 5 8" xfId="22720"/>
    <cellStyle name="常规 19 5 3 2 6" xfId="1346"/>
    <cellStyle name="常规 19 5 3 2 6 2" xfId="22721"/>
    <cellStyle name="常规 19 5 3 2 6 3" xfId="22723"/>
    <cellStyle name="常规 19 5 3 2 6 4" xfId="22724"/>
    <cellStyle name="常规 19 5 3 2 6 5" xfId="22725"/>
    <cellStyle name="常规 19 5 3 2 6 6" xfId="22726"/>
    <cellStyle name="常规 19 5 3 2 6 7" xfId="22727"/>
    <cellStyle name="常规 19 5 3 2 6 8" xfId="22728"/>
    <cellStyle name="常规 19 5 3 2 7" xfId="199"/>
    <cellStyle name="常规 19 5 3 2 7 2" xfId="22729"/>
    <cellStyle name="常规 19 5 3 2 7 3" xfId="22730"/>
    <cellStyle name="常规 19 5 3 2 7 4" xfId="22732"/>
    <cellStyle name="常规 19 5 3 2 7 5" xfId="22734"/>
    <cellStyle name="常规 19 5 3 2 7 6" xfId="22736"/>
    <cellStyle name="常规 19 5 3 2 7 7" xfId="22738"/>
    <cellStyle name="常规 19 5 3 2 7 8" xfId="22740"/>
    <cellStyle name="常规 19 5 3 2 8" xfId="22742"/>
    <cellStyle name="常规 19 5 3 2 8 2" xfId="22743"/>
    <cellStyle name="常规 19 5 3 2 8 3" xfId="22744"/>
    <cellStyle name="常规 19 5 3 2 8 4" xfId="22747"/>
    <cellStyle name="常规 19 5 3 2 8 5" xfId="22750"/>
    <cellStyle name="常规 19 5 3 2 8 6" xfId="22752"/>
    <cellStyle name="常规 19 5 3 2 8 7" xfId="22754"/>
    <cellStyle name="常规 19 5 3 2 8 8" xfId="22756"/>
    <cellStyle name="常规 19 5 3 2 9" xfId="22758"/>
    <cellStyle name="常规 19 5 3 2 9 2" xfId="22759"/>
    <cellStyle name="常规 19 5 3 2 9 3" xfId="22760"/>
    <cellStyle name="常规 19 5 3 2 9 4" xfId="3709"/>
    <cellStyle name="常规 19 5 3 2 9 5" xfId="11768"/>
    <cellStyle name="常规 19 5 3 2 9 6" xfId="22762"/>
    <cellStyle name="常规 19 5 3 2 9 7" xfId="3290"/>
    <cellStyle name="常规 19 5 3 2 9 8" xfId="3347"/>
    <cellStyle name="常规 19 5 3 3" xfId="22764"/>
    <cellStyle name="常规 19 5 3 3 2" xfId="22766"/>
    <cellStyle name="常规 19 5 3 3 3" xfId="22768"/>
    <cellStyle name="常规 19 5 3 3 4" xfId="22770"/>
    <cellStyle name="常规 19 5 3 3 5" xfId="22771"/>
    <cellStyle name="常规 19 5 3 3 6" xfId="22772"/>
    <cellStyle name="常规 19 5 3 3 7" xfId="22773"/>
    <cellStyle name="常规 19 5 3 3 8" xfId="22774"/>
    <cellStyle name="常规 19 5 3 4" xfId="22775"/>
    <cellStyle name="常规 19 5 3 4 2" xfId="22777"/>
    <cellStyle name="常规 19 5 3 4 3" xfId="22778"/>
    <cellStyle name="常规 19 5 3 4 4" xfId="22779"/>
    <cellStyle name="常规 19 5 3 4 5" xfId="7891"/>
    <cellStyle name="常规 19 5 3 4 6" xfId="7909"/>
    <cellStyle name="常规 19 5 3 4 7" xfId="7914"/>
    <cellStyle name="常规 19 5 3 4 8" xfId="22780"/>
    <cellStyle name="常规 19 5 3 5" xfId="22781"/>
    <cellStyle name="常规 19 5 3 5 2" xfId="22783"/>
    <cellStyle name="常规 19 5 3 5 3" xfId="22784"/>
    <cellStyle name="常规 19 5 3 5 4" xfId="22785"/>
    <cellStyle name="常规 19 5 3 5 5" xfId="249"/>
    <cellStyle name="常规 19 5 3 5 6" xfId="7939"/>
    <cellStyle name="常规 19 5 3 5 7" xfId="22786"/>
    <cellStyle name="常规 19 5 3 5 8" xfId="22788"/>
    <cellStyle name="常规 19 5 3 6" xfId="22789"/>
    <cellStyle name="常规 19 5 3 6 2" xfId="22790"/>
    <cellStyle name="常规 19 5 3 6 3" xfId="22791"/>
    <cellStyle name="常规 19 5 3 6 4" xfId="22792"/>
    <cellStyle name="常规 19 5 3 6 5" xfId="7943"/>
    <cellStyle name="常规 19 5 3 6 6" xfId="7949"/>
    <cellStyle name="常规 19 5 3 6 7" xfId="22793"/>
    <cellStyle name="常规 19 5 3 6 8" xfId="22795"/>
    <cellStyle name="常规 19 5 3 7" xfId="22796"/>
    <cellStyle name="常规 19 5 3 7 2" xfId="4384"/>
    <cellStyle name="常规 19 5 3 7 3" xfId="20423"/>
    <cellStyle name="常规 19 5 3 7 4" xfId="20425"/>
    <cellStyle name="常规 19 5 3 7 5" xfId="20427"/>
    <cellStyle name="常规 19 5 3 7 6" xfId="20429"/>
    <cellStyle name="常规 19 5 3 7 7" xfId="20431"/>
    <cellStyle name="常规 19 5 3 7 8" xfId="10367"/>
    <cellStyle name="常规 19 5 3 8" xfId="22797"/>
    <cellStyle name="常规 19 5 3 8 2" xfId="23"/>
    <cellStyle name="常规 19 5 3 8 3" xfId="15561"/>
    <cellStyle name="常规 19 5 3 8 4" xfId="20435"/>
    <cellStyle name="常规 19 5 3 8 5" xfId="20438"/>
    <cellStyle name="常规 19 5 3 8 6" xfId="20440"/>
    <cellStyle name="常规 19 5 3 8 7" xfId="20442"/>
    <cellStyle name="常规 19 5 3 8 8" xfId="20445"/>
    <cellStyle name="常规 19 5 3 9" xfId="22798"/>
    <cellStyle name="常规 19 5 3 9 2" xfId="22799"/>
    <cellStyle name="常规 19 5 3 9 3" xfId="20451"/>
    <cellStyle name="常规 19 5 3 9 4" xfId="20453"/>
    <cellStyle name="常规 19 5 3 9 5" xfId="20455"/>
    <cellStyle name="常规 19 5 3 9 6" xfId="20457"/>
    <cellStyle name="常规 19 5 3 9 7" xfId="20459"/>
    <cellStyle name="常规 19 5 3 9 8" xfId="20462"/>
    <cellStyle name="常规 19 5 4" xfId="8659"/>
    <cellStyle name="常规 19 5 4 10" xfId="16907"/>
    <cellStyle name="常规 19 5 4 10 2" xfId="19919"/>
    <cellStyle name="常规 19 5 4 10 3" xfId="19922"/>
    <cellStyle name="常规 19 5 4 10 4" xfId="19925"/>
    <cellStyle name="常规 19 5 4 10 5" xfId="22801"/>
    <cellStyle name="常规 19 5 4 10 6" xfId="22803"/>
    <cellStyle name="常规 19 5 4 10 7" xfId="22804"/>
    <cellStyle name="常规 19 5 4 10 8" xfId="22805"/>
    <cellStyle name="常规 19 5 4 11" xfId="16911"/>
    <cellStyle name="常规 19 5 4 11 2" xfId="19934"/>
    <cellStyle name="常规 19 5 4 11 3" xfId="19937"/>
    <cellStyle name="常规 19 5 4 11 4" xfId="19940"/>
    <cellStyle name="常规 19 5 4 11 5" xfId="22806"/>
    <cellStyle name="常规 19 5 4 11 6" xfId="22808"/>
    <cellStyle name="常规 19 5 4 11 7" xfId="22809"/>
    <cellStyle name="常规 19 5 4 11 8" xfId="22810"/>
    <cellStyle name="常规 19 5 4 12" xfId="16915"/>
    <cellStyle name="常规 19 5 4 12 2" xfId="19950"/>
    <cellStyle name="常规 19 5 4 12 3" xfId="19952"/>
    <cellStyle name="常规 19 5 4 12 4" xfId="19954"/>
    <cellStyle name="常规 19 5 4 12 5" xfId="22811"/>
    <cellStyle name="常规 19 5 4 12 6" xfId="22813"/>
    <cellStyle name="常规 19 5 4 12 7" xfId="22814"/>
    <cellStyle name="常规 19 5 4 13" xfId="9682"/>
    <cellStyle name="常规 19 5 4 14" xfId="9687"/>
    <cellStyle name="常规 19 5 4 15" xfId="22816"/>
    <cellStyle name="常规 19 5 4 16" xfId="22817"/>
    <cellStyle name="常规 19 5 4 17" xfId="22819"/>
    <cellStyle name="常规 19 5 4 18" xfId="4418"/>
    <cellStyle name="常规 19 5 4 19" xfId="4428"/>
    <cellStyle name="常规 19 5 4 2" xfId="22821"/>
    <cellStyle name="常规 19 5 4 2 10" xfId="22822"/>
    <cellStyle name="常规 19 5 4 2 10 2" xfId="9234"/>
    <cellStyle name="常规 19 5 4 2 10 3" xfId="9237"/>
    <cellStyle name="常规 19 5 4 2 10 4" xfId="20034"/>
    <cellStyle name="常规 19 5 4 2 10 5" xfId="20036"/>
    <cellStyle name="常规 19 5 4 2 10 6" xfId="20045"/>
    <cellStyle name="常规 19 5 4 2 10 7" xfId="7186"/>
    <cellStyle name="常规 19 5 4 2 11" xfId="22823"/>
    <cellStyle name="常规 19 5 4 2 12" xfId="22824"/>
    <cellStyle name="常规 19 5 4 2 13" xfId="22825"/>
    <cellStyle name="常规 19 5 4 2 14" xfId="22826"/>
    <cellStyle name="常规 19 5 4 2 15" xfId="22827"/>
    <cellStyle name="常规 19 5 4 2 16" xfId="22828"/>
    <cellStyle name="常规 19 5 4 2 17" xfId="22829"/>
    <cellStyle name="常规 19 5 4 2 2" xfId="22830"/>
    <cellStyle name="常规 19 5 4 2 2 2" xfId="18216"/>
    <cellStyle name="常规 19 5 4 2 2 3" xfId="19461"/>
    <cellStyle name="常规 19 5 4 2 2 4" xfId="19464"/>
    <cellStyle name="常规 19 5 4 2 2 5" xfId="19467"/>
    <cellStyle name="常规 19 5 4 2 2 6" xfId="19470"/>
    <cellStyle name="常规 19 5 4 2 2 7" xfId="22831"/>
    <cellStyle name="常规 19 5 4 2 2 8" xfId="22834"/>
    <cellStyle name="常规 19 5 4 2 3" xfId="22836"/>
    <cellStyle name="常规 19 5 4 2 3 2" xfId="22837"/>
    <cellStyle name="常规 19 5 4 2 3 3" xfId="22838"/>
    <cellStyle name="常规 19 5 4 2 3 4" xfId="22839"/>
    <cellStyle name="常规 19 5 4 2 3 5" xfId="22840"/>
    <cellStyle name="常规 19 5 4 2 3 6" xfId="22841"/>
    <cellStyle name="常规 19 5 4 2 3 7" xfId="22843"/>
    <cellStyle name="常规 19 5 4 2 3 8" xfId="7117"/>
    <cellStyle name="常规 19 5 4 2 4" xfId="22845"/>
    <cellStyle name="常规 19 5 4 2 4 2" xfId="22846"/>
    <cellStyle name="常规 19 5 4 2 4 3" xfId="22847"/>
    <cellStyle name="常规 19 5 4 2 4 4" xfId="22848"/>
    <cellStyle name="常规 19 5 4 2 4 5" xfId="22849"/>
    <cellStyle name="常规 19 5 4 2 4 6" xfId="22851"/>
    <cellStyle name="常规 19 5 4 2 4 7" xfId="22853"/>
    <cellStyle name="常规 19 5 4 2 4 8" xfId="22854"/>
    <cellStyle name="常规 19 5 4 2 5" xfId="22855"/>
    <cellStyle name="常规 19 5 4 2 5 2" xfId="22856"/>
    <cellStyle name="常规 19 5 4 2 5 3" xfId="22857"/>
    <cellStyle name="常规 19 5 4 2 5 4" xfId="22858"/>
    <cellStyle name="常规 19 5 4 2 5 5" xfId="22859"/>
    <cellStyle name="常规 19 5 4 2 5 6" xfId="22860"/>
    <cellStyle name="常规 19 5 4 2 5 7" xfId="22862"/>
    <cellStyle name="常规 19 5 4 2 5 8" xfId="22864"/>
    <cellStyle name="常规 19 5 4 2 6" xfId="22865"/>
    <cellStyle name="常规 19 5 4 2 6 2" xfId="22866"/>
    <cellStyle name="常规 19 5 4 2 6 3" xfId="15551"/>
    <cellStyle name="常规 19 5 4 2 6 4" xfId="15557"/>
    <cellStyle name="常规 19 5 4 2 6 5" xfId="3215"/>
    <cellStyle name="常规 19 5 4 2 6 6" xfId="3235"/>
    <cellStyle name="常规 19 5 4 2 6 7" xfId="4398"/>
    <cellStyle name="常规 19 5 4 2 6 8" xfId="2746"/>
    <cellStyle name="常规 19 5 4 2 7" xfId="22867"/>
    <cellStyle name="常规 19 5 4 2 7 2" xfId="22868"/>
    <cellStyle name="常规 19 5 4 2 7 3" xfId="22869"/>
    <cellStyle name="常规 19 5 4 2 7 4" xfId="22871"/>
    <cellStyle name="常规 19 5 4 2 7 5" xfId="22873"/>
    <cellStyle name="常规 19 5 4 2 7 6" xfId="22875"/>
    <cellStyle name="常规 19 5 4 2 7 7" xfId="22877"/>
    <cellStyle name="常规 19 5 4 2 7 8" xfId="3749"/>
    <cellStyle name="常规 19 5 4 2 8" xfId="22879"/>
    <cellStyle name="常规 19 5 4 2 8 2" xfId="22880"/>
    <cellStyle name="常规 19 5 4 2 8 3" xfId="22882"/>
    <cellStyle name="常规 19 5 4 2 8 4" xfId="22885"/>
    <cellStyle name="常规 19 5 4 2 8 5" xfId="22888"/>
    <cellStyle name="常规 19 5 4 2 8 6" xfId="22891"/>
    <cellStyle name="常规 19 5 4 2 8 7" xfId="22893"/>
    <cellStyle name="常规 19 5 4 2 8 8" xfId="22895"/>
    <cellStyle name="常规 19 5 4 2 9" xfId="22897"/>
    <cellStyle name="常规 19 5 4 2 9 2" xfId="22898"/>
    <cellStyle name="常规 19 5 4 2 9 3" xfId="16578"/>
    <cellStyle name="常规 19 5 4 2 9 4" xfId="16582"/>
    <cellStyle name="常规 19 5 4 2 9 5" xfId="3192"/>
    <cellStyle name="常规 19 5 4 2 9 6" xfId="3205"/>
    <cellStyle name="常规 19 5 4 2 9 7" xfId="16586"/>
    <cellStyle name="常规 19 5 4 2 9 8" xfId="16589"/>
    <cellStyle name="常规 19 5 4 3" xfId="22900"/>
    <cellStyle name="常规 19 5 4 3 2" xfId="563"/>
    <cellStyle name="常规 19 5 4 3 3" xfId="1549"/>
    <cellStyle name="常规 19 5 4 3 4" xfId="3694"/>
    <cellStyle name="常规 19 5 4 3 5" xfId="22901"/>
    <cellStyle name="常规 19 5 4 3 6" xfId="22902"/>
    <cellStyle name="常规 19 5 4 3 7" xfId="5236"/>
    <cellStyle name="常规 19 5 4 3 8" xfId="5238"/>
    <cellStyle name="常规 19 5 4 4" xfId="22903"/>
    <cellStyle name="常规 19 5 4 4 2" xfId="22904"/>
    <cellStyle name="常规 19 5 4 4 3" xfId="1392"/>
    <cellStyle name="常规 19 5 4 4 4" xfId="3704"/>
    <cellStyle name="常规 19 5 4 4 5" xfId="7959"/>
    <cellStyle name="常规 19 5 4 4 6" xfId="7962"/>
    <cellStyle name="常规 19 5 4 4 7" xfId="22906"/>
    <cellStyle name="常规 19 5 4 4 8" xfId="22907"/>
    <cellStyle name="常规 19 5 4 5" xfId="22908"/>
    <cellStyle name="常规 19 5 4 5 2" xfId="22909"/>
    <cellStyle name="常规 19 5 4 5 3" xfId="22911"/>
    <cellStyle name="常规 19 5 4 5 4" xfId="22912"/>
    <cellStyle name="常规 19 5 4 5 5" xfId="7969"/>
    <cellStyle name="常规 19 5 4 5 6" xfId="7975"/>
    <cellStyle name="常规 19 5 4 5 7" xfId="22913"/>
    <cellStyle name="常规 19 5 4 5 8" xfId="22915"/>
    <cellStyle name="常规 19 5 4 6" xfId="22916"/>
    <cellStyle name="常规 19 5 4 6 2" xfId="22917"/>
    <cellStyle name="常规 19 5 4 6 3" xfId="22918"/>
    <cellStyle name="常规 19 5 4 6 4" xfId="22919"/>
    <cellStyle name="常规 19 5 4 6 5" xfId="22920"/>
    <cellStyle name="常规 19 5 4 6 6" xfId="22922"/>
    <cellStyle name="常规 19 5 4 6 7" xfId="22924"/>
    <cellStyle name="常规 19 5 4 6 8" xfId="22926"/>
    <cellStyle name="常规 19 5 4 7" xfId="22927"/>
    <cellStyle name="常规 19 5 4 7 2" xfId="5173"/>
    <cellStyle name="常规 19 5 4 7 3" xfId="22929"/>
    <cellStyle name="常规 19 5 4 7 4" xfId="22932"/>
    <cellStyle name="常规 19 5 4 7 5" xfId="22934"/>
    <cellStyle name="常规 19 5 4 7 6" xfId="22935"/>
    <cellStyle name="常规 19 5 4 7 7" xfId="22936"/>
    <cellStyle name="常规 19 5 4 7 8" xfId="22937"/>
    <cellStyle name="常规 19 5 4 8" xfId="22938"/>
    <cellStyle name="常规 19 5 4 8 2" xfId="22940"/>
    <cellStyle name="常规 19 5 4 8 3" xfId="22943"/>
    <cellStyle name="常规 19 5 4 8 4" xfId="22945"/>
    <cellStyle name="常规 19 5 4 8 5" xfId="22947"/>
    <cellStyle name="常规 19 5 4 8 6" xfId="22948"/>
    <cellStyle name="常规 19 5 4 8 7" xfId="22949"/>
    <cellStyle name="常规 19 5 4 8 8" xfId="22950"/>
    <cellStyle name="常规 19 5 4 9" xfId="22951"/>
    <cellStyle name="常规 19 5 4 9 2" xfId="22953"/>
    <cellStyle name="常规 19 5 4 9 3" xfId="22955"/>
    <cellStyle name="常规 19 5 4 9 4" xfId="22684"/>
    <cellStyle name="常规 19 5 4 9 5" xfId="22686"/>
    <cellStyle name="常规 19 5 4 9 6" xfId="22688"/>
    <cellStyle name="常规 19 5 4 9 7" xfId="22690"/>
    <cellStyle name="常规 19 5 4 9 8" xfId="22692"/>
    <cellStyle name="常规 19 5 5" xfId="22956"/>
    <cellStyle name="常规 19 5 5 10" xfId="22957"/>
    <cellStyle name="常规 19 5 5 10 2" xfId="22958"/>
    <cellStyle name="常规 19 5 5 10 3" xfId="22959"/>
    <cellStyle name="常规 19 5 5 10 4" xfId="22960"/>
    <cellStyle name="常规 19 5 5 10 5" xfId="22961"/>
    <cellStyle name="常规 19 5 5 10 6" xfId="22962"/>
    <cellStyle name="常规 19 5 5 10 7" xfId="22963"/>
    <cellStyle name="常规 19 5 5 11" xfId="22965"/>
    <cellStyle name="常规 19 5 5 12" xfId="22966"/>
    <cellStyle name="常规 19 5 5 13" xfId="22967"/>
    <cellStyle name="常规 19 5 5 14" xfId="22968"/>
    <cellStyle name="常规 19 5 5 15" xfId="22969"/>
    <cellStyle name="常规 19 5 5 16" xfId="22970"/>
    <cellStyle name="常规 19 5 5 17" xfId="22972"/>
    <cellStyle name="常规 19 5 5 2" xfId="22974"/>
    <cellStyle name="常规 19 5 5 2 2" xfId="22975"/>
    <cellStyle name="常规 19 5 5 2 3" xfId="22976"/>
    <cellStyle name="常规 19 5 5 2 4" xfId="22977"/>
    <cellStyle name="常规 19 5 5 2 5" xfId="22978"/>
    <cellStyle name="常规 19 5 5 2 6" xfId="22979"/>
    <cellStyle name="常规 19 5 5 2 7" xfId="22980"/>
    <cellStyle name="常规 19 5 5 2 8" xfId="22982"/>
    <cellStyle name="常规 19 5 5 3" xfId="22984"/>
    <cellStyle name="常规 19 5 5 3 2" xfId="22985"/>
    <cellStyle name="常规 19 5 5 3 3" xfId="3722"/>
    <cellStyle name="常规 19 5 5 3 4" xfId="3733"/>
    <cellStyle name="常规 19 5 5 3 5" xfId="22986"/>
    <cellStyle name="常规 19 5 5 3 6" xfId="22987"/>
    <cellStyle name="常规 19 5 5 3 7" xfId="22988"/>
    <cellStyle name="常规 19 5 5 3 8" xfId="22989"/>
    <cellStyle name="常规 19 5 5 4" xfId="22990"/>
    <cellStyle name="常规 19 5 5 4 2" xfId="22991"/>
    <cellStyle name="常规 19 5 5 4 3" xfId="22992"/>
    <cellStyle name="常规 19 5 5 4 4" xfId="22993"/>
    <cellStyle name="常规 19 5 5 4 5" xfId="7987"/>
    <cellStyle name="常规 19 5 5 4 6" xfId="7991"/>
    <cellStyle name="常规 19 5 5 4 7" xfId="22994"/>
    <cellStyle name="常规 19 5 5 4 8" xfId="22995"/>
    <cellStyle name="常规 19 5 5 5" xfId="920"/>
    <cellStyle name="常规 19 5 5 5 2" xfId="6181"/>
    <cellStyle name="常规 19 5 5 5 3" xfId="6242"/>
    <cellStyle name="常规 19 5 5 5 4" xfId="6275"/>
    <cellStyle name="常规 19 5 5 5 5" xfId="6299"/>
    <cellStyle name="常规 19 5 5 5 6" xfId="6303"/>
    <cellStyle name="常规 19 5 5 5 7" xfId="6312"/>
    <cellStyle name="常规 19 5 5 5 8" xfId="22996"/>
    <cellStyle name="常规 19 5 5 6" xfId="6320"/>
    <cellStyle name="常规 19 5 5 6 2" xfId="6325"/>
    <cellStyle name="常规 19 5 5 6 3" xfId="6363"/>
    <cellStyle name="常规 19 5 5 6 4" xfId="6381"/>
    <cellStyle name="常规 19 5 5 6 5" xfId="6404"/>
    <cellStyle name="常规 19 5 5 6 6" xfId="6406"/>
    <cellStyle name="常规 19 5 5 6 7" xfId="6410"/>
    <cellStyle name="常规 19 5 5 6 8" xfId="22997"/>
    <cellStyle name="常规 19 5 5 7" xfId="5185"/>
    <cellStyle name="常规 19 5 5 7 2" xfId="6414"/>
    <cellStyle name="常规 19 5 5 7 3" xfId="6468"/>
    <cellStyle name="常规 19 5 5 7 4" xfId="6495"/>
    <cellStyle name="常规 19 5 5 7 5" xfId="6523"/>
    <cellStyle name="常规 19 5 5 7 6" xfId="6536"/>
    <cellStyle name="常规 19 5 5 7 7" xfId="6539"/>
    <cellStyle name="常规 19 5 5 7 8" xfId="22998"/>
    <cellStyle name="常规 19 5 5 8" xfId="4719"/>
    <cellStyle name="常规 19 5 5 8 2" xfId="6541"/>
    <cellStyle name="常规 19 5 5 8 3" xfId="6570"/>
    <cellStyle name="常规 19 5 5 8 4" xfId="6579"/>
    <cellStyle name="常规 19 5 5 8 5" xfId="6592"/>
    <cellStyle name="常规 19 5 5 8 6" xfId="22999"/>
    <cellStyle name="常规 19 5 5 8 7" xfId="23000"/>
    <cellStyle name="常规 19 5 5 8 8" xfId="23001"/>
    <cellStyle name="常规 19 5 5 9" xfId="4731"/>
    <cellStyle name="常规 19 5 5 9 2" xfId="6595"/>
    <cellStyle name="常规 19 5 5 9 3" xfId="6611"/>
    <cellStyle name="常规 19 5 5 9 4" xfId="6614"/>
    <cellStyle name="常规 19 5 5 9 5" xfId="15843"/>
    <cellStyle name="常规 19 5 5 9 6" xfId="9053"/>
    <cellStyle name="常规 19 5 5 9 7" xfId="9058"/>
    <cellStyle name="常规 19 5 5 9 8" xfId="390"/>
    <cellStyle name="常规 19 5 6" xfId="22165"/>
    <cellStyle name="常规 19 5 6 2" xfId="22183"/>
    <cellStyle name="常规 19 5 6 3" xfId="22196"/>
    <cellStyle name="常规 19 5 6 4" xfId="22203"/>
    <cellStyle name="常规 19 5 6 5" xfId="22210"/>
    <cellStyle name="常规 19 5 6 6" xfId="22223"/>
    <cellStyle name="常规 19 5 6 7" xfId="22227"/>
    <cellStyle name="常规 19 5 6 8" xfId="22233"/>
    <cellStyle name="常规 19 5 7" xfId="22256"/>
    <cellStyle name="常规 19 5 7 2" xfId="2485"/>
    <cellStyle name="常规 19 5 7 3" xfId="3572"/>
    <cellStyle name="常规 19 5 7 4" xfId="3582"/>
    <cellStyle name="常规 19 5 7 5" xfId="4526"/>
    <cellStyle name="常规 19 5 7 6" xfId="4529"/>
    <cellStyle name="常规 19 5 7 7" xfId="22259"/>
    <cellStyle name="常规 19 5 7 8" xfId="22261"/>
    <cellStyle name="常规 19 5 8" xfId="22263"/>
    <cellStyle name="常规 19 5 8 2" xfId="2523"/>
    <cellStyle name="常规 19 5 8 3" xfId="3588"/>
    <cellStyle name="常规 19 5 8 4" xfId="3601"/>
    <cellStyle name="常规 19 5 8 5" xfId="22266"/>
    <cellStyle name="常规 19 5 8 6" xfId="22269"/>
    <cellStyle name="常规 19 5 8 7" xfId="22272"/>
    <cellStyle name="常规 19 5 8 8" xfId="22274"/>
    <cellStyle name="常规 19 5 9" xfId="5766"/>
    <cellStyle name="常规 19 5 9 2" xfId="5770"/>
    <cellStyle name="常规 19 5 9 3" xfId="4641"/>
    <cellStyle name="常规 19 5 9 4" xfId="4654"/>
    <cellStyle name="常规 19 5 9 5" xfId="5866"/>
    <cellStyle name="常规 19 5 9 6" xfId="1720"/>
    <cellStyle name="常规 19 5 9 7" xfId="1749"/>
    <cellStyle name="常规 19 5 9 8" xfId="20787"/>
    <cellStyle name="常规 19 6" xfId="23002"/>
    <cellStyle name="常规 19 6 10" xfId="697"/>
    <cellStyle name="常规 19 6 10 2" xfId="23003"/>
    <cellStyle name="常规 19 6 10 3" xfId="23004"/>
    <cellStyle name="常规 19 6 10 4" xfId="23005"/>
    <cellStyle name="常规 19 6 10 5" xfId="5771"/>
    <cellStyle name="常规 19 6 10 6" xfId="4642"/>
    <cellStyle name="常规 19 6 10 7" xfId="4655"/>
    <cellStyle name="常规 19 6 10 8" xfId="5867"/>
    <cellStyle name="常规 19 6 11" xfId="23006"/>
    <cellStyle name="常规 19 6 11 2" xfId="23007"/>
    <cellStyle name="常规 19 6 11 3" xfId="23008"/>
    <cellStyle name="常规 19 6 11 4" xfId="23009"/>
    <cellStyle name="常规 19 6 11 5" xfId="5881"/>
    <cellStyle name="常规 19 6 11 6" xfId="5943"/>
    <cellStyle name="常规 19 6 11 7" xfId="5964"/>
    <cellStyle name="常规 19 6 11 8" xfId="4628"/>
    <cellStyle name="常规 19 6 12" xfId="23010"/>
    <cellStyle name="常规 19 6 12 2" xfId="23011"/>
    <cellStyle name="常规 19 6 12 3" xfId="23013"/>
    <cellStyle name="常规 19 6 12 4" xfId="23014"/>
    <cellStyle name="常规 19 6 12 5" xfId="5057"/>
    <cellStyle name="常规 19 6 12 6" xfId="5080"/>
    <cellStyle name="常规 19 6 12 7" xfId="5448"/>
    <cellStyle name="常规 19 6 12 8" xfId="4680"/>
    <cellStyle name="常规 19 6 13" xfId="23015"/>
    <cellStyle name="常规 19 6 13 2" xfId="23017"/>
    <cellStyle name="常规 19 6 13 3" xfId="23019"/>
    <cellStyle name="常规 19 6 13 4" xfId="23020"/>
    <cellStyle name="常规 19 6 13 5" xfId="5101"/>
    <cellStyle name="常规 19 6 13 6" xfId="473"/>
    <cellStyle name="常规 19 6 13 7" xfId="6078"/>
    <cellStyle name="常规 19 6 13 8" xfId="1492"/>
    <cellStyle name="常规 19 6 14" xfId="23021"/>
    <cellStyle name="常规 19 6 14 2" xfId="23023"/>
    <cellStyle name="常规 19 6 14 3" xfId="23024"/>
    <cellStyle name="常规 19 6 14 4" xfId="23025"/>
    <cellStyle name="常规 19 6 14 5" xfId="6104"/>
    <cellStyle name="常规 19 6 14 6" xfId="6115"/>
    <cellStyle name="常规 19 6 14 7" xfId="6129"/>
    <cellStyle name="常规 19 6 14 8" xfId="1556"/>
    <cellStyle name="常规 19 6 15" xfId="23026"/>
    <cellStyle name="常规 19 6 15 2" xfId="23028"/>
    <cellStyle name="常规 19 6 15 3" xfId="23029"/>
    <cellStyle name="常规 19 6 15 4" xfId="23030"/>
    <cellStyle name="常规 19 6 15 5" xfId="6134"/>
    <cellStyle name="常规 19 6 15 6" xfId="6143"/>
    <cellStyle name="常规 19 6 15 7" xfId="6152"/>
    <cellStyle name="常规 19 6 16" xfId="23031"/>
    <cellStyle name="常规 19 6 17" xfId="23034"/>
    <cellStyle name="常规 19 6 18" xfId="23037"/>
    <cellStyle name="常规 19 6 19" xfId="23038"/>
    <cellStyle name="常规 19 6 2" xfId="23041"/>
    <cellStyle name="常规 19 6 2 10" xfId="23042"/>
    <cellStyle name="常规 19 6 2 10 2" xfId="23043"/>
    <cellStyle name="常规 19 6 2 10 3" xfId="23044"/>
    <cellStyle name="常规 19 6 2 10 4" xfId="23045"/>
    <cellStyle name="常规 19 6 2 10 5" xfId="23046"/>
    <cellStyle name="常规 19 6 2 10 6" xfId="23048"/>
    <cellStyle name="常规 19 6 2 10 7" xfId="23050"/>
    <cellStyle name="常规 19 6 2 10 8" xfId="23052"/>
    <cellStyle name="常规 19 6 2 11" xfId="23053"/>
    <cellStyle name="常规 19 6 2 11 2" xfId="23054"/>
    <cellStyle name="常规 19 6 2 11 3" xfId="23056"/>
    <cellStyle name="常规 19 6 2 11 4" xfId="23057"/>
    <cellStyle name="常规 19 6 2 11 5" xfId="23058"/>
    <cellStyle name="常规 19 6 2 11 6" xfId="23059"/>
    <cellStyle name="常规 19 6 2 11 7" xfId="23060"/>
    <cellStyle name="常规 19 6 2 11 8" xfId="23062"/>
    <cellStyle name="常规 19 6 2 12" xfId="23064"/>
    <cellStyle name="常规 19 6 2 12 2" xfId="23065"/>
    <cellStyle name="常规 19 6 2 12 3" xfId="23067"/>
    <cellStyle name="常规 19 6 2 12 4" xfId="23068"/>
    <cellStyle name="常规 19 6 2 12 5" xfId="23070"/>
    <cellStyle name="常规 19 6 2 12 6" xfId="23071"/>
    <cellStyle name="常规 19 6 2 12 7" xfId="23072"/>
    <cellStyle name="常规 19 6 2 12 8" xfId="23073"/>
    <cellStyle name="常规 19 6 2 13" xfId="23074"/>
    <cellStyle name="常规 19 6 2 13 2" xfId="23076"/>
    <cellStyle name="常规 19 6 2 13 3" xfId="23078"/>
    <cellStyle name="常规 19 6 2 13 4" xfId="23079"/>
    <cellStyle name="常规 19 6 2 13 5" xfId="23080"/>
    <cellStyle name="常规 19 6 2 13 6" xfId="23081"/>
    <cellStyle name="常规 19 6 2 13 7" xfId="23082"/>
    <cellStyle name="常规 19 6 2 14" xfId="23083"/>
    <cellStyle name="常规 19 6 2 15" xfId="23084"/>
    <cellStyle name="常规 19 6 2 16" xfId="23086"/>
    <cellStyle name="常规 19 6 2 17" xfId="23087"/>
    <cellStyle name="常规 19 6 2 18" xfId="23089"/>
    <cellStyle name="常规 19 6 2 19" xfId="23091"/>
    <cellStyle name="常规 19 6 2 2" xfId="23093"/>
    <cellStyle name="常规 19 6 2 2 10" xfId="23094"/>
    <cellStyle name="常规 19 6 2 2 10 2" xfId="18868"/>
    <cellStyle name="常规 19 6 2 2 10 3" xfId="18878"/>
    <cellStyle name="常规 19 6 2 2 10 4" xfId="945"/>
    <cellStyle name="常规 19 6 2 2 10 5" xfId="1009"/>
    <cellStyle name="常规 19 6 2 2 10 6" xfId="492"/>
    <cellStyle name="常规 19 6 2 2 10 7" xfId="562"/>
    <cellStyle name="常规 19 6 2 2 10 8" xfId="1550"/>
    <cellStyle name="常规 19 6 2 2 11" xfId="23095"/>
    <cellStyle name="常规 19 6 2 2 11 2" xfId="23096"/>
    <cellStyle name="常规 19 6 2 2 11 3" xfId="23097"/>
    <cellStyle name="常规 19 6 2 2 11 4" xfId="1033"/>
    <cellStyle name="常规 19 6 2 2 11 5" xfId="1050"/>
    <cellStyle name="常规 19 6 2 2 11 6" xfId="23098"/>
    <cellStyle name="常规 19 6 2 2 11 7" xfId="22905"/>
    <cellStyle name="常规 19 6 2 2 11 8" xfId="1393"/>
    <cellStyle name="常规 19 6 2 2 12" xfId="23099"/>
    <cellStyle name="常规 19 6 2 2 12 2" xfId="23100"/>
    <cellStyle name="常规 19 6 2 2 12 3" xfId="23101"/>
    <cellStyle name="常规 19 6 2 2 12 4" xfId="1064"/>
    <cellStyle name="常规 19 6 2 2 12 5" xfId="1077"/>
    <cellStyle name="常规 19 6 2 2 12 6" xfId="23102"/>
    <cellStyle name="常规 19 6 2 2 12 7" xfId="22910"/>
    <cellStyle name="常规 19 6 2 2 13" xfId="23103"/>
    <cellStyle name="常规 19 6 2 2 14" xfId="23104"/>
    <cellStyle name="常规 19 6 2 2 15" xfId="23105"/>
    <cellStyle name="常规 19 6 2 2 16" xfId="23106"/>
    <cellStyle name="常规 19 6 2 2 17" xfId="23107"/>
    <cellStyle name="常规 19 6 2 2 18" xfId="12539"/>
    <cellStyle name="常规 19 6 2 2 19" xfId="12542"/>
    <cellStyle name="常规 19 6 2 2 2" xfId="23108"/>
    <cellStyle name="常规 19 6 2 2 2 10" xfId="23109"/>
    <cellStyle name="常规 19 6 2 2 2 10 2" xfId="23110"/>
    <cellStyle name="常规 19 6 2 2 2 10 3" xfId="18382"/>
    <cellStyle name="常规 19 6 2 2 2 10 4" xfId="18385"/>
    <cellStyle name="常规 19 6 2 2 2 10 5" xfId="18388"/>
    <cellStyle name="常规 19 6 2 2 2 10 6" xfId="18392"/>
    <cellStyle name="常规 19 6 2 2 2 10 7" xfId="16268"/>
    <cellStyle name="常规 19 6 2 2 2 11" xfId="23111"/>
    <cellStyle name="常规 19 6 2 2 2 12" xfId="23112"/>
    <cellStyle name="常规 19 6 2 2 2 13" xfId="23113"/>
    <cellStyle name="常规 19 6 2 2 2 14" xfId="23114"/>
    <cellStyle name="常规 19 6 2 2 2 15" xfId="23115"/>
    <cellStyle name="常规 19 6 2 2 2 16" xfId="23116"/>
    <cellStyle name="常规 19 6 2 2 2 17" xfId="23117"/>
    <cellStyle name="常规 19 6 2 2 2 2" xfId="23118"/>
    <cellStyle name="常规 19 6 2 2 2 2 2" xfId="16479"/>
    <cellStyle name="常规 19 6 2 2 2 2 3" xfId="16503"/>
    <cellStyle name="常规 19 6 2 2 2 2 4" xfId="16519"/>
    <cellStyle name="常规 19 6 2 2 2 2 5" xfId="16541"/>
    <cellStyle name="常规 19 6 2 2 2 2 6" xfId="23119"/>
    <cellStyle name="常规 19 6 2 2 2 2 7" xfId="23120"/>
    <cellStyle name="常规 19 6 2 2 2 2 8" xfId="23121"/>
    <cellStyle name="常规 19 6 2 2 2 3" xfId="261"/>
    <cellStyle name="常规 19 6 2 2 2 3 2" xfId="16630"/>
    <cellStyle name="常规 19 6 2 2 2 3 3" xfId="16648"/>
    <cellStyle name="常规 19 6 2 2 2 3 4" xfId="5810"/>
    <cellStyle name="常规 19 6 2 2 2 3 5" xfId="5826"/>
    <cellStyle name="常规 19 6 2 2 2 3 6" xfId="23122"/>
    <cellStyle name="常规 19 6 2 2 2 3 7" xfId="23123"/>
    <cellStyle name="常规 19 6 2 2 2 3 8" xfId="23124"/>
    <cellStyle name="常规 19 6 2 2 2 4" xfId="1999"/>
    <cellStyle name="常规 19 6 2 2 2 4 2" xfId="16691"/>
    <cellStyle name="常规 19 6 2 2 2 4 3" xfId="16694"/>
    <cellStyle name="常规 19 6 2 2 2 4 4" xfId="16696"/>
    <cellStyle name="常规 19 6 2 2 2 4 5" xfId="23125"/>
    <cellStyle name="常规 19 6 2 2 2 4 6" xfId="9535"/>
    <cellStyle name="常规 19 6 2 2 2 4 7" xfId="9587"/>
    <cellStyle name="常规 19 6 2 2 2 4 8" xfId="9619"/>
    <cellStyle name="常规 19 6 2 2 2 5" xfId="23126"/>
    <cellStyle name="常规 19 6 2 2 2 5 2" xfId="16703"/>
    <cellStyle name="常规 19 6 2 2 2 5 3" xfId="16705"/>
    <cellStyle name="常规 19 6 2 2 2 5 4" xfId="16707"/>
    <cellStyle name="常规 19 6 2 2 2 5 5" xfId="23127"/>
    <cellStyle name="常规 19 6 2 2 2 5 6" xfId="9675"/>
    <cellStyle name="常规 19 6 2 2 2 5 7" xfId="9725"/>
    <cellStyle name="常规 19 6 2 2 2 5 8" xfId="9727"/>
    <cellStyle name="常规 19 6 2 2 2 6" xfId="23128"/>
    <cellStyle name="常规 19 6 2 2 2 6 2" xfId="842"/>
    <cellStyle name="常规 19 6 2 2 2 6 3" xfId="3252"/>
    <cellStyle name="常规 19 6 2 2 2 6 4" xfId="3285"/>
    <cellStyle name="常规 19 6 2 2 2 6 5" xfId="23129"/>
    <cellStyle name="常规 19 6 2 2 2 6 6" xfId="2304"/>
    <cellStyle name="常规 19 6 2 2 2 6 7" xfId="2332"/>
    <cellStyle name="常规 19 6 2 2 2 6 8" xfId="9791"/>
    <cellStyle name="常规 19 6 2 2 2 7" xfId="23130"/>
    <cellStyle name="常规 19 6 2 2 2 7 2" xfId="3319"/>
    <cellStyle name="常规 19 6 2 2 2 7 3" xfId="1734"/>
    <cellStyle name="常规 19 6 2 2 2 7 4" xfId="963"/>
    <cellStyle name="常规 19 6 2 2 2 7 5" xfId="981"/>
    <cellStyle name="常规 19 6 2 2 2 7 6" xfId="9820"/>
    <cellStyle name="常规 19 6 2 2 2 7 7" xfId="9841"/>
    <cellStyle name="常规 19 6 2 2 2 7 8" xfId="9846"/>
    <cellStyle name="常规 19 6 2 2 2 8" xfId="23131"/>
    <cellStyle name="常规 19 6 2 2 2 8 2" xfId="3403"/>
    <cellStyle name="常规 19 6 2 2 2 8 3" xfId="3433"/>
    <cellStyle name="常规 19 6 2 2 2 8 4" xfId="5659"/>
    <cellStyle name="常规 19 6 2 2 2 8 5" xfId="3107"/>
    <cellStyle name="常规 19 6 2 2 2 8 6" xfId="4344"/>
    <cellStyle name="常规 19 6 2 2 2 8 7" xfId="7643"/>
    <cellStyle name="常规 19 6 2 2 2 8 8" xfId="7649"/>
    <cellStyle name="常规 19 6 2 2 2 9" xfId="23132"/>
    <cellStyle name="常规 19 6 2 2 2 9 2" xfId="3452"/>
    <cellStyle name="常规 19 6 2 2 2 9 3" xfId="16728"/>
    <cellStyle name="常规 19 6 2 2 2 9 4" xfId="5679"/>
    <cellStyle name="常规 19 6 2 2 2 9 5" xfId="4364"/>
    <cellStyle name="常规 19 6 2 2 2 9 6" xfId="4373"/>
    <cellStyle name="常规 19 6 2 2 2 9 7" xfId="7138"/>
    <cellStyle name="常规 19 6 2 2 2 9 8" xfId="4315"/>
    <cellStyle name="常规 19 6 2 2 3" xfId="1649"/>
    <cellStyle name="常规 19 6 2 2 3 2" xfId="23133"/>
    <cellStyle name="常规 19 6 2 2 3 3" xfId="23134"/>
    <cellStyle name="常规 19 6 2 2 3 4" xfId="23135"/>
    <cellStyle name="常规 19 6 2 2 3 5" xfId="23136"/>
    <cellStyle name="常规 19 6 2 2 3 6" xfId="23137"/>
    <cellStyle name="常规 19 6 2 2 3 7" xfId="23138"/>
    <cellStyle name="常规 19 6 2 2 3 8" xfId="23139"/>
    <cellStyle name="常规 19 6 2 2 4" xfId="1658"/>
    <cellStyle name="常规 19 6 2 2 4 2" xfId="22818"/>
    <cellStyle name="常规 19 6 2 2 4 3" xfId="22820"/>
    <cellStyle name="常规 19 6 2 2 4 4" xfId="4419"/>
    <cellStyle name="常规 19 6 2 2 4 5" xfId="4429"/>
    <cellStyle name="常规 19 6 2 2 4 6" xfId="23140"/>
    <cellStyle name="常规 19 6 2 2 4 7" xfId="23141"/>
    <cellStyle name="常规 19 6 2 2 4 8" xfId="23142"/>
    <cellStyle name="常规 19 6 2 2 5" xfId="23143"/>
    <cellStyle name="常规 19 6 2 2 5 2" xfId="23144"/>
    <cellStyle name="常规 19 6 2 2 5 3" xfId="23145"/>
    <cellStyle name="常规 19 6 2 2 5 4" xfId="6887"/>
    <cellStyle name="常规 19 6 2 2 5 5" xfId="7209"/>
    <cellStyle name="常规 19 6 2 2 5 6" xfId="7463"/>
    <cellStyle name="常规 19 6 2 2 5 7" xfId="7470"/>
    <cellStyle name="常规 19 6 2 2 5 8" xfId="7478"/>
    <cellStyle name="常规 19 6 2 2 6" xfId="23146"/>
    <cellStyle name="常规 19 6 2 2 6 2" xfId="23147"/>
    <cellStyle name="常规 19 6 2 2 6 3" xfId="23148"/>
    <cellStyle name="常规 19 6 2 2 6 4" xfId="23149"/>
    <cellStyle name="常规 19 6 2 2 6 5" xfId="7526"/>
    <cellStyle name="常规 19 6 2 2 6 6" xfId="7626"/>
    <cellStyle name="常规 19 6 2 2 6 7" xfId="1188"/>
    <cellStyle name="常规 19 6 2 2 6 8" xfId="1194"/>
    <cellStyle name="常规 19 6 2 2 7" xfId="23150"/>
    <cellStyle name="常规 19 6 2 2 7 2" xfId="23151"/>
    <cellStyle name="常规 19 6 2 2 7 3" xfId="23152"/>
    <cellStyle name="常规 19 6 2 2 7 4" xfId="23153"/>
    <cellStyle name="常规 19 6 2 2 7 5" xfId="7697"/>
    <cellStyle name="常规 19 6 2 2 7 6" xfId="7787"/>
    <cellStyle name="常规 19 6 2 2 7 7" xfId="7808"/>
    <cellStyle name="常规 19 6 2 2 7 8" xfId="7820"/>
    <cellStyle name="常规 19 6 2 2 8" xfId="23154"/>
    <cellStyle name="常规 19 6 2 2 8 2" xfId="23155"/>
    <cellStyle name="常规 19 6 2 2 8 3" xfId="23156"/>
    <cellStyle name="常规 19 6 2 2 8 4" xfId="23157"/>
    <cellStyle name="常规 19 6 2 2 8 5" xfId="7842"/>
    <cellStyle name="常规 19 6 2 2 8 6" xfId="7869"/>
    <cellStyle name="常规 19 6 2 2 8 7" xfId="2755"/>
    <cellStyle name="常规 19 6 2 2 8 8" xfId="26"/>
    <cellStyle name="常规 19 6 2 2 9" xfId="23158"/>
    <cellStyle name="常规 19 6 2 2 9 2" xfId="22971"/>
    <cellStyle name="常规 19 6 2 2 9 3" xfId="22973"/>
    <cellStyle name="常规 19 6 2 2 9 4" xfId="11815"/>
    <cellStyle name="常规 19 6 2 2 9 5" xfId="3261"/>
    <cellStyle name="常规 19 6 2 2 9 6" xfId="3678"/>
    <cellStyle name="常规 19 6 2 2 9 7" xfId="3766"/>
    <cellStyle name="常规 19 6 2 2 9 8" xfId="23159"/>
    <cellStyle name="常规 19 6 2 20" xfId="23085"/>
    <cellStyle name="常规 19 6 2 3" xfId="11783"/>
    <cellStyle name="常规 19 6 2 3 10" xfId="23160"/>
    <cellStyle name="常规 19 6 2 3 10 2" xfId="16319"/>
    <cellStyle name="常规 19 6 2 3 10 3" xfId="16321"/>
    <cellStyle name="常规 19 6 2 3 10 4" xfId="23161"/>
    <cellStyle name="常规 19 6 2 3 10 5" xfId="23162"/>
    <cellStyle name="常规 19 6 2 3 10 6" xfId="23163"/>
    <cellStyle name="常规 19 6 2 3 10 7" xfId="5846"/>
    <cellStyle name="常规 19 6 2 3 11" xfId="23164"/>
    <cellStyle name="常规 19 6 2 3 12" xfId="23165"/>
    <cellStyle name="常规 19 6 2 3 13" xfId="23167"/>
    <cellStyle name="常规 19 6 2 3 14" xfId="23169"/>
    <cellStyle name="常规 19 6 2 3 15" xfId="23171"/>
    <cellStyle name="常规 19 6 2 3 16" xfId="23172"/>
    <cellStyle name="常规 19 6 2 3 17" xfId="23173"/>
    <cellStyle name="常规 19 6 2 3 2" xfId="11786"/>
    <cellStyle name="常规 19 6 2 3 2 2" xfId="12806"/>
    <cellStyle name="常规 19 6 2 3 2 3" xfId="4817"/>
    <cellStyle name="常规 19 6 2 3 2 4" xfId="4844"/>
    <cellStyle name="常规 19 6 2 3 2 5" xfId="15500"/>
    <cellStyle name="常规 19 6 2 3 2 6" xfId="16420"/>
    <cellStyle name="常规 19 6 2 3 2 7" xfId="16431"/>
    <cellStyle name="常规 19 6 2 3 2 8" xfId="16438"/>
    <cellStyle name="常规 19 6 2 3 3" xfId="11789"/>
    <cellStyle name="常规 19 6 2 3 3 2" xfId="11794"/>
    <cellStyle name="常规 19 6 2 3 3 3" xfId="4860"/>
    <cellStyle name="常规 19 6 2 3 3 4" xfId="5421"/>
    <cellStyle name="常规 19 6 2 3 3 5" xfId="16451"/>
    <cellStyle name="常规 19 6 2 3 3 6" xfId="16456"/>
    <cellStyle name="常规 19 6 2 3 3 7" xfId="16460"/>
    <cellStyle name="常规 19 6 2 3 3 8" xfId="23174"/>
    <cellStyle name="常规 19 6 2 3 4" xfId="23175"/>
    <cellStyle name="常规 19 6 2 3 4 2" xfId="1974"/>
    <cellStyle name="常规 19 6 2 3 4 3" xfId="2025"/>
    <cellStyle name="常规 19 6 2 3 4 4" xfId="2067"/>
    <cellStyle name="常规 19 6 2 3 4 5" xfId="1047"/>
    <cellStyle name="常规 19 6 2 3 4 6" xfId="7824"/>
    <cellStyle name="常规 19 6 2 3 4 7" xfId="7828"/>
    <cellStyle name="常规 19 6 2 3 4 8" xfId="23176"/>
    <cellStyle name="常规 19 6 2 3 5" xfId="23178"/>
    <cellStyle name="常规 19 6 2 3 5 2" xfId="16467"/>
    <cellStyle name="常规 19 6 2 3 5 3" xfId="16470"/>
    <cellStyle name="常规 19 6 2 3 5 4" xfId="16473"/>
    <cellStyle name="常规 19 6 2 3 5 5" xfId="16477"/>
    <cellStyle name="常规 19 6 2 3 5 6" xfId="12095"/>
    <cellStyle name="常规 19 6 2 3 5 7" xfId="10989"/>
    <cellStyle name="常规 19 6 2 3 5 8" xfId="23179"/>
    <cellStyle name="常规 19 6 2 3 6" xfId="23180"/>
    <cellStyle name="常规 19 6 2 3 6 2" xfId="16482"/>
    <cellStyle name="常规 19 6 2 3 6 3" xfId="16486"/>
    <cellStyle name="常规 19 6 2 3 6 4" xfId="16489"/>
    <cellStyle name="常规 19 6 2 3 6 5" xfId="16493"/>
    <cellStyle name="常规 19 6 2 3 6 6" xfId="16497"/>
    <cellStyle name="常规 19 6 2 3 6 7" xfId="16501"/>
    <cellStyle name="常规 19 6 2 3 6 8" xfId="23181"/>
    <cellStyle name="常规 19 6 2 3 7" xfId="23182"/>
    <cellStyle name="常规 19 6 2 3 7 2" xfId="16506"/>
    <cellStyle name="常规 19 6 2 3 7 3" xfId="16509"/>
    <cellStyle name="常规 19 6 2 3 7 4" xfId="10265"/>
    <cellStyle name="常规 19 6 2 3 7 5" xfId="10269"/>
    <cellStyle name="常规 19 6 2 3 7 6" xfId="16513"/>
    <cellStyle name="常规 19 6 2 3 7 7" xfId="16517"/>
    <cellStyle name="常规 19 6 2 3 7 8" xfId="23183"/>
    <cellStyle name="常规 19 6 2 3 8" xfId="23184"/>
    <cellStyle name="常规 19 6 2 3 8 2" xfId="16522"/>
    <cellStyle name="常规 19 6 2 3 8 3" xfId="16525"/>
    <cellStyle name="常规 19 6 2 3 8 4" xfId="16528"/>
    <cellStyle name="常规 19 6 2 3 8 5" xfId="16532"/>
    <cellStyle name="常规 19 6 2 3 8 6" xfId="16536"/>
    <cellStyle name="常规 19 6 2 3 8 7" xfId="16539"/>
    <cellStyle name="常规 19 6 2 3 8 8" xfId="23185"/>
    <cellStyle name="常规 19 6 2 3 9" xfId="23186"/>
    <cellStyle name="常规 19 6 2 3 9 2" xfId="16545"/>
    <cellStyle name="常规 19 6 2 3 9 3" xfId="16548"/>
    <cellStyle name="常规 19 6 2 3 9 4" xfId="16551"/>
    <cellStyle name="常规 19 6 2 3 9 5" xfId="16555"/>
    <cellStyle name="常规 19 6 2 3 9 6" xfId="16559"/>
    <cellStyle name="常规 19 6 2 3 9 7" xfId="16562"/>
    <cellStyle name="常规 19 6 2 3 9 8" xfId="23187"/>
    <cellStyle name="常规 19 6 2 4" xfId="11799"/>
    <cellStyle name="常规 19 6 2 4 2" xfId="23188"/>
    <cellStyle name="常规 19 6 2 4 3" xfId="23189"/>
    <cellStyle name="常规 19 6 2 4 4" xfId="23190"/>
    <cellStyle name="常规 19 6 2 4 5" xfId="23191"/>
    <cellStyle name="常规 19 6 2 4 6" xfId="23193"/>
    <cellStyle name="常规 19 6 2 4 7" xfId="23195"/>
    <cellStyle name="常规 19 6 2 4 8" xfId="23197"/>
    <cellStyle name="常规 19 6 2 5" xfId="11804"/>
    <cellStyle name="常规 19 6 2 5 2" xfId="23198"/>
    <cellStyle name="常规 19 6 2 5 3" xfId="23199"/>
    <cellStyle name="常规 19 6 2 5 4" xfId="23200"/>
    <cellStyle name="常规 19 6 2 5 5" xfId="23201"/>
    <cellStyle name="常规 19 6 2 5 6" xfId="23203"/>
    <cellStyle name="常规 19 6 2 5 7" xfId="23205"/>
    <cellStyle name="常规 19 6 2 5 8" xfId="23207"/>
    <cellStyle name="常规 19 6 2 6" xfId="23209"/>
    <cellStyle name="常规 19 6 2 6 2" xfId="23211"/>
    <cellStyle name="常规 19 6 2 6 3" xfId="23213"/>
    <cellStyle name="常规 19 6 2 6 4" xfId="23215"/>
    <cellStyle name="常规 19 6 2 6 5" xfId="23216"/>
    <cellStyle name="常规 19 6 2 6 6" xfId="1942"/>
    <cellStyle name="常规 19 6 2 6 7" xfId="2150"/>
    <cellStyle name="常规 19 6 2 6 8" xfId="2161"/>
    <cellStyle name="常规 19 6 2 7" xfId="23218"/>
    <cellStyle name="常规 19 6 2 7 2" xfId="23220"/>
    <cellStyle name="常规 19 6 2 7 3" xfId="23222"/>
    <cellStyle name="常规 19 6 2 7 4" xfId="23224"/>
    <cellStyle name="常规 19 6 2 7 5" xfId="23225"/>
    <cellStyle name="常规 19 6 2 7 6" xfId="9367"/>
    <cellStyle name="常规 19 6 2 7 7" xfId="9730"/>
    <cellStyle name="常规 19 6 2 7 8" xfId="23227"/>
    <cellStyle name="常规 19 6 2 8" xfId="23228"/>
    <cellStyle name="常规 19 6 2 8 2" xfId="22366"/>
    <cellStyle name="常规 19 6 2 8 3" xfId="22376"/>
    <cellStyle name="常规 19 6 2 8 4" xfId="22383"/>
    <cellStyle name="常规 19 6 2 8 5" xfId="22386"/>
    <cellStyle name="常规 19 6 2 8 6" xfId="10089"/>
    <cellStyle name="常规 19 6 2 8 7" xfId="10098"/>
    <cellStyle name="常规 19 6 2 8 8" xfId="22389"/>
    <cellStyle name="常规 19 6 2 9" xfId="23230"/>
    <cellStyle name="常规 19 6 2 9 2" xfId="23232"/>
    <cellStyle name="常规 19 6 2 9 3" xfId="23234"/>
    <cellStyle name="常规 19 6 2 9 4" xfId="23235"/>
    <cellStyle name="常规 19 6 2 9 5" xfId="23236"/>
    <cellStyle name="常规 19 6 2 9 6" xfId="23237"/>
    <cellStyle name="常规 19 6 2 9 7" xfId="23238"/>
    <cellStyle name="常规 19 6 2 9 8" xfId="23239"/>
    <cellStyle name="常规 19 6 20" xfId="23027"/>
    <cellStyle name="常规 19 6 21" xfId="23032"/>
    <cellStyle name="常规 19 6 22" xfId="23035"/>
    <cellStyle name="常规 19 6 3" xfId="23240"/>
    <cellStyle name="常规 19 6 3 10" xfId="22228"/>
    <cellStyle name="常规 19 6 3 10 2" xfId="16972"/>
    <cellStyle name="常规 19 6 3 10 3" xfId="16976"/>
    <cellStyle name="常规 19 6 3 10 4" xfId="16981"/>
    <cellStyle name="常规 19 6 3 10 5" xfId="16986"/>
    <cellStyle name="常规 19 6 3 10 6" xfId="16990"/>
    <cellStyle name="常规 19 6 3 10 7" xfId="22231"/>
    <cellStyle name="常规 19 6 3 10 8" xfId="3300"/>
    <cellStyle name="常规 19 6 3 11" xfId="22234"/>
    <cellStyle name="常规 19 6 3 11 2" xfId="17000"/>
    <cellStyle name="常规 19 6 3 11 3" xfId="17003"/>
    <cellStyle name="常规 19 6 3 11 4" xfId="17007"/>
    <cellStyle name="常规 19 6 3 11 5" xfId="17011"/>
    <cellStyle name="常规 19 6 3 11 6" xfId="22237"/>
    <cellStyle name="常规 19 6 3 11 7" xfId="22239"/>
    <cellStyle name="常规 19 6 3 11 8" xfId="630"/>
    <cellStyle name="常规 19 6 3 12" xfId="22241"/>
    <cellStyle name="常规 19 6 3 12 2" xfId="22244"/>
    <cellStyle name="常规 19 6 3 12 3" xfId="22246"/>
    <cellStyle name="常规 19 6 3 12 4" xfId="22248"/>
    <cellStyle name="常规 19 6 3 12 5" xfId="22250"/>
    <cellStyle name="常规 19 6 3 12 6" xfId="22252"/>
    <cellStyle name="常规 19 6 3 12 7" xfId="22254"/>
    <cellStyle name="常规 19 6 3 13" xfId="23241"/>
    <cellStyle name="常规 19 6 3 14" xfId="23242"/>
    <cellStyle name="常规 19 6 3 15" xfId="23244"/>
    <cellStyle name="常规 19 6 3 16" xfId="23246"/>
    <cellStyle name="常规 19 6 3 17" xfId="23248"/>
    <cellStyle name="常规 19 6 3 18" xfId="23249"/>
    <cellStyle name="常规 19 6 3 19" xfId="16996"/>
    <cellStyle name="常规 19 6 3 2" xfId="23250"/>
    <cellStyle name="常规 19 6 3 2 10" xfId="23251"/>
    <cellStyle name="常规 19 6 3 2 10 2" xfId="23252"/>
    <cellStyle name="常规 19 6 3 2 10 3" xfId="23254"/>
    <cellStyle name="常规 19 6 3 2 10 4" xfId="23255"/>
    <cellStyle name="常规 19 6 3 2 10 5" xfId="23256"/>
    <cellStyle name="常规 19 6 3 2 10 6" xfId="23257"/>
    <cellStyle name="常规 19 6 3 2 10 7" xfId="23258"/>
    <cellStyle name="常规 19 6 3 2 11" xfId="6365"/>
    <cellStyle name="常规 19 6 3 2 12" xfId="6375"/>
    <cellStyle name="常规 19 6 3 2 13" xfId="2386"/>
    <cellStyle name="常规 19 6 3 2 14" xfId="23259"/>
    <cellStyle name="常规 19 6 3 2 15" xfId="23260"/>
    <cellStyle name="常规 19 6 3 2 16" xfId="23262"/>
    <cellStyle name="常规 19 6 3 2 17" xfId="23264"/>
    <cellStyle name="常规 19 6 3 2 2" xfId="23266"/>
    <cellStyle name="常规 19 6 3 2 2 2" xfId="23267"/>
    <cellStyle name="常规 19 6 3 2 2 3" xfId="23268"/>
    <cellStyle name="常规 19 6 3 2 2 4" xfId="23269"/>
    <cellStyle name="常规 19 6 3 2 2 5" xfId="23270"/>
    <cellStyle name="常规 19 6 3 2 2 6" xfId="23271"/>
    <cellStyle name="常规 19 6 3 2 2 7" xfId="23272"/>
    <cellStyle name="常规 19 6 3 2 2 8" xfId="23273"/>
    <cellStyle name="常规 19 6 3 2 3" xfId="1726"/>
    <cellStyle name="常规 19 6 3 2 3 2" xfId="23274"/>
    <cellStyle name="常规 19 6 3 2 3 3" xfId="23275"/>
    <cellStyle name="常规 19 6 3 2 3 4" xfId="23276"/>
    <cellStyle name="常规 19 6 3 2 3 5" xfId="23277"/>
    <cellStyle name="常规 19 6 3 2 3 6" xfId="23278"/>
    <cellStyle name="常规 19 6 3 2 3 7" xfId="23279"/>
    <cellStyle name="常规 19 6 3 2 3 8" xfId="23280"/>
    <cellStyle name="常规 19 6 3 2 4" xfId="953"/>
    <cellStyle name="常规 19 6 3 2 4 2" xfId="23281"/>
    <cellStyle name="常规 19 6 3 2 4 3" xfId="23282"/>
    <cellStyle name="常规 19 6 3 2 4 4" xfId="4457"/>
    <cellStyle name="常规 19 6 3 2 4 5" xfId="4468"/>
    <cellStyle name="常规 19 6 3 2 4 6" xfId="23284"/>
    <cellStyle name="常规 19 6 3 2 4 7" xfId="23286"/>
    <cellStyle name="常规 19 6 3 2 4 8" xfId="23288"/>
    <cellStyle name="常规 19 6 3 2 5" xfId="23290"/>
    <cellStyle name="常规 19 6 3 2 5 2" xfId="23291"/>
    <cellStyle name="常规 19 6 3 2 5 3" xfId="23292"/>
    <cellStyle name="常规 19 6 3 2 5 4" xfId="6917"/>
    <cellStyle name="常规 19 6 3 2 5 5" xfId="7307"/>
    <cellStyle name="常规 19 6 3 2 5 6" xfId="7956"/>
    <cellStyle name="常规 19 6 3 2 5 7" xfId="7982"/>
    <cellStyle name="常规 19 6 3 2 5 8" xfId="8010"/>
    <cellStyle name="常规 19 6 3 2 6" xfId="23294"/>
    <cellStyle name="常规 19 6 3 2 6 2" xfId="23295"/>
    <cellStyle name="常规 19 6 3 2 6 3" xfId="23296"/>
    <cellStyle name="常规 19 6 3 2 6 4" xfId="23298"/>
    <cellStyle name="常规 19 6 3 2 6 5" xfId="3909"/>
    <cellStyle name="常规 19 6 3 2 6 6" xfId="6453"/>
    <cellStyle name="常规 19 6 3 2 6 7" xfId="6459"/>
    <cellStyle name="常规 19 6 3 2 6 8" xfId="8155"/>
    <cellStyle name="常规 19 6 3 2 7" xfId="23300"/>
    <cellStyle name="常规 19 6 3 2 7 2" xfId="23301"/>
    <cellStyle name="常规 19 6 3 2 7 3" xfId="23302"/>
    <cellStyle name="常规 19 6 3 2 7 4" xfId="23304"/>
    <cellStyle name="常规 19 6 3 2 7 5" xfId="6481"/>
    <cellStyle name="常规 19 6 3 2 7 6" xfId="6491"/>
    <cellStyle name="常规 19 6 3 2 7 7" xfId="8220"/>
    <cellStyle name="常规 19 6 3 2 7 8" xfId="8233"/>
    <cellStyle name="常规 19 6 3 2 8" xfId="23306"/>
    <cellStyle name="常规 19 6 3 2 8 2" xfId="23307"/>
    <cellStyle name="常规 19 6 3 2 8 3" xfId="23309"/>
    <cellStyle name="常规 19 6 3 2 8 4" xfId="23313"/>
    <cellStyle name="常规 19 6 3 2 8 5" xfId="6509"/>
    <cellStyle name="常规 19 6 3 2 8 6" xfId="6519"/>
    <cellStyle name="常规 19 6 3 2 8 7" xfId="8269"/>
    <cellStyle name="常规 19 6 3 2 8 8" xfId="8272"/>
    <cellStyle name="常规 19 6 3 2 9" xfId="23316"/>
    <cellStyle name="常规 19 6 3 2 9 2" xfId="23317"/>
    <cellStyle name="常规 19 6 3 2 9 3" xfId="23318"/>
    <cellStyle name="常规 19 6 3 2 9 4" xfId="23320"/>
    <cellStyle name="常规 19 6 3 2 9 5" xfId="6530"/>
    <cellStyle name="常规 19 6 3 2 9 6" xfId="8290"/>
    <cellStyle name="常规 19 6 3 2 9 7" xfId="8297"/>
    <cellStyle name="常规 19 6 3 2 9 8" xfId="23322"/>
    <cellStyle name="常规 19 6 3 3" xfId="23323"/>
    <cellStyle name="常规 19 6 3 3 2" xfId="22175"/>
    <cellStyle name="常规 19 6 3 3 3" xfId="22177"/>
    <cellStyle name="常规 19 6 3 3 4" xfId="4988"/>
    <cellStyle name="常规 19 6 3 3 5" xfId="5004"/>
    <cellStyle name="常规 19 6 3 3 6" xfId="22179"/>
    <cellStyle name="常规 19 6 3 3 7" xfId="22181"/>
    <cellStyle name="常规 19 6 3 3 8" xfId="23324"/>
    <cellStyle name="常规 19 6 3 4" xfId="23325"/>
    <cellStyle name="常规 19 6 3 4 2" xfId="23327"/>
    <cellStyle name="常规 19 6 3 4 3" xfId="23328"/>
    <cellStyle name="常规 19 6 3 4 4" xfId="23330"/>
    <cellStyle name="常规 19 6 3 4 5" xfId="6435"/>
    <cellStyle name="常规 19 6 3 4 6" xfId="6443"/>
    <cellStyle name="常规 19 6 3 4 7" xfId="8057"/>
    <cellStyle name="常规 19 6 3 4 8" xfId="23332"/>
    <cellStyle name="常规 19 6 3 5" xfId="23333"/>
    <cellStyle name="常规 19 6 3 5 2" xfId="23335"/>
    <cellStyle name="常规 19 6 3 5 3" xfId="23336"/>
    <cellStyle name="常规 19 6 3 5 4" xfId="23338"/>
    <cellStyle name="常规 19 6 3 5 5" xfId="8065"/>
    <cellStyle name="常规 19 6 3 5 6" xfId="8085"/>
    <cellStyle name="常规 19 6 3 5 7" xfId="23340"/>
    <cellStyle name="常规 19 6 3 5 8" xfId="23342"/>
    <cellStyle name="常规 19 6 3 6" xfId="23343"/>
    <cellStyle name="常规 19 6 3 6 2" xfId="23345"/>
    <cellStyle name="常规 19 6 3 6 3" xfId="23347"/>
    <cellStyle name="常规 19 6 3 6 4" xfId="23349"/>
    <cellStyle name="常规 19 6 3 6 5" xfId="8093"/>
    <cellStyle name="常规 19 6 3 6 6" xfId="8102"/>
    <cellStyle name="常规 19 6 3 6 7" xfId="2239"/>
    <cellStyle name="常规 19 6 3 6 8" xfId="23350"/>
    <cellStyle name="常规 19 6 3 7" xfId="23351"/>
    <cellStyle name="常规 19 6 3 7 2" xfId="5142"/>
    <cellStyle name="常规 19 6 3 7 3" xfId="21674"/>
    <cellStyle name="常规 19 6 3 7 4" xfId="21676"/>
    <cellStyle name="常规 19 6 3 7 5" xfId="21678"/>
    <cellStyle name="常规 19 6 3 7 6" xfId="10115"/>
    <cellStyle name="常规 19 6 3 7 7" xfId="10118"/>
    <cellStyle name="常规 19 6 3 7 8" xfId="21680"/>
    <cellStyle name="常规 19 6 3 8" xfId="23353"/>
    <cellStyle name="常规 19 6 3 8 2" xfId="23354"/>
    <cellStyle name="常规 19 6 3 8 3" xfId="23355"/>
    <cellStyle name="常规 19 6 3 8 4" xfId="23357"/>
    <cellStyle name="常规 19 6 3 8 5" xfId="23358"/>
    <cellStyle name="常规 19 6 3 8 6" xfId="23359"/>
    <cellStyle name="常规 19 6 3 8 7" xfId="23360"/>
    <cellStyle name="常规 19 6 3 8 8" xfId="23361"/>
    <cellStyle name="常规 19 6 3 9" xfId="23362"/>
    <cellStyle name="常规 19 6 3 9 2" xfId="23363"/>
    <cellStyle name="常规 19 6 3 9 3" xfId="23364"/>
    <cellStyle name="常规 19 6 3 9 4" xfId="23365"/>
    <cellStyle name="常规 19 6 3 9 5" xfId="23366"/>
    <cellStyle name="常规 19 6 3 9 6" xfId="23367"/>
    <cellStyle name="常规 19 6 3 9 7" xfId="23368"/>
    <cellStyle name="常规 19 6 3 9 8" xfId="23369"/>
    <cellStyle name="常规 19 6 4" xfId="23370"/>
    <cellStyle name="常规 19 6 4 10" xfId="4714"/>
    <cellStyle name="常规 19 6 4 10 2" xfId="23371"/>
    <cellStyle name="常规 19 6 4 10 3" xfId="23372"/>
    <cellStyle name="常规 19 6 4 10 4" xfId="23373"/>
    <cellStyle name="常规 19 6 4 10 5" xfId="23374"/>
    <cellStyle name="常规 19 6 4 10 6" xfId="23375"/>
    <cellStyle name="常规 19 6 4 10 7" xfId="23376"/>
    <cellStyle name="常规 19 6 4 10 8" xfId="23377"/>
    <cellStyle name="常规 19 6 4 11" xfId="10302"/>
    <cellStyle name="常规 19 6 4 11 2" xfId="23378"/>
    <cellStyle name="常规 19 6 4 11 3" xfId="23379"/>
    <cellStyle name="常规 19 6 4 11 4" xfId="23380"/>
    <cellStyle name="常规 19 6 4 11 5" xfId="23381"/>
    <cellStyle name="常规 19 6 4 11 6" xfId="23382"/>
    <cellStyle name="常规 19 6 4 11 7" xfId="23383"/>
    <cellStyle name="常规 19 6 4 11 8" xfId="23384"/>
    <cellStyle name="常规 19 6 4 12" xfId="23385"/>
    <cellStyle name="常规 19 6 4 12 2" xfId="23387"/>
    <cellStyle name="常规 19 6 4 12 3" xfId="23388"/>
    <cellStyle name="常规 19 6 4 12 4" xfId="23389"/>
    <cellStyle name="常规 19 6 4 12 5" xfId="23390"/>
    <cellStyle name="常规 19 6 4 12 6" xfId="23391"/>
    <cellStyle name="常规 19 6 4 12 7" xfId="23392"/>
    <cellStyle name="常规 19 6 4 13" xfId="23394"/>
    <cellStyle name="常规 19 6 4 14" xfId="23395"/>
    <cellStyle name="常规 19 6 4 15" xfId="23396"/>
    <cellStyle name="常规 19 6 4 16" xfId="23397"/>
    <cellStyle name="常规 19 6 4 17" xfId="23398"/>
    <cellStyle name="常规 19 6 4 18" xfId="23399"/>
    <cellStyle name="常规 19 6 4 19" xfId="23400"/>
    <cellStyle name="常规 19 6 4 2" xfId="21968"/>
    <cellStyle name="常规 19 6 4 2 10" xfId="6507"/>
    <cellStyle name="常规 19 6 4 2 10 2" xfId="4169"/>
    <cellStyle name="常规 19 6 4 2 10 3" xfId="4212"/>
    <cellStyle name="常规 19 6 4 2 10 4" xfId="23401"/>
    <cellStyle name="常规 19 6 4 2 10 5" xfId="8755"/>
    <cellStyle name="常规 19 6 4 2 10 6" xfId="8797"/>
    <cellStyle name="常规 19 6 4 2 10 7" xfId="8812"/>
    <cellStyle name="常规 19 6 4 2 11" xfId="1112"/>
    <cellStyle name="常规 19 6 4 2 12" xfId="23402"/>
    <cellStyle name="常规 19 6 4 2 13" xfId="23403"/>
    <cellStyle name="常规 19 6 4 2 14" xfId="23404"/>
    <cellStyle name="常规 19 6 4 2 15" xfId="23405"/>
    <cellStyle name="常规 19 6 4 2 16" xfId="23406"/>
    <cellStyle name="常规 19 6 4 2 17" xfId="23407"/>
    <cellStyle name="常规 19 6 4 2 2" xfId="23408"/>
    <cellStyle name="常规 19 6 4 2 2 2" xfId="23409"/>
    <cellStyle name="常规 19 6 4 2 2 3" xfId="23411"/>
    <cellStyle name="常规 19 6 4 2 2 4" xfId="23413"/>
    <cellStyle name="常规 19 6 4 2 2 5" xfId="23415"/>
    <cellStyle name="常规 19 6 4 2 2 6" xfId="23417"/>
    <cellStyle name="常规 19 6 4 2 2 7" xfId="23420"/>
    <cellStyle name="常规 19 6 4 2 2 8" xfId="23422"/>
    <cellStyle name="常规 19 6 4 2 3" xfId="23423"/>
    <cellStyle name="常规 19 6 4 2 3 2" xfId="23424"/>
    <cellStyle name="常规 19 6 4 2 3 3" xfId="23426"/>
    <cellStyle name="常规 19 6 4 2 3 4" xfId="13288"/>
    <cellStyle name="常规 19 6 4 2 3 5" xfId="13307"/>
    <cellStyle name="常规 19 6 4 2 3 6" xfId="13324"/>
    <cellStyle name="常规 19 6 4 2 3 7" xfId="13332"/>
    <cellStyle name="常规 19 6 4 2 3 8" xfId="6085"/>
    <cellStyle name="常规 19 6 4 2 4" xfId="23428"/>
    <cellStyle name="常规 19 6 4 2 4 2" xfId="23430"/>
    <cellStyle name="常规 19 6 4 2 4 3" xfId="23432"/>
    <cellStyle name="常规 19 6 4 2 4 4" xfId="23433"/>
    <cellStyle name="常规 19 6 4 2 4 5" xfId="23434"/>
    <cellStyle name="常规 19 6 4 2 4 6" xfId="23436"/>
    <cellStyle name="常规 19 6 4 2 4 7" xfId="23438"/>
    <cellStyle name="常规 19 6 4 2 4 8" xfId="23439"/>
    <cellStyle name="常规 19 6 4 2 5" xfId="23440"/>
    <cellStyle name="常规 19 6 4 2 5 2" xfId="23442"/>
    <cellStyle name="常规 19 6 4 2 5 3" xfId="23444"/>
    <cellStyle name="常规 19 6 4 2 5 4" xfId="23445"/>
    <cellStyle name="常规 19 6 4 2 5 5" xfId="12567"/>
    <cellStyle name="常规 19 6 4 2 5 6" xfId="12608"/>
    <cellStyle name="常规 19 6 4 2 5 7" xfId="11127"/>
    <cellStyle name="常规 19 6 4 2 5 8" xfId="23446"/>
    <cellStyle name="常规 19 6 4 2 6" xfId="23447"/>
    <cellStyle name="常规 19 6 4 2 6 2" xfId="23449"/>
    <cellStyle name="常规 19 6 4 2 6 3" xfId="23451"/>
    <cellStyle name="常规 19 6 4 2 6 4" xfId="23453"/>
    <cellStyle name="常规 19 6 4 2 6 5" xfId="12625"/>
    <cellStyle name="常规 19 6 4 2 6 6" xfId="12639"/>
    <cellStyle name="常规 19 6 4 2 6 7" xfId="11133"/>
    <cellStyle name="常规 19 6 4 2 6 8" xfId="7492"/>
    <cellStyle name="常规 19 6 4 2 7" xfId="23455"/>
    <cellStyle name="常规 19 6 4 2 7 2" xfId="23457"/>
    <cellStyle name="常规 19 6 4 2 7 3" xfId="23460"/>
    <cellStyle name="常规 19 6 4 2 7 4" xfId="23462"/>
    <cellStyle name="常规 19 6 4 2 7 5" xfId="12677"/>
    <cellStyle name="常规 19 6 4 2 7 6" xfId="12686"/>
    <cellStyle name="常规 19 6 4 2 7 7" xfId="12692"/>
    <cellStyle name="常规 19 6 4 2 7 8" xfId="23463"/>
    <cellStyle name="常规 19 6 4 2 8" xfId="23464"/>
    <cellStyle name="常规 19 6 4 2 8 2" xfId="23466"/>
    <cellStyle name="常规 19 6 4 2 8 3" xfId="23468"/>
    <cellStyle name="常规 19 6 4 2 8 4" xfId="14674"/>
    <cellStyle name="常规 19 6 4 2 8 5" xfId="12697"/>
    <cellStyle name="常规 19 6 4 2 8 6" xfId="12706"/>
    <cellStyle name="常规 19 6 4 2 8 7" xfId="12719"/>
    <cellStyle name="常规 19 6 4 2 8 8" xfId="10630"/>
    <cellStyle name="常规 19 6 4 2 9" xfId="23470"/>
    <cellStyle name="常规 19 6 4 2 9 2" xfId="23472"/>
    <cellStyle name="常规 19 6 4 2 9 3" xfId="23473"/>
    <cellStyle name="常规 19 6 4 2 9 4" xfId="23474"/>
    <cellStyle name="常规 19 6 4 2 9 5" xfId="8558"/>
    <cellStyle name="常规 19 6 4 2 9 6" xfId="8565"/>
    <cellStyle name="常规 19 6 4 2 9 7" xfId="12732"/>
    <cellStyle name="常规 19 6 4 2 9 8" xfId="23475"/>
    <cellStyle name="常规 19 6 4 3" xfId="21971"/>
    <cellStyle name="常规 19 6 4 3 2" xfId="23476"/>
    <cellStyle name="常规 19 6 4 3 3" xfId="3786"/>
    <cellStyle name="常规 19 6 4 3 4" xfId="3798"/>
    <cellStyle name="常规 19 6 4 3 5" xfId="4576"/>
    <cellStyle name="常规 19 6 4 3 6" xfId="4579"/>
    <cellStyle name="常规 19 6 4 3 7" xfId="23477"/>
    <cellStyle name="常规 19 6 4 3 8" xfId="23479"/>
    <cellStyle name="常规 19 6 4 4" xfId="21974"/>
    <cellStyle name="常规 19 6 4 4 2" xfId="23481"/>
    <cellStyle name="常规 19 6 4 4 3" xfId="23482"/>
    <cellStyle name="常规 19 6 4 4 4" xfId="23484"/>
    <cellStyle name="常规 19 6 4 4 5" xfId="7053"/>
    <cellStyle name="常规 19 6 4 4 6" xfId="8110"/>
    <cellStyle name="常规 19 6 4 4 7" xfId="23486"/>
    <cellStyle name="常规 19 6 4 4 8" xfId="23488"/>
    <cellStyle name="常规 19 6 4 5" xfId="23490"/>
    <cellStyle name="常规 19 6 4 5 2" xfId="23491"/>
    <cellStyle name="常规 19 6 4 5 3" xfId="23492"/>
    <cellStyle name="常规 19 6 4 5 4" xfId="23493"/>
    <cellStyle name="常规 19 6 4 5 5" xfId="8116"/>
    <cellStyle name="常规 19 6 4 5 6" xfId="8121"/>
    <cellStyle name="常规 19 6 4 5 7" xfId="23494"/>
    <cellStyle name="常规 19 6 4 5 8" xfId="23497"/>
    <cellStyle name="常规 19 6 4 6" xfId="23498"/>
    <cellStyle name="常规 19 6 4 6 2" xfId="23500"/>
    <cellStyle name="常规 19 6 4 6 3" xfId="23501"/>
    <cellStyle name="常规 19 6 4 6 4" xfId="23502"/>
    <cellStyle name="常规 19 6 4 6 5" xfId="23503"/>
    <cellStyle name="常规 19 6 4 6 6" xfId="10123"/>
    <cellStyle name="常规 19 6 4 6 7" xfId="10127"/>
    <cellStyle name="常规 19 6 4 6 8" xfId="16765"/>
    <cellStyle name="常规 19 6 4 7" xfId="23504"/>
    <cellStyle name="常规 19 6 4 7 2" xfId="23507"/>
    <cellStyle name="常规 19 6 4 7 3" xfId="23508"/>
    <cellStyle name="常规 19 6 4 7 4" xfId="23509"/>
    <cellStyle name="常规 19 6 4 7 5" xfId="23510"/>
    <cellStyle name="常规 19 6 4 7 6" xfId="10130"/>
    <cellStyle name="常规 19 6 4 7 7" xfId="10132"/>
    <cellStyle name="常规 19 6 4 7 8" xfId="23511"/>
    <cellStyle name="常规 19 6 4 8" xfId="23512"/>
    <cellStyle name="常规 19 6 4 8 2" xfId="23514"/>
    <cellStyle name="常规 19 6 4 8 3" xfId="23515"/>
    <cellStyle name="常规 19 6 4 8 4" xfId="23516"/>
    <cellStyle name="常规 19 6 4 8 5" xfId="23517"/>
    <cellStyle name="常规 19 6 4 8 6" xfId="23518"/>
    <cellStyle name="常规 19 6 4 8 7" xfId="23520"/>
    <cellStyle name="常规 19 6 4 8 8" xfId="23522"/>
    <cellStyle name="常规 19 6 4 9" xfId="23524"/>
    <cellStyle name="常规 19 6 4 9 2" xfId="15410"/>
    <cellStyle name="常规 19 6 4 9 3" xfId="18212"/>
    <cellStyle name="常规 19 6 4 9 4" xfId="18217"/>
    <cellStyle name="常规 19 6 4 9 5" xfId="19462"/>
    <cellStyle name="常规 19 6 4 9 6" xfId="19465"/>
    <cellStyle name="常规 19 6 4 9 7" xfId="19468"/>
    <cellStyle name="常规 19 6 4 9 8" xfId="19471"/>
    <cellStyle name="常规 19 6 5" xfId="23526"/>
    <cellStyle name="常规 19 6 5 10" xfId="11424"/>
    <cellStyle name="常规 19 6 5 10 2" xfId="3879"/>
    <cellStyle name="常规 19 6 5 10 3" xfId="3905"/>
    <cellStyle name="常规 19 6 5 10 4" xfId="23527"/>
    <cellStyle name="常规 19 6 5 10 5" xfId="23529"/>
    <cellStyle name="常规 19 6 5 10 6" xfId="23531"/>
    <cellStyle name="常规 19 6 5 10 7" xfId="23532"/>
    <cellStyle name="常规 19 6 5 11" xfId="11430"/>
    <cellStyle name="常规 19 6 5 12" xfId="10695"/>
    <cellStyle name="常规 19 6 5 13" xfId="20131"/>
    <cellStyle name="常规 19 6 5 14" xfId="20134"/>
    <cellStyle name="常规 19 6 5 15" xfId="20952"/>
    <cellStyle name="常规 19 6 5 16" xfId="20956"/>
    <cellStyle name="常规 19 6 5 17" xfId="8472"/>
    <cellStyle name="常规 19 6 5 2" xfId="22585"/>
    <cellStyle name="常规 19 6 5 2 2" xfId="23533"/>
    <cellStyle name="常规 19 6 5 2 3" xfId="23534"/>
    <cellStyle name="常规 19 6 5 2 4" xfId="516"/>
    <cellStyle name="常规 19 6 5 2 5" xfId="2644"/>
    <cellStyle name="常规 19 6 5 2 6" xfId="23535"/>
    <cellStyle name="常规 19 6 5 2 7" xfId="23537"/>
    <cellStyle name="常规 19 6 5 2 8" xfId="23540"/>
    <cellStyle name="常规 19 6 5 3" xfId="22587"/>
    <cellStyle name="常规 19 6 5 3 2" xfId="23543"/>
    <cellStyle name="常规 19 6 5 3 3" xfId="23544"/>
    <cellStyle name="常规 19 6 5 3 4" xfId="23545"/>
    <cellStyle name="常规 19 6 5 3 5" xfId="9516"/>
    <cellStyle name="常规 19 6 5 3 6" xfId="11959"/>
    <cellStyle name="常规 19 6 5 3 7" xfId="23546"/>
    <cellStyle name="常规 19 6 5 3 8" xfId="23548"/>
    <cellStyle name="常规 19 6 5 4" xfId="23550"/>
    <cellStyle name="常规 19 6 5 4 2" xfId="23552"/>
    <cellStyle name="常规 19 6 5 4 3" xfId="23553"/>
    <cellStyle name="常规 19 6 5 4 4" xfId="7475"/>
    <cellStyle name="常规 19 6 5 4 5" xfId="8135"/>
    <cellStyle name="常规 19 6 5 4 6" xfId="8139"/>
    <cellStyle name="常规 19 6 5 4 7" xfId="18870"/>
    <cellStyle name="常规 19 6 5 4 8" xfId="18873"/>
    <cellStyle name="常规 19 6 5 5" xfId="5213"/>
    <cellStyle name="常规 19 6 5 5 2" xfId="6630"/>
    <cellStyle name="常规 19 6 5 5 3" xfId="6735"/>
    <cellStyle name="常规 19 6 5 5 4" xfId="6773"/>
    <cellStyle name="常规 19 6 5 5 5" xfId="1966"/>
    <cellStyle name="常规 19 6 5 5 6" xfId="2262"/>
    <cellStyle name="常规 19 6 5 5 7" xfId="2626"/>
    <cellStyle name="常规 19 6 5 5 8" xfId="23554"/>
    <cellStyle name="常规 19 6 5 6" xfId="6803"/>
    <cellStyle name="常规 19 6 5 6 2" xfId="6808"/>
    <cellStyle name="常规 19 6 5 6 3" xfId="6878"/>
    <cellStyle name="常规 19 6 5 6 4" xfId="948"/>
    <cellStyle name="常规 19 6 5 6 5" xfId="1006"/>
    <cellStyle name="常规 19 6 5 6 6" xfId="6931"/>
    <cellStyle name="常规 19 6 5 6 7" xfId="6935"/>
    <cellStyle name="常规 19 6 5 6 8" xfId="13389"/>
    <cellStyle name="常规 19 6 5 7" xfId="6624"/>
    <cellStyle name="常规 19 6 5 7 2" xfId="6634"/>
    <cellStyle name="常规 19 6 5 7 3" xfId="6691"/>
    <cellStyle name="常规 19 6 5 7 4" xfId="1020"/>
    <cellStyle name="常规 19 6 5 7 5" xfId="231"/>
    <cellStyle name="常规 19 6 5 7 6" xfId="7047"/>
    <cellStyle name="常规 19 6 5 7 7" xfId="7057"/>
    <cellStyle name="常规 19 6 5 7 8" xfId="13402"/>
    <cellStyle name="常规 19 6 5 8" xfId="6726"/>
    <cellStyle name="常规 19 6 5 8 2" xfId="1823"/>
    <cellStyle name="常规 19 6 5 8 3" xfId="6754"/>
    <cellStyle name="常规 19 6 5 8 4" xfId="749"/>
    <cellStyle name="常规 19 6 5 8 5" xfId="2648"/>
    <cellStyle name="常规 19 6 5 8 6" xfId="23555"/>
    <cellStyle name="常规 19 6 5 8 7" xfId="23557"/>
    <cellStyle name="常规 19 6 5 8 8" xfId="943"/>
    <cellStyle name="常规 19 6 5 9" xfId="6766"/>
    <cellStyle name="常规 19 6 5 9 2" xfId="1663"/>
    <cellStyle name="常规 19 6 5 9 3" xfId="5888"/>
    <cellStyle name="常规 19 6 5 9 4" xfId="2656"/>
    <cellStyle name="常规 19 6 5 9 5" xfId="1989"/>
    <cellStyle name="常规 19 6 5 9 6" xfId="9158"/>
    <cellStyle name="常规 19 6 5 9 7" xfId="9161"/>
    <cellStyle name="常规 19 6 5 9 8" xfId="1035"/>
    <cellStyle name="常规 19 6 6" xfId="21977"/>
    <cellStyle name="常规 19 6 6 2" xfId="21980"/>
    <cellStyle name="常规 19 6 6 3" xfId="21983"/>
    <cellStyle name="常规 19 6 6 4" xfId="21986"/>
    <cellStyle name="常规 19 6 6 5" xfId="21989"/>
    <cellStyle name="常规 19 6 6 6" xfId="21992"/>
    <cellStyle name="常规 19 6 6 7" xfId="21996"/>
    <cellStyle name="常规 19 6 6 8" xfId="22000"/>
    <cellStyle name="常规 19 6 7" xfId="22003"/>
    <cellStyle name="常规 19 6 7 2" xfId="1183"/>
    <cellStyle name="常规 19 6 7 3" xfId="3629"/>
    <cellStyle name="常规 19 6 7 4" xfId="3639"/>
    <cellStyle name="常规 19 6 7 5" xfId="22006"/>
    <cellStyle name="常规 19 6 7 6" xfId="22009"/>
    <cellStyle name="常规 19 6 7 7" xfId="22013"/>
    <cellStyle name="常规 19 6 7 8" xfId="22017"/>
    <cellStyle name="常规 19 6 8" xfId="22020"/>
    <cellStyle name="常规 19 6 8 2" xfId="2602"/>
    <cellStyle name="常规 19 6 8 3" xfId="3654"/>
    <cellStyle name="常规 19 6 8 4" xfId="3658"/>
    <cellStyle name="常规 19 6 8 5" xfId="22023"/>
    <cellStyle name="常规 19 6 8 6" xfId="22027"/>
    <cellStyle name="常规 19 6 8 7" xfId="22031"/>
    <cellStyle name="常规 19 6 8 8" xfId="22034"/>
    <cellStyle name="常规 19 6 9" xfId="22038"/>
    <cellStyle name="常规 19 6 9 2" xfId="22041"/>
    <cellStyle name="常规 19 6 9 3" xfId="22044"/>
    <cellStyle name="常规 19 6 9 4" xfId="22047"/>
    <cellStyle name="常规 19 6 9 5" xfId="22050"/>
    <cellStyle name="常规 19 6 9 6" xfId="22053"/>
    <cellStyle name="常规 19 6 9 7" xfId="22057"/>
    <cellStyle name="常规 19 6 9 8" xfId="5893"/>
    <cellStyle name="常规 19 7" xfId="23559"/>
    <cellStyle name="常规 19 7 10" xfId="21608"/>
    <cellStyle name="常规 19 7 10 2" xfId="23561"/>
    <cellStyle name="常规 19 7 10 3" xfId="23563"/>
    <cellStyle name="常规 19 7 10 4" xfId="23565"/>
    <cellStyle name="常规 19 7 10 5" xfId="23566"/>
    <cellStyle name="常规 19 7 10 6" xfId="23568"/>
    <cellStyle name="常规 19 7 10 7" xfId="5275"/>
    <cellStyle name="常规 19 7 10 8" xfId="5287"/>
    <cellStyle name="常规 19 7 11" xfId="21610"/>
    <cellStyle name="常规 19 7 11 2" xfId="20642"/>
    <cellStyle name="常规 19 7 11 3" xfId="20650"/>
    <cellStyle name="常规 19 7 11 4" xfId="23570"/>
    <cellStyle name="常规 19 7 11 5" xfId="23571"/>
    <cellStyle name="常规 19 7 11 6" xfId="23572"/>
    <cellStyle name="常规 19 7 11 7" xfId="5296"/>
    <cellStyle name="常规 19 7 11 8" xfId="5231"/>
    <cellStyle name="常规 19 7 12" xfId="21612"/>
    <cellStyle name="常规 19 7 12 2" xfId="20727"/>
    <cellStyle name="常规 19 7 12 3" xfId="20736"/>
    <cellStyle name="常规 19 7 12 4" xfId="23573"/>
    <cellStyle name="常规 19 7 12 5" xfId="23574"/>
    <cellStyle name="常规 19 7 12 6" xfId="23575"/>
    <cellStyle name="常规 19 7 12 7" xfId="5303"/>
    <cellStyle name="常规 19 7 12 8" xfId="5251"/>
    <cellStyle name="常规 19 7 13" xfId="21614"/>
    <cellStyle name="常规 19 7 13 2" xfId="6260"/>
    <cellStyle name="常规 19 7 13 3" xfId="23576"/>
    <cellStyle name="常规 19 7 13 4" xfId="23577"/>
    <cellStyle name="常规 19 7 13 5" xfId="23578"/>
    <cellStyle name="常规 19 7 13 6" xfId="23580"/>
    <cellStyle name="常规 19 7 13 7" xfId="23582"/>
    <cellStyle name="常规 19 7 14" xfId="5787"/>
    <cellStyle name="常规 19 7 15" xfId="23584"/>
    <cellStyle name="常规 19 7 16" xfId="372"/>
    <cellStyle name="常规 19 7 17" xfId="6333"/>
    <cellStyle name="常规 19 7 18" xfId="6337"/>
    <cellStyle name="常规 19 7 19" xfId="23588"/>
    <cellStyle name="常规 19 7 2" xfId="23589"/>
    <cellStyle name="常规 19 7 2 10" xfId="23590"/>
    <cellStyle name="常规 19 7 2 10 2" xfId="23592"/>
    <cellStyle name="常规 19 7 2 10 3" xfId="13051"/>
    <cellStyle name="常规 19 7 2 10 4" xfId="3165"/>
    <cellStyle name="常规 19 7 2 10 5" xfId="13053"/>
    <cellStyle name="常规 19 7 2 10 6" xfId="13055"/>
    <cellStyle name="常规 19 7 2 10 7" xfId="13057"/>
    <cellStyle name="常规 19 7 2 10 8" xfId="13059"/>
    <cellStyle name="常规 19 7 2 11" xfId="23593"/>
    <cellStyle name="常规 19 7 2 11 2" xfId="23594"/>
    <cellStyle name="常规 19 7 2 11 3" xfId="12323"/>
    <cellStyle name="常规 19 7 2 11 4" xfId="1590"/>
    <cellStyle name="常规 19 7 2 11 5" xfId="13061"/>
    <cellStyle name="常规 19 7 2 11 6" xfId="13063"/>
    <cellStyle name="常规 19 7 2 11 7" xfId="13065"/>
    <cellStyle name="常规 19 7 2 11 8" xfId="13067"/>
    <cellStyle name="常规 19 7 2 12" xfId="23595"/>
    <cellStyle name="常规 19 7 2 12 2" xfId="23596"/>
    <cellStyle name="常规 19 7 2 12 3" xfId="12476"/>
    <cellStyle name="常规 19 7 2 12 4" xfId="3729"/>
    <cellStyle name="常规 19 7 2 12 5" xfId="13070"/>
    <cellStyle name="常规 19 7 2 12 6" xfId="13073"/>
    <cellStyle name="常规 19 7 2 12 7" xfId="13076"/>
    <cellStyle name="常规 19 7 2 13" xfId="23597"/>
    <cellStyle name="常规 19 7 2 14" xfId="23599"/>
    <cellStyle name="常规 19 7 2 15" xfId="23601"/>
    <cellStyle name="常规 19 7 2 16" xfId="23602"/>
    <cellStyle name="常规 19 7 2 17" xfId="23603"/>
    <cellStyle name="常规 19 7 2 18" xfId="23604"/>
    <cellStyle name="常规 19 7 2 19" xfId="23605"/>
    <cellStyle name="常规 19 7 2 2" xfId="23607"/>
    <cellStyle name="常规 19 7 2 2 10" xfId="23608"/>
    <cellStyle name="常规 19 7 2 2 10 2" xfId="10536"/>
    <cellStyle name="常规 19 7 2 2 10 3" xfId="14361"/>
    <cellStyle name="常规 19 7 2 2 10 4" xfId="23609"/>
    <cellStyle name="常规 19 7 2 2 10 5" xfId="23610"/>
    <cellStyle name="常规 19 7 2 2 10 6" xfId="23611"/>
    <cellStyle name="常规 19 7 2 2 10 7" xfId="23613"/>
    <cellStyle name="常规 19 7 2 2 11" xfId="23615"/>
    <cellStyle name="常规 19 7 2 2 12" xfId="23616"/>
    <cellStyle name="常规 19 7 2 2 13" xfId="23617"/>
    <cellStyle name="常规 19 7 2 2 14" xfId="23618"/>
    <cellStyle name="常规 19 7 2 2 15" xfId="23619"/>
    <cellStyle name="常规 19 7 2 2 16" xfId="23620"/>
    <cellStyle name="常规 19 7 2 2 17" xfId="9871"/>
    <cellStyle name="常规 19 7 2 2 2" xfId="23621"/>
    <cellStyle name="常规 19 7 2 2 2 2" xfId="23622"/>
    <cellStyle name="常规 19 7 2 2 2 3" xfId="12308"/>
    <cellStyle name="常规 19 7 2 2 2 4" xfId="12310"/>
    <cellStyle name="常规 19 7 2 2 2 5" xfId="21944"/>
    <cellStyle name="常规 19 7 2 2 2 6" xfId="21946"/>
    <cellStyle name="常规 19 7 2 2 2 7" xfId="21948"/>
    <cellStyle name="常规 19 7 2 2 2 8" xfId="21950"/>
    <cellStyle name="常规 19 7 2 2 3" xfId="23623"/>
    <cellStyle name="常规 19 7 2 2 3 2" xfId="23624"/>
    <cellStyle name="常规 19 7 2 2 3 3" xfId="23625"/>
    <cellStyle name="常规 19 7 2 2 3 4" xfId="23626"/>
    <cellStyle name="常规 19 7 2 2 3 5" xfId="23627"/>
    <cellStyle name="常规 19 7 2 2 3 6" xfId="23628"/>
    <cellStyle name="常规 19 7 2 2 3 7" xfId="23629"/>
    <cellStyle name="常规 19 7 2 2 3 8" xfId="23630"/>
    <cellStyle name="常规 19 7 2 2 4" xfId="23631"/>
    <cellStyle name="常规 19 7 2 2 4 2" xfId="23632"/>
    <cellStyle name="常规 19 7 2 2 4 3" xfId="23633"/>
    <cellStyle name="常规 19 7 2 2 4 4" xfId="23634"/>
    <cellStyle name="常规 19 7 2 2 4 5" xfId="23635"/>
    <cellStyle name="常规 19 7 2 2 4 6" xfId="23636"/>
    <cellStyle name="常规 19 7 2 2 4 7" xfId="23637"/>
    <cellStyle name="常规 19 7 2 2 4 8" xfId="23638"/>
    <cellStyle name="常规 19 7 2 2 5" xfId="23639"/>
    <cellStyle name="常规 19 7 2 2 5 2" xfId="23640"/>
    <cellStyle name="常规 19 7 2 2 5 3" xfId="23641"/>
    <cellStyle name="常规 19 7 2 2 5 4" xfId="23642"/>
    <cellStyle name="常规 19 7 2 2 5 5" xfId="23644"/>
    <cellStyle name="常规 19 7 2 2 5 6" xfId="23646"/>
    <cellStyle name="常规 19 7 2 2 5 7" xfId="23647"/>
    <cellStyle name="常规 19 7 2 2 5 8" xfId="23648"/>
    <cellStyle name="常规 19 7 2 2 6" xfId="23649"/>
    <cellStyle name="常规 19 7 2 2 6 2" xfId="23650"/>
    <cellStyle name="常规 19 7 2 2 6 3" xfId="23651"/>
    <cellStyle name="常规 19 7 2 2 6 4" xfId="23652"/>
    <cellStyle name="常规 19 7 2 2 6 5" xfId="23654"/>
    <cellStyle name="常规 19 7 2 2 6 6" xfId="23656"/>
    <cellStyle name="常规 19 7 2 2 6 7" xfId="1508"/>
    <cellStyle name="常规 19 7 2 2 6 8" xfId="1524"/>
    <cellStyle name="常规 19 7 2 2 7" xfId="23657"/>
    <cellStyle name="常规 19 7 2 2 7 2" xfId="23658"/>
    <cellStyle name="常规 19 7 2 2 7 3" xfId="23659"/>
    <cellStyle name="常规 19 7 2 2 7 4" xfId="23660"/>
    <cellStyle name="常规 19 7 2 2 7 5" xfId="23661"/>
    <cellStyle name="常规 19 7 2 2 7 6" xfId="23662"/>
    <cellStyle name="常规 19 7 2 2 7 7" xfId="23663"/>
    <cellStyle name="常规 19 7 2 2 7 8" xfId="23664"/>
    <cellStyle name="常规 19 7 2 2 8" xfId="23665"/>
    <cellStyle name="常规 19 7 2 2 8 2" xfId="23666"/>
    <cellStyle name="常规 19 7 2 2 8 3" xfId="23667"/>
    <cellStyle name="常规 19 7 2 2 8 4" xfId="23668"/>
    <cellStyle name="常规 19 7 2 2 8 5" xfId="23670"/>
    <cellStyle name="常规 19 7 2 2 8 6" xfId="23672"/>
    <cellStyle name="常规 19 7 2 2 8 7" xfId="23673"/>
    <cellStyle name="常规 19 7 2 2 8 8" xfId="23674"/>
    <cellStyle name="常规 19 7 2 2 9" xfId="23675"/>
    <cellStyle name="常规 19 7 2 2 9 2" xfId="20238"/>
    <cellStyle name="常规 19 7 2 2 9 3" xfId="20240"/>
    <cellStyle name="常规 19 7 2 2 9 4" xfId="20242"/>
    <cellStyle name="常规 19 7 2 2 9 5" xfId="23676"/>
    <cellStyle name="常规 19 7 2 2 9 6" xfId="23678"/>
    <cellStyle name="常规 19 7 2 2 9 7" xfId="23680"/>
    <cellStyle name="常规 19 7 2 2 9 8" xfId="23682"/>
    <cellStyle name="常规 19 7 2 3" xfId="23684"/>
    <cellStyle name="常规 19 7 2 3 2" xfId="23685"/>
    <cellStyle name="常规 19 7 2 3 3" xfId="23686"/>
    <cellStyle name="常规 19 7 2 3 4" xfId="23687"/>
    <cellStyle name="常规 19 7 2 3 5" xfId="23688"/>
    <cellStyle name="常规 19 7 2 3 6" xfId="23689"/>
    <cellStyle name="常规 19 7 2 3 7" xfId="23690"/>
    <cellStyle name="常规 19 7 2 3 8" xfId="23691"/>
    <cellStyle name="常规 19 7 2 4" xfId="23692"/>
    <cellStyle name="常规 19 7 2 4 2" xfId="23694"/>
    <cellStyle name="常规 19 7 2 4 3" xfId="23695"/>
    <cellStyle name="常规 19 7 2 4 4" xfId="23696"/>
    <cellStyle name="常规 19 7 2 4 5" xfId="23697"/>
    <cellStyle name="常规 19 7 2 4 6" xfId="23699"/>
    <cellStyle name="常规 19 7 2 4 7" xfId="23701"/>
    <cellStyle name="常规 19 7 2 4 8" xfId="23702"/>
    <cellStyle name="常规 19 7 2 5" xfId="23703"/>
    <cellStyle name="常规 19 7 2 5 2" xfId="23705"/>
    <cellStyle name="常规 19 7 2 5 3" xfId="23706"/>
    <cellStyle name="常规 19 7 2 5 4" xfId="23707"/>
    <cellStyle name="常规 19 7 2 5 5" xfId="23708"/>
    <cellStyle name="常规 19 7 2 5 6" xfId="23710"/>
    <cellStyle name="常规 19 7 2 5 7" xfId="23712"/>
    <cellStyle name="常规 19 7 2 5 8" xfId="23714"/>
    <cellStyle name="常规 19 7 2 6" xfId="23715"/>
    <cellStyle name="常规 19 7 2 6 2" xfId="23717"/>
    <cellStyle name="常规 19 7 2 6 3" xfId="23719"/>
    <cellStyle name="常规 19 7 2 6 4" xfId="23721"/>
    <cellStyle name="常规 19 7 2 6 5" xfId="23722"/>
    <cellStyle name="常规 19 7 2 6 6" xfId="692"/>
    <cellStyle name="常规 19 7 2 6 7" xfId="2515"/>
    <cellStyle name="常规 19 7 2 6 8" xfId="23724"/>
    <cellStyle name="常规 19 7 2 7" xfId="23725"/>
    <cellStyle name="常规 19 7 2 7 2" xfId="23727"/>
    <cellStyle name="常规 19 7 2 7 3" xfId="23728"/>
    <cellStyle name="常规 19 7 2 7 4" xfId="23729"/>
    <cellStyle name="常规 19 7 2 7 5" xfId="23730"/>
    <cellStyle name="常规 19 7 2 7 6" xfId="9417"/>
    <cellStyle name="常规 19 7 2 7 7" xfId="9807"/>
    <cellStyle name="常规 19 7 2 7 8" xfId="23731"/>
    <cellStyle name="常规 19 7 2 8" xfId="23732"/>
    <cellStyle name="常规 19 7 2 8 2" xfId="23733"/>
    <cellStyle name="常规 19 7 2 8 3" xfId="23734"/>
    <cellStyle name="常规 19 7 2 8 4" xfId="23735"/>
    <cellStyle name="常规 19 7 2 8 5" xfId="23736"/>
    <cellStyle name="常规 19 7 2 8 6" xfId="23737"/>
    <cellStyle name="常规 19 7 2 8 7" xfId="23738"/>
    <cellStyle name="常规 19 7 2 8 8" xfId="23740"/>
    <cellStyle name="常规 19 7 2 9" xfId="23742"/>
    <cellStyle name="常规 19 7 2 9 2" xfId="23743"/>
    <cellStyle name="常规 19 7 2 9 3" xfId="23744"/>
    <cellStyle name="常规 19 7 2 9 4" xfId="23745"/>
    <cellStyle name="常规 19 7 2 9 5" xfId="23746"/>
    <cellStyle name="常规 19 7 2 9 6" xfId="23747"/>
    <cellStyle name="常规 19 7 2 9 7" xfId="23748"/>
    <cellStyle name="常规 19 7 2 9 8" xfId="23749"/>
    <cellStyle name="常规 19 7 20" xfId="23585"/>
    <cellStyle name="常规 19 7 3" xfId="497"/>
    <cellStyle name="常规 19 7 3 10" xfId="12742"/>
    <cellStyle name="常规 19 7 3 10 2" xfId="17092"/>
    <cellStyle name="常规 19 7 3 10 3" xfId="17094"/>
    <cellStyle name="常规 19 7 3 10 4" xfId="17096"/>
    <cellStyle name="常规 19 7 3 10 5" xfId="23750"/>
    <cellStyle name="常规 19 7 3 10 6" xfId="23751"/>
    <cellStyle name="常规 19 7 3 10 7" xfId="23752"/>
    <cellStyle name="常规 19 7 3 11" xfId="23753"/>
    <cellStyle name="常规 19 7 3 12" xfId="23754"/>
    <cellStyle name="常规 19 7 3 13" xfId="23755"/>
    <cellStyle name="常规 19 7 3 14" xfId="23756"/>
    <cellStyle name="常规 19 7 3 15" xfId="23757"/>
    <cellStyle name="常规 19 7 3 16" xfId="23758"/>
    <cellStyle name="常规 19 7 3 17" xfId="12513"/>
    <cellStyle name="常规 19 7 3 2" xfId="481"/>
    <cellStyle name="常规 19 7 3 2 2" xfId="462"/>
    <cellStyle name="常规 19 7 3 2 3" xfId="552"/>
    <cellStyle name="常规 19 7 3 2 4" xfId="23759"/>
    <cellStyle name="常规 19 7 3 2 5" xfId="23760"/>
    <cellStyle name="常规 19 7 3 2 6" xfId="23761"/>
    <cellStyle name="常规 19 7 3 2 7" xfId="23762"/>
    <cellStyle name="常规 19 7 3 2 8" xfId="23763"/>
    <cellStyle name="常规 19 7 3 3" xfId="556"/>
    <cellStyle name="常规 19 7 3 3 2" xfId="23766"/>
    <cellStyle name="常规 19 7 3 3 3" xfId="23767"/>
    <cellStyle name="常规 19 7 3 3 4" xfId="23768"/>
    <cellStyle name="常规 19 7 3 3 5" xfId="23769"/>
    <cellStyle name="常规 19 7 3 3 6" xfId="23770"/>
    <cellStyle name="常规 19 7 3 3 7" xfId="23771"/>
    <cellStyle name="常规 19 7 3 3 8" xfId="23772"/>
    <cellStyle name="常规 19 7 3 4" xfId="23774"/>
    <cellStyle name="常规 19 7 3 4 2" xfId="1511"/>
    <cellStyle name="常规 19 7 3 4 3" xfId="1529"/>
    <cellStyle name="常规 19 7 3 4 4" xfId="23776"/>
    <cellStyle name="常规 19 7 3 4 5" xfId="7558"/>
    <cellStyle name="常规 19 7 3 4 6" xfId="8195"/>
    <cellStyle name="常规 19 7 3 4 7" xfId="8211"/>
    <cellStyle name="常规 19 7 3 4 8" xfId="23778"/>
    <cellStyle name="常规 19 7 3 5" xfId="23780"/>
    <cellStyle name="常规 19 7 3 5 2" xfId="7129"/>
    <cellStyle name="常规 19 7 3 5 3" xfId="23782"/>
    <cellStyle name="常规 19 7 3 5 4" xfId="23783"/>
    <cellStyle name="常规 19 7 3 5 5" xfId="732"/>
    <cellStyle name="常规 19 7 3 5 6" xfId="774"/>
    <cellStyle name="常规 19 7 3 5 7" xfId="23784"/>
    <cellStyle name="常规 19 7 3 5 8" xfId="23786"/>
    <cellStyle name="常规 19 7 3 6" xfId="23787"/>
    <cellStyle name="常规 19 7 3 6 2" xfId="5298"/>
    <cellStyle name="常规 19 7 3 6 3" xfId="23789"/>
    <cellStyle name="常规 19 7 3 6 4" xfId="23790"/>
    <cellStyle name="常规 19 7 3 6 5" xfId="809"/>
    <cellStyle name="常规 19 7 3 6 6" xfId="828"/>
    <cellStyle name="常规 19 7 3 6 7" xfId="2598"/>
    <cellStyle name="常规 19 7 3 6 8" xfId="23791"/>
    <cellStyle name="常规 19 7 3 7" xfId="23792"/>
    <cellStyle name="常规 19 7 3 7 2" xfId="5234"/>
    <cellStyle name="常规 19 7 3 7 3" xfId="23794"/>
    <cellStyle name="常规 19 7 3 7 4" xfId="23795"/>
    <cellStyle name="常规 19 7 3 7 5" xfId="23796"/>
    <cellStyle name="常规 19 7 3 7 6" xfId="23797"/>
    <cellStyle name="常规 19 7 3 7 7" xfId="23798"/>
    <cellStyle name="常规 19 7 3 7 8" xfId="23799"/>
    <cellStyle name="常规 19 7 3 8" xfId="23800"/>
    <cellStyle name="常规 19 7 3 8 2" xfId="23801"/>
    <cellStyle name="常规 19 7 3 8 3" xfId="23802"/>
    <cellStyle name="常规 19 7 3 8 4" xfId="23803"/>
    <cellStyle name="常规 19 7 3 8 5" xfId="23804"/>
    <cellStyle name="常规 19 7 3 8 6" xfId="23805"/>
    <cellStyle name="常规 19 7 3 8 7" xfId="23806"/>
    <cellStyle name="常规 19 7 3 8 8" xfId="23807"/>
    <cellStyle name="常规 19 7 3 9" xfId="23808"/>
    <cellStyle name="常规 19 7 3 9 2" xfId="23809"/>
    <cellStyle name="常规 19 7 3 9 3" xfId="23810"/>
    <cellStyle name="常规 19 7 3 9 4" xfId="23811"/>
    <cellStyle name="常规 19 7 3 9 5" xfId="23812"/>
    <cellStyle name="常规 19 7 3 9 6" xfId="23813"/>
    <cellStyle name="常规 19 7 3 9 7" xfId="23814"/>
    <cellStyle name="常规 19 7 3 9 8" xfId="23815"/>
    <cellStyle name="常规 19 7 4" xfId="500"/>
    <cellStyle name="常规 19 7 4 2" xfId="483"/>
    <cellStyle name="常规 19 7 4 3" xfId="571"/>
    <cellStyle name="常规 19 7 4 4" xfId="23816"/>
    <cellStyle name="常规 19 7 4 5" xfId="23817"/>
    <cellStyle name="常规 19 7 4 6" xfId="23818"/>
    <cellStyle name="常规 19 7 4 7" xfId="23819"/>
    <cellStyle name="常规 19 7 4 8" xfId="23821"/>
    <cellStyle name="常规 19 7 5" xfId="87"/>
    <cellStyle name="常规 19 7 5 2" xfId="23823"/>
    <cellStyle name="常规 19 7 5 3" xfId="23824"/>
    <cellStyle name="常规 19 7 5 4" xfId="23826"/>
    <cellStyle name="常规 19 7 5 5" xfId="7079"/>
    <cellStyle name="常规 19 7 5 6" xfId="7162"/>
    <cellStyle name="常规 19 7 5 7" xfId="7213"/>
    <cellStyle name="常规 19 7 5 8" xfId="7326"/>
    <cellStyle name="常规 19 7 6" xfId="2344"/>
    <cellStyle name="常规 19 7 6 2" xfId="2362"/>
    <cellStyle name="常规 19 7 6 3" xfId="535"/>
    <cellStyle name="常规 19 7 6 4" xfId="15129"/>
    <cellStyle name="常规 19 7 6 5" xfId="15132"/>
    <cellStyle name="常规 19 7 6 6" xfId="15136"/>
    <cellStyle name="常规 19 7 6 7" xfId="15140"/>
    <cellStyle name="常规 19 7 6 8" xfId="23828"/>
    <cellStyle name="常规 19 7 7" xfId="1229"/>
    <cellStyle name="常规 19 7 7 2" xfId="2215"/>
    <cellStyle name="常规 19 7 7 3" xfId="623"/>
    <cellStyle name="常规 19 7 7 4" xfId="662"/>
    <cellStyle name="常规 19 7 7 5" xfId="15143"/>
    <cellStyle name="常规 19 7 7 6" xfId="15146"/>
    <cellStyle name="常规 19 7 7 7" xfId="15149"/>
    <cellStyle name="常规 19 7 7 8" xfId="23829"/>
    <cellStyle name="常规 19 7 8" xfId="3497"/>
    <cellStyle name="常规 19 7 8 2" xfId="3503"/>
    <cellStyle name="常规 19 7 8 3" xfId="725"/>
    <cellStyle name="常规 19 7 8 4" xfId="15153"/>
    <cellStyle name="常规 19 7 8 5" xfId="15156"/>
    <cellStyle name="常规 19 7 8 6" xfId="13291"/>
    <cellStyle name="常规 19 7 8 7" xfId="13296"/>
    <cellStyle name="常规 19 7 8 8" xfId="13301"/>
    <cellStyle name="常规 19 7 9" xfId="3508"/>
    <cellStyle name="常规 19 7 9 2" xfId="3380"/>
    <cellStyle name="常规 19 7 9 3" xfId="863"/>
    <cellStyle name="常规 19 7 9 4" xfId="15160"/>
    <cellStyle name="常规 19 7 9 5" xfId="15164"/>
    <cellStyle name="常规 19 7 9 6" xfId="13309"/>
    <cellStyle name="常规 19 7 9 7" xfId="13316"/>
    <cellStyle name="常规 19 7 9 8" xfId="991"/>
    <cellStyle name="常规 19 8" xfId="23830"/>
    <cellStyle name="常规 19 8 10" xfId="23832"/>
    <cellStyle name="常规 19 8 10 2" xfId="18860"/>
    <cellStyle name="常规 19 8 10 3" xfId="18862"/>
    <cellStyle name="常规 19 8 10 4" xfId="9999"/>
    <cellStyle name="常规 19 8 10 5" xfId="11106"/>
    <cellStyle name="常规 19 8 10 6" xfId="18864"/>
    <cellStyle name="常规 19 8 10 7" xfId="18866"/>
    <cellStyle name="常规 19 8 10 8" xfId="17378"/>
    <cellStyle name="常规 19 8 11" xfId="23833"/>
    <cellStyle name="常规 19 8 11 2" xfId="23834"/>
    <cellStyle name="常规 19 8 11 3" xfId="23835"/>
    <cellStyle name="常规 19 8 11 4" xfId="23836"/>
    <cellStyle name="常规 19 8 11 5" xfId="23837"/>
    <cellStyle name="常规 19 8 11 6" xfId="23838"/>
    <cellStyle name="常规 19 8 11 7" xfId="23839"/>
    <cellStyle name="常规 19 8 11 8" xfId="17390"/>
    <cellStyle name="常规 19 8 12" xfId="23840"/>
    <cellStyle name="常规 19 8 12 2" xfId="23841"/>
    <cellStyle name="常规 19 8 12 3" xfId="23843"/>
    <cellStyle name="常规 19 8 12 4" xfId="23844"/>
    <cellStyle name="常规 19 8 12 5" xfId="23845"/>
    <cellStyle name="常规 19 8 12 6" xfId="23846"/>
    <cellStyle name="常规 19 8 12 7" xfId="23848"/>
    <cellStyle name="常规 19 8 12 8" xfId="23850"/>
    <cellStyle name="常规 19 8 13" xfId="23851"/>
    <cellStyle name="常规 19 8 13 2" xfId="23852"/>
    <cellStyle name="常规 19 8 13 3" xfId="23854"/>
    <cellStyle name="常规 19 8 13 4" xfId="23856"/>
    <cellStyle name="常规 19 8 13 5" xfId="23857"/>
    <cellStyle name="常规 19 8 13 6" xfId="23858"/>
    <cellStyle name="常规 19 8 13 7" xfId="23860"/>
    <cellStyle name="常规 19 8 14" xfId="23862"/>
    <cellStyle name="常规 19 8 15" xfId="23863"/>
    <cellStyle name="常规 19 8 16" xfId="23865"/>
    <cellStyle name="常规 19 8 17" xfId="9380"/>
    <cellStyle name="常规 19 8 18" xfId="9384"/>
    <cellStyle name="常规 19 8 19" xfId="23866"/>
    <cellStyle name="常规 19 8 2" xfId="9061"/>
    <cellStyle name="常规 19 8 2 10" xfId="23867"/>
    <cellStyle name="常规 19 8 2 10 2" xfId="23869"/>
    <cellStyle name="常规 19 8 2 10 3" xfId="23871"/>
    <cellStyle name="常规 19 8 2 10 4" xfId="23873"/>
    <cellStyle name="常规 19 8 2 10 5" xfId="23875"/>
    <cellStyle name="常规 19 8 2 10 6" xfId="23877"/>
    <cellStyle name="常规 19 8 2 10 7" xfId="23879"/>
    <cellStyle name="常规 19 8 2 10 8" xfId="266"/>
    <cellStyle name="常规 19 8 2 11" xfId="23880"/>
    <cellStyle name="常规 19 8 2 11 2" xfId="23882"/>
    <cellStyle name="常规 19 8 2 11 3" xfId="23884"/>
    <cellStyle name="常规 19 8 2 11 4" xfId="23886"/>
    <cellStyle name="常规 19 8 2 11 5" xfId="23888"/>
    <cellStyle name="常规 19 8 2 11 6" xfId="23890"/>
    <cellStyle name="常规 19 8 2 11 7" xfId="23891"/>
    <cellStyle name="常规 19 8 2 11 8" xfId="23892"/>
    <cellStyle name="常规 19 8 2 12" xfId="23893"/>
    <cellStyle name="常规 19 8 2 12 2" xfId="23894"/>
    <cellStyle name="常规 19 8 2 12 3" xfId="23896"/>
    <cellStyle name="常规 19 8 2 12 4" xfId="23897"/>
    <cellStyle name="常规 19 8 2 12 5" xfId="23898"/>
    <cellStyle name="常规 19 8 2 12 6" xfId="23899"/>
    <cellStyle name="常规 19 8 2 12 7" xfId="23900"/>
    <cellStyle name="常规 19 8 2 13" xfId="23901"/>
    <cellStyle name="常规 19 8 2 14" xfId="19609"/>
    <cellStyle name="常规 19 8 2 15" xfId="18769"/>
    <cellStyle name="常规 19 8 2 16" xfId="18773"/>
    <cellStyle name="常规 19 8 2 17" xfId="18776"/>
    <cellStyle name="常规 19 8 2 18" xfId="18779"/>
    <cellStyle name="常规 19 8 2 19" xfId="18784"/>
    <cellStyle name="常规 19 8 2 2" xfId="21356"/>
    <cellStyle name="常规 19 8 2 2 10" xfId="8783"/>
    <cellStyle name="常规 19 8 2 2 10 2" xfId="8789"/>
    <cellStyle name="常规 19 8 2 2 10 3" xfId="8794"/>
    <cellStyle name="常规 19 8 2 2 10 4" xfId="23902"/>
    <cellStyle name="常规 19 8 2 2 10 5" xfId="23903"/>
    <cellStyle name="常规 19 8 2 2 10 6" xfId="23904"/>
    <cellStyle name="常规 19 8 2 2 10 7" xfId="23905"/>
    <cellStyle name="常规 19 8 2 2 11" xfId="8761"/>
    <cellStyle name="常规 19 8 2 2 12" xfId="8781"/>
    <cellStyle name="常规 19 8 2 2 13" xfId="9222"/>
    <cellStyle name="常规 19 8 2 2 14" xfId="9506"/>
    <cellStyle name="常规 19 8 2 2 15" xfId="23906"/>
    <cellStyle name="常规 19 8 2 2 16" xfId="23907"/>
    <cellStyle name="常规 19 8 2 2 17" xfId="1436"/>
    <cellStyle name="常规 19 8 2 2 2" xfId="23908"/>
    <cellStyle name="常规 19 8 2 2 2 2" xfId="23909"/>
    <cellStyle name="常规 19 8 2 2 2 3" xfId="23911"/>
    <cellStyle name="常规 19 8 2 2 2 4" xfId="8991"/>
    <cellStyle name="常规 19 8 2 2 2 5" xfId="9103"/>
    <cellStyle name="常规 19 8 2 2 2 6" xfId="8749"/>
    <cellStyle name="常规 19 8 2 2 2 7" xfId="8827"/>
    <cellStyle name="常规 19 8 2 2 2 8" xfId="8842"/>
    <cellStyle name="常规 19 8 2 2 3" xfId="23912"/>
    <cellStyle name="常规 19 8 2 2 3 2" xfId="23913"/>
    <cellStyle name="常规 19 8 2 2 3 3" xfId="23914"/>
    <cellStyle name="常规 19 8 2 2 3 4" xfId="23915"/>
    <cellStyle name="常规 19 8 2 2 3 5" xfId="23916"/>
    <cellStyle name="常规 19 8 2 2 3 6" xfId="8882"/>
    <cellStyle name="常规 19 8 2 2 3 7" xfId="8889"/>
    <cellStyle name="常规 19 8 2 2 3 8" xfId="8901"/>
    <cellStyle name="常规 19 8 2 2 4" xfId="23917"/>
    <cellStyle name="常规 19 8 2 2 4 2" xfId="23918"/>
    <cellStyle name="常规 19 8 2 2 4 3" xfId="23919"/>
    <cellStyle name="常规 19 8 2 2 4 4" xfId="23920"/>
    <cellStyle name="常规 19 8 2 2 4 5" xfId="23921"/>
    <cellStyle name="常规 19 8 2 2 4 6" xfId="2487"/>
    <cellStyle name="常规 19 8 2 2 4 7" xfId="3575"/>
    <cellStyle name="常规 19 8 2 2 4 8" xfId="3585"/>
    <cellStyle name="常规 19 8 2 2 5" xfId="23922"/>
    <cellStyle name="常规 19 8 2 2 5 2" xfId="9076"/>
    <cellStyle name="常规 19 8 2 2 5 3" xfId="23923"/>
    <cellStyle name="常规 19 8 2 2 5 4" xfId="23924"/>
    <cellStyle name="常规 19 8 2 2 5 5" xfId="2505"/>
    <cellStyle name="常规 19 8 2 2 5 6" xfId="2525"/>
    <cellStyle name="常规 19 8 2 2 5 7" xfId="3591"/>
    <cellStyle name="常规 19 8 2 2 5 8" xfId="3604"/>
    <cellStyle name="常规 19 8 2 2 6" xfId="23926"/>
    <cellStyle name="常规 19 8 2 2 6 2" xfId="9090"/>
    <cellStyle name="常规 19 8 2 2 6 3" xfId="23927"/>
    <cellStyle name="常规 19 8 2 2 6 4" xfId="23929"/>
    <cellStyle name="常规 19 8 2 2 6 5" xfId="9812"/>
    <cellStyle name="常规 19 8 2 2 6 6" xfId="5775"/>
    <cellStyle name="常规 19 8 2 2 6 7" xfId="4646"/>
    <cellStyle name="常规 19 8 2 2 6 8" xfId="4659"/>
    <cellStyle name="常规 19 8 2 2 7" xfId="17501"/>
    <cellStyle name="常规 19 8 2 2 7 2" xfId="23932"/>
    <cellStyle name="常规 19 8 2 2 7 3" xfId="23934"/>
    <cellStyle name="常规 19 8 2 2 7 4" xfId="23936"/>
    <cellStyle name="常规 19 8 2 2 7 5" xfId="23938"/>
    <cellStyle name="常规 19 8 2 2 7 6" xfId="5877"/>
    <cellStyle name="常规 19 8 2 2 7 7" xfId="5940"/>
    <cellStyle name="常规 19 8 2 2 7 8" xfId="23941"/>
    <cellStyle name="常规 19 8 2 2 8" xfId="17506"/>
    <cellStyle name="常规 19 8 2 2 8 2" xfId="23942"/>
    <cellStyle name="常规 19 8 2 2 8 3" xfId="23944"/>
    <cellStyle name="常规 19 8 2 2 8 4" xfId="23945"/>
    <cellStyle name="常规 19 8 2 2 8 5" xfId="23947"/>
    <cellStyle name="常规 19 8 2 2 8 6" xfId="5054"/>
    <cellStyle name="常规 19 8 2 2 8 7" xfId="23949"/>
    <cellStyle name="常规 19 8 2 2 8 8" xfId="23950"/>
    <cellStyle name="常规 19 8 2 2 9" xfId="17511"/>
    <cellStyle name="常规 19 8 2 2 9 2" xfId="23951"/>
    <cellStyle name="常规 19 8 2 2 9 3" xfId="23953"/>
    <cellStyle name="常规 19 8 2 2 9 4" xfId="23954"/>
    <cellStyle name="常规 19 8 2 2 9 5" xfId="23955"/>
    <cellStyle name="常规 19 8 2 2 9 6" xfId="23957"/>
    <cellStyle name="常规 19 8 2 2 9 7" xfId="23959"/>
    <cellStyle name="常规 19 8 2 2 9 8" xfId="23960"/>
    <cellStyle name="常规 19 8 2 3" xfId="21359"/>
    <cellStyle name="常规 19 8 2 3 2" xfId="23961"/>
    <cellStyle name="常规 19 8 2 3 3" xfId="23962"/>
    <cellStyle name="常规 19 8 2 3 4" xfId="23963"/>
    <cellStyle name="常规 19 8 2 3 5" xfId="23964"/>
    <cellStyle name="常规 19 8 2 3 6" xfId="23965"/>
    <cellStyle name="常规 19 8 2 3 7" xfId="17523"/>
    <cellStyle name="常规 19 8 2 3 8" xfId="17526"/>
    <cellStyle name="常规 19 8 2 4" xfId="21362"/>
    <cellStyle name="常规 19 8 2 4 2" xfId="23966"/>
    <cellStyle name="常规 19 8 2 4 3" xfId="23967"/>
    <cellStyle name="常规 19 8 2 4 4" xfId="23969"/>
    <cellStyle name="常规 19 8 2 4 5" xfId="23970"/>
    <cellStyle name="常规 19 8 2 4 6" xfId="23972"/>
    <cellStyle name="常规 19 8 2 4 7" xfId="17532"/>
    <cellStyle name="常规 19 8 2 4 8" xfId="17534"/>
    <cellStyle name="常规 19 8 2 5" xfId="21366"/>
    <cellStyle name="常规 19 8 2 5 2" xfId="23974"/>
    <cellStyle name="常规 19 8 2 5 3" xfId="23975"/>
    <cellStyle name="常规 19 8 2 5 4" xfId="23976"/>
    <cellStyle name="常规 19 8 2 5 5" xfId="23977"/>
    <cellStyle name="常规 19 8 2 5 6" xfId="23979"/>
    <cellStyle name="常规 19 8 2 5 7" xfId="17541"/>
    <cellStyle name="常规 19 8 2 5 8" xfId="17544"/>
    <cellStyle name="常规 19 8 2 6" xfId="5329"/>
    <cellStyle name="常规 19 8 2 6 2" xfId="23981"/>
    <cellStyle name="常规 19 8 2 6 3" xfId="23983"/>
    <cellStyle name="常规 19 8 2 6 4" xfId="23985"/>
    <cellStyle name="常规 19 8 2 6 5" xfId="23986"/>
    <cellStyle name="常规 19 8 2 6 6" xfId="1141"/>
    <cellStyle name="常规 19 8 2 6 7" xfId="2373"/>
    <cellStyle name="常规 19 8 2 6 8" xfId="23987"/>
    <cellStyle name="常规 19 8 2 7" xfId="23988"/>
    <cellStyle name="常规 19 8 2 7 2" xfId="23990"/>
    <cellStyle name="常规 19 8 2 7 3" xfId="23991"/>
    <cellStyle name="常规 19 8 2 7 4" xfId="23992"/>
    <cellStyle name="常规 19 8 2 7 5" xfId="18724"/>
    <cellStyle name="常规 19 8 2 7 6" xfId="3001"/>
    <cellStyle name="常规 19 8 2 7 7" xfId="7255"/>
    <cellStyle name="常规 19 8 2 7 8" xfId="6183"/>
    <cellStyle name="常规 19 8 2 8" xfId="23993"/>
    <cellStyle name="常规 19 8 2 8 2" xfId="23994"/>
    <cellStyle name="常规 19 8 2 8 3" xfId="23995"/>
    <cellStyle name="常规 19 8 2 8 4" xfId="23996"/>
    <cellStyle name="常规 19 8 2 8 5" xfId="2916"/>
    <cellStyle name="常规 19 8 2 8 6" xfId="2924"/>
    <cellStyle name="常规 19 8 2 8 7" xfId="23997"/>
    <cellStyle name="常规 19 8 2 8 8" xfId="23998"/>
    <cellStyle name="常规 19 8 2 9" xfId="23999"/>
    <cellStyle name="常规 19 8 2 9 2" xfId="24000"/>
    <cellStyle name="常规 19 8 2 9 3" xfId="24001"/>
    <cellStyle name="常规 19 8 2 9 4" xfId="24002"/>
    <cellStyle name="常规 19 8 2 9 5" xfId="24003"/>
    <cellStyle name="常规 19 8 2 9 6" xfId="24004"/>
    <cellStyle name="常规 19 8 2 9 7" xfId="24005"/>
    <cellStyle name="常规 19 8 2 9 8" xfId="24006"/>
    <cellStyle name="常规 19 8 20" xfId="23864"/>
    <cellStyle name="常规 19 8 3" xfId="388"/>
    <cellStyle name="常规 19 8 3 10" xfId="24007"/>
    <cellStyle name="常规 19 8 3 10 2" xfId="24008"/>
    <cellStyle name="常规 19 8 3 10 3" xfId="24012"/>
    <cellStyle name="常规 19 8 3 10 4" xfId="24014"/>
    <cellStyle name="常规 19 8 3 10 5" xfId="24016"/>
    <cellStyle name="常规 19 8 3 10 6" xfId="24017"/>
    <cellStyle name="常规 19 8 3 10 7" xfId="24018"/>
    <cellStyle name="常规 19 8 3 11" xfId="24019"/>
    <cellStyle name="常规 19 8 3 12" xfId="7114"/>
    <cellStyle name="常规 19 8 3 13" xfId="1355"/>
    <cellStyle name="常规 19 8 3 14" xfId="24020"/>
    <cellStyle name="常规 19 8 3 15" xfId="24022"/>
    <cellStyle name="常规 19 8 3 16" xfId="24024"/>
    <cellStyle name="常规 19 8 3 17" xfId="24026"/>
    <cellStyle name="常规 19 8 3 2" xfId="577"/>
    <cellStyle name="常规 19 8 3 2 2" xfId="13273"/>
    <cellStyle name="常规 19 8 3 2 3" xfId="11617"/>
    <cellStyle name="常规 19 8 3 2 4" xfId="11622"/>
    <cellStyle name="常规 19 8 3 2 5" xfId="11628"/>
    <cellStyle name="常规 19 8 3 2 6" xfId="13275"/>
    <cellStyle name="常规 19 8 3 2 7" xfId="24028"/>
    <cellStyle name="常规 19 8 3 2 8" xfId="15087"/>
    <cellStyle name="常规 19 8 3 3" xfId="588"/>
    <cellStyle name="常规 19 8 3 3 2" xfId="13277"/>
    <cellStyle name="常规 19 8 3 3 3" xfId="11632"/>
    <cellStyle name="常规 19 8 3 3 4" xfId="11639"/>
    <cellStyle name="常规 19 8 3 3 5" xfId="13279"/>
    <cellStyle name="常规 19 8 3 3 6" xfId="13281"/>
    <cellStyle name="常规 19 8 3 3 7" xfId="24029"/>
    <cellStyle name="常规 19 8 3 3 8" xfId="24030"/>
    <cellStyle name="常规 19 8 3 4" xfId="21376"/>
    <cellStyle name="常规 19 8 3 4 2" xfId="6978"/>
    <cellStyle name="常规 19 8 3 4 3" xfId="7172"/>
    <cellStyle name="常规 19 8 3 4 4" xfId="7715"/>
    <cellStyle name="常规 19 8 3 4 5" xfId="7727"/>
    <cellStyle name="常规 19 8 3 4 6" xfId="8261"/>
    <cellStyle name="常规 19 8 3 4 7" xfId="24031"/>
    <cellStyle name="常规 19 8 3 4 8" xfId="24032"/>
    <cellStyle name="常规 19 8 3 5" xfId="21380"/>
    <cellStyle name="常规 19 8 3 5 2" xfId="7179"/>
    <cellStyle name="常规 19 8 3 5 3" xfId="7739"/>
    <cellStyle name="常规 19 8 3 5 4" xfId="7756"/>
    <cellStyle name="常规 19 8 3 5 5" xfId="181"/>
    <cellStyle name="常规 19 8 3 5 6" xfId="1209"/>
    <cellStyle name="常规 19 8 3 5 7" xfId="24034"/>
    <cellStyle name="常规 19 8 3 5 8" xfId="24036"/>
    <cellStyle name="常规 19 8 3 6" xfId="21384"/>
    <cellStyle name="常规 19 8 3 6 2" xfId="7189"/>
    <cellStyle name="常规 19 8 3 6 3" xfId="7771"/>
    <cellStyle name="常规 19 8 3 6 4" xfId="7778"/>
    <cellStyle name="常规 19 8 3 6 5" xfId="13167"/>
    <cellStyle name="常规 19 8 3 6 6" xfId="24037"/>
    <cellStyle name="常规 19 8 3 6 7" xfId="24038"/>
    <cellStyle name="常规 19 8 3 6 8" xfId="24039"/>
    <cellStyle name="常规 19 8 3 7" xfId="24040"/>
    <cellStyle name="常规 19 8 3 7 2" xfId="24042"/>
    <cellStyle name="常规 19 8 3 7 3" xfId="24043"/>
    <cellStyle name="常规 19 8 3 7 4" xfId="24044"/>
    <cellStyle name="常规 19 8 3 7 5" xfId="24045"/>
    <cellStyle name="常规 19 8 3 7 6" xfId="24046"/>
    <cellStyle name="常规 19 8 3 7 7" xfId="24047"/>
    <cellStyle name="常规 19 8 3 7 8" xfId="7367"/>
    <cellStyle name="常规 19 8 3 8" xfId="24048"/>
    <cellStyle name="常规 19 8 3 8 2" xfId="24049"/>
    <cellStyle name="常规 19 8 3 8 3" xfId="24050"/>
    <cellStyle name="常规 19 8 3 8 4" xfId="24051"/>
    <cellStyle name="常规 19 8 3 8 5" xfId="24052"/>
    <cellStyle name="常规 19 8 3 8 6" xfId="24053"/>
    <cellStyle name="常规 19 8 3 8 7" xfId="24054"/>
    <cellStyle name="常规 19 8 3 8 8" xfId="24055"/>
    <cellStyle name="常规 19 8 3 9" xfId="24056"/>
    <cellStyle name="常规 19 8 3 9 2" xfId="24057"/>
    <cellStyle name="常规 19 8 3 9 3" xfId="24058"/>
    <cellStyle name="常规 19 8 3 9 4" xfId="24059"/>
    <cellStyle name="常规 19 8 3 9 5" xfId="24060"/>
    <cellStyle name="常规 19 8 3 9 6" xfId="24061"/>
    <cellStyle name="常规 19 8 3 9 7" xfId="24062"/>
    <cellStyle name="常规 19 8 3 9 8" xfId="24063"/>
    <cellStyle name="常规 19 8 4" xfId="322"/>
    <cellStyle name="常规 19 8 4 2" xfId="21397"/>
    <cellStyle name="常规 19 8 4 3" xfId="21400"/>
    <cellStyle name="常规 19 8 4 4" xfId="21403"/>
    <cellStyle name="常规 19 8 4 5" xfId="11557"/>
    <cellStyle name="常规 19 8 4 6" xfId="6387"/>
    <cellStyle name="常规 19 8 4 7" xfId="6393"/>
    <cellStyle name="常规 19 8 4 8" xfId="24065"/>
    <cellStyle name="常规 19 8 5" xfId="280"/>
    <cellStyle name="常规 19 8 5 2" xfId="2391"/>
    <cellStyle name="常规 19 8 5 3" xfId="2403"/>
    <cellStyle name="常规 19 8 5 4" xfId="16762"/>
    <cellStyle name="常规 19 8 5 5" xfId="7421"/>
    <cellStyle name="常规 19 8 5 6" xfId="7519"/>
    <cellStyle name="常规 19 8 5 7" xfId="7689"/>
    <cellStyle name="常规 19 8 5 8" xfId="7837"/>
    <cellStyle name="常规 19 8 6" xfId="2415"/>
    <cellStyle name="常规 19 8 6 2" xfId="21417"/>
    <cellStyle name="常规 19 8 6 3" xfId="21421"/>
    <cellStyle name="常规 19 8 6 4" xfId="21425"/>
    <cellStyle name="常规 19 8 6 5" xfId="18973"/>
    <cellStyle name="常规 19 8 6 6" xfId="7020"/>
    <cellStyle name="常规 19 8 6 7" xfId="24066"/>
    <cellStyle name="常规 19 8 6 8" xfId="24067"/>
    <cellStyle name="常规 19 8 7" xfId="3518"/>
    <cellStyle name="常规 19 8 7 2" xfId="3523"/>
    <cellStyle name="常规 19 8 7 3" xfId="1104"/>
    <cellStyle name="常规 19 8 7 4" xfId="24068"/>
    <cellStyle name="常规 19 8 7 5" xfId="24069"/>
    <cellStyle name="常规 19 8 7 6" xfId="24070"/>
    <cellStyle name="常规 19 8 7 7" xfId="24071"/>
    <cellStyle name="常规 19 8 7 8" xfId="24072"/>
    <cellStyle name="常规 19 8 8" xfId="3526"/>
    <cellStyle name="常规 19 8 8 2" xfId="24073"/>
    <cellStyle name="常规 19 8 8 3" xfId="24074"/>
    <cellStyle name="常规 19 8 8 4" xfId="24075"/>
    <cellStyle name="常规 19 8 8 5" xfId="24076"/>
    <cellStyle name="常规 19 8 8 6" xfId="24077"/>
    <cellStyle name="常规 19 8 8 7" xfId="24078"/>
    <cellStyle name="常规 19 8 8 8" xfId="24079"/>
    <cellStyle name="常规 19 8 9" xfId="4518"/>
    <cellStyle name="常规 19 8 9 2" xfId="24081"/>
    <cellStyle name="常规 19 8 9 3" xfId="24083"/>
    <cellStyle name="常规 19 8 9 4" xfId="24085"/>
    <cellStyle name="常规 19 8 9 5" xfId="24087"/>
    <cellStyle name="常规 19 8 9 6" xfId="24088"/>
    <cellStyle name="常规 19 8 9 7" xfId="24089"/>
    <cellStyle name="常规 19 8 9 8" xfId="24091"/>
    <cellStyle name="常规 19 9" xfId="24094"/>
    <cellStyle name="常规 19 9 10" xfId="24096"/>
    <cellStyle name="常规 19 9 10 2" xfId="24097"/>
    <cellStyle name="常规 19 9 10 3" xfId="24098"/>
    <cellStyle name="常规 19 9 10 4" xfId="8364"/>
    <cellStyle name="常规 19 9 10 5" xfId="8379"/>
    <cellStyle name="常规 19 9 10 6" xfId="8390"/>
    <cellStyle name="常规 19 9 10 7" xfId="24099"/>
    <cellStyle name="常规 19 9 10 8" xfId="24101"/>
    <cellStyle name="常规 19 9 11" xfId="24103"/>
    <cellStyle name="常规 19 9 11 2" xfId="24104"/>
    <cellStyle name="常规 19 9 11 3" xfId="24105"/>
    <cellStyle name="常规 19 9 11 4" xfId="6851"/>
    <cellStyle name="常规 19 9 11 5" xfId="6869"/>
    <cellStyle name="常规 19 9 11 6" xfId="24106"/>
    <cellStyle name="常规 19 9 11 7" xfId="24108"/>
    <cellStyle name="常规 19 9 11 8" xfId="24110"/>
    <cellStyle name="常规 19 9 12" xfId="24113"/>
    <cellStyle name="常规 19 9 12 2" xfId="24114"/>
    <cellStyle name="常规 19 9 12 3" xfId="24115"/>
    <cellStyle name="常规 19 9 12 4" xfId="2320"/>
    <cellStyle name="常规 19 9 12 5" xfId="8401"/>
    <cellStyle name="常规 19 9 12 6" xfId="24116"/>
    <cellStyle name="常规 19 9 12 7" xfId="24118"/>
    <cellStyle name="常规 19 9 13" xfId="24120"/>
    <cellStyle name="常规 19 9 14" xfId="11847"/>
    <cellStyle name="常规 19 9 15" xfId="11850"/>
    <cellStyle name="常规 19 9 16" xfId="24121"/>
    <cellStyle name="常规 19 9 17" xfId="24123"/>
    <cellStyle name="常规 19 9 18" xfId="24124"/>
    <cellStyle name="常规 19 9 19" xfId="24125"/>
    <cellStyle name="常规 19 9 2" xfId="910"/>
    <cellStyle name="常规 19 9 2 10" xfId="5618"/>
    <cellStyle name="常规 19 9 2 10 2" xfId="3396"/>
    <cellStyle name="常规 19 9 2 10 3" xfId="24126"/>
    <cellStyle name="常规 19 9 2 10 4" xfId="24127"/>
    <cellStyle name="常规 19 9 2 10 5" xfId="24128"/>
    <cellStyle name="常规 19 9 2 10 6" xfId="24129"/>
    <cellStyle name="常规 19 9 2 10 7" xfId="24130"/>
    <cellStyle name="常规 19 9 2 11" xfId="14832"/>
    <cellStyle name="常规 19 9 2 12" xfId="24131"/>
    <cellStyle name="常规 19 9 2 13" xfId="24132"/>
    <cellStyle name="常规 19 9 2 14" xfId="24133"/>
    <cellStyle name="常规 19 9 2 15" xfId="24134"/>
    <cellStyle name="常规 19 9 2 16" xfId="24135"/>
    <cellStyle name="常规 19 9 2 17" xfId="24137"/>
    <cellStyle name="常规 19 9 2 2" xfId="21454"/>
    <cellStyle name="常规 19 9 2 2 2" xfId="24139"/>
    <cellStyle name="常规 19 9 2 2 3" xfId="24140"/>
    <cellStyle name="常规 19 9 2 2 4" xfId="24141"/>
    <cellStyle name="常规 19 9 2 2 5" xfId="24143"/>
    <cellStyle name="常规 19 9 2 2 6" xfId="24144"/>
    <cellStyle name="常规 19 9 2 2 7" xfId="24147"/>
    <cellStyle name="常规 19 9 2 2 8" xfId="24149"/>
    <cellStyle name="常规 19 9 2 3" xfId="21457"/>
    <cellStyle name="常规 19 9 2 3 2" xfId="24151"/>
    <cellStyle name="常规 19 9 2 3 3" xfId="24152"/>
    <cellStyle name="常规 19 9 2 3 4" xfId="24153"/>
    <cellStyle name="常规 19 9 2 3 5" xfId="24154"/>
    <cellStyle name="常规 19 9 2 3 6" xfId="24155"/>
    <cellStyle name="常规 19 9 2 3 7" xfId="24157"/>
    <cellStyle name="常规 19 9 2 3 8" xfId="24159"/>
    <cellStyle name="常规 19 9 2 4" xfId="21460"/>
    <cellStyle name="常规 19 9 2 4 2" xfId="24160"/>
    <cellStyle name="常规 19 9 2 4 3" xfId="24161"/>
    <cellStyle name="常规 19 9 2 4 4" xfId="24162"/>
    <cellStyle name="常规 19 9 2 4 5" xfId="24163"/>
    <cellStyle name="常规 19 9 2 4 6" xfId="24165"/>
    <cellStyle name="常规 19 9 2 4 7" xfId="24168"/>
    <cellStyle name="常规 19 9 2 4 8" xfId="24170"/>
    <cellStyle name="常规 19 9 2 5" xfId="21462"/>
    <cellStyle name="常规 19 9 2 5 2" xfId="24172"/>
    <cellStyle name="常规 19 9 2 5 3" xfId="24173"/>
    <cellStyle name="常规 19 9 2 5 4" xfId="24174"/>
    <cellStyle name="常规 19 9 2 5 5" xfId="24176"/>
    <cellStyle name="常规 19 9 2 5 6" xfId="24179"/>
    <cellStyle name="常规 19 9 2 5 7" xfId="24182"/>
    <cellStyle name="常规 19 9 2 5 8" xfId="24185"/>
    <cellStyle name="常规 19 9 2 6" xfId="21464"/>
    <cellStyle name="常规 19 9 2 6 2" xfId="24187"/>
    <cellStyle name="常规 19 9 2 6 3" xfId="24188"/>
    <cellStyle name="常规 19 9 2 6 4" xfId="24189"/>
    <cellStyle name="常规 19 9 2 6 5" xfId="24191"/>
    <cellStyle name="常规 19 9 2 6 6" xfId="1458"/>
    <cellStyle name="常规 19 9 2 6 7" xfId="10178"/>
    <cellStyle name="常规 19 9 2 6 8" xfId="24193"/>
    <cellStyle name="常规 19 9 2 7" xfId="24194"/>
    <cellStyle name="常规 19 9 2 7 2" xfId="24196"/>
    <cellStyle name="常规 19 9 2 7 3" xfId="24197"/>
    <cellStyle name="常规 19 9 2 7 4" xfId="24198"/>
    <cellStyle name="常规 19 9 2 7 5" xfId="24200"/>
    <cellStyle name="常规 19 9 2 7 6" xfId="24202"/>
    <cellStyle name="常规 19 9 2 7 7" xfId="24204"/>
    <cellStyle name="常规 19 9 2 7 8" xfId="24205"/>
    <cellStyle name="常规 19 9 2 8" xfId="24207"/>
    <cellStyle name="常规 19 9 2 8 2" xfId="24208"/>
    <cellStyle name="常规 19 9 2 8 3" xfId="24209"/>
    <cellStyle name="常规 19 9 2 8 4" xfId="24210"/>
    <cellStyle name="常规 19 9 2 8 5" xfId="24212"/>
    <cellStyle name="常规 19 9 2 8 6" xfId="24214"/>
    <cellStyle name="常规 19 9 2 8 7" xfId="24215"/>
    <cellStyle name="常规 19 9 2 8 8" xfId="24216"/>
    <cellStyle name="常规 19 9 2 9" xfId="24217"/>
    <cellStyle name="常规 19 9 2 9 2" xfId="24218"/>
    <cellStyle name="常规 19 9 2 9 3" xfId="24219"/>
    <cellStyle name="常规 19 9 2 9 4" xfId="24220"/>
    <cellStyle name="常规 19 9 2 9 5" xfId="24222"/>
    <cellStyle name="常规 19 9 2 9 6" xfId="24224"/>
    <cellStyle name="常规 19 9 2 9 7" xfId="24225"/>
    <cellStyle name="常规 19 9 2 9 8" xfId="24226"/>
    <cellStyle name="常规 19 9 3" xfId="594"/>
    <cellStyle name="常规 19 9 3 2" xfId="21469"/>
    <cellStyle name="常规 19 9 3 3" xfId="21471"/>
    <cellStyle name="常规 19 9 3 4" xfId="21473"/>
    <cellStyle name="常规 19 9 3 5" xfId="21476"/>
    <cellStyle name="常规 19 9 3 6" xfId="8593"/>
    <cellStyle name="常规 19 9 3 7" xfId="24227"/>
    <cellStyle name="常规 19 9 3 8" xfId="5785"/>
    <cellStyle name="常规 19 9 4" xfId="601"/>
    <cellStyle name="常规 19 9 4 2" xfId="21481"/>
    <cellStyle name="常规 19 9 4 3" xfId="21483"/>
    <cellStyle name="常规 19 9 4 4" xfId="21485"/>
    <cellStyle name="常规 19 9 4 5" xfId="11567"/>
    <cellStyle name="常规 19 9 4 6" xfId="11570"/>
    <cellStyle name="常规 19 9 4 7" xfId="24228"/>
    <cellStyle name="常规 19 9 4 8" xfId="24229"/>
    <cellStyle name="常规 19 9 5" xfId="2433"/>
    <cellStyle name="常规 19 9 5 2" xfId="21491"/>
    <cellStyle name="常规 19 9 5 3" xfId="21493"/>
    <cellStyle name="常规 19 9 5 4" xfId="21495"/>
    <cellStyle name="常规 19 9 5 5" xfId="7885"/>
    <cellStyle name="常规 19 9 5 6" xfId="8039"/>
    <cellStyle name="常规 19 9 5 7" xfId="8176"/>
    <cellStyle name="常规 19 9 5 8" xfId="5833"/>
    <cellStyle name="常规 19 9 6" xfId="2444"/>
    <cellStyle name="常规 19 9 6 2" xfId="21500"/>
    <cellStyle name="常规 19 9 6 3" xfId="21502"/>
    <cellStyle name="常规 19 9 6 4" xfId="21504"/>
    <cellStyle name="常规 19 9 6 5" xfId="21506"/>
    <cellStyle name="常规 19 9 6 6" xfId="21508"/>
    <cellStyle name="常规 19 9 6 7" xfId="24230"/>
    <cellStyle name="常规 19 9 6 8" xfId="24231"/>
    <cellStyle name="常规 19 9 7" xfId="3537"/>
    <cellStyle name="常规 19 9 7 2" xfId="24232"/>
    <cellStyle name="常规 19 9 7 3" xfId="24233"/>
    <cellStyle name="常规 19 9 7 4" xfId="24235"/>
    <cellStyle name="常规 19 9 7 5" xfId="24236"/>
    <cellStyle name="常规 19 9 7 6" xfId="24237"/>
    <cellStyle name="常规 19 9 7 7" xfId="24238"/>
    <cellStyle name="常规 19 9 7 8" xfId="24239"/>
    <cellStyle name="常规 19 9 8" xfId="3553"/>
    <cellStyle name="常规 19 9 8 2" xfId="24240"/>
    <cellStyle name="常规 19 9 8 3" xfId="24241"/>
    <cellStyle name="常规 19 9 8 4" xfId="24242"/>
    <cellStyle name="常规 19 9 8 5" xfId="24243"/>
    <cellStyle name="常规 19 9 8 6" xfId="24244"/>
    <cellStyle name="常规 19 9 8 7" xfId="24245"/>
    <cellStyle name="常规 19 9 8 8" xfId="24246"/>
    <cellStyle name="常规 19 9 9" xfId="22097"/>
    <cellStyle name="常规 19 9 9 2" xfId="24248"/>
    <cellStyle name="常规 19 9 9 3" xfId="24250"/>
    <cellStyle name="常规 19 9 9 4" xfId="24252"/>
    <cellStyle name="常规 19 9 9 5" xfId="24253"/>
    <cellStyle name="常规 19 9 9 6" xfId="12569"/>
    <cellStyle name="常规 19 9 9 7" xfId="12583"/>
    <cellStyle name="常规 19 9 9 8" xfId="12605"/>
    <cellStyle name="常规 2" xfId="24254"/>
    <cellStyle name="常规 2 10" xfId="24255"/>
    <cellStyle name="常规 2 11" xfId="24257"/>
    <cellStyle name="常规 2 11 2" xfId="20280"/>
    <cellStyle name="常规 2 2" xfId="10946"/>
    <cellStyle name="常规 2 2 2" xfId="24258"/>
    <cellStyle name="常规 2 2 2 2" xfId="5733"/>
    <cellStyle name="常规 2 2 2 2 2" xfId="24260"/>
    <cellStyle name="常规 2 2 2 2 2 2" xfId="24263"/>
    <cellStyle name="常规 2 2 2 2 2 2 2" xfId="24090"/>
    <cellStyle name="常规 2 2 2 2 2 2 2 2" xfId="24266"/>
    <cellStyle name="常规 2 2 2 2 2 2 2 2 2" xfId="24267"/>
    <cellStyle name="常规 2 2 2 2 2 2 2 2 3" xfId="24268"/>
    <cellStyle name="常规 2 2 2 2 2 2 2 2 3 2" xfId="24269"/>
    <cellStyle name="常规 2 2 2 2 2 2 2 3" xfId="24270"/>
    <cellStyle name="常规 2 2 2 2 2 2 2 4" xfId="24271"/>
    <cellStyle name="常规 2 2 2 2 2 2 3" xfId="24092"/>
    <cellStyle name="常规 2 2 2 2 2 3" xfId="24272"/>
    <cellStyle name="常规 2 2 2 2 2 3 2" xfId="24275"/>
    <cellStyle name="常规 2 2 2 2 2 3 2 2" xfId="24276"/>
    <cellStyle name="常规 2 2 2 2 2 3 2 3" xfId="24277"/>
    <cellStyle name="常规 2 2 2 2 2 3 3" xfId="24278"/>
    <cellStyle name="常规 2 2 2 2 2 3 3 2" xfId="24279"/>
    <cellStyle name="常规 2 2 2 2 2 3 3 2 2" xfId="24280"/>
    <cellStyle name="常规 2 2 2 2 2 3 3 2 3" xfId="24281"/>
    <cellStyle name="常规 2 2 2 2 2 3 3 2 3 2" xfId="6762"/>
    <cellStyle name="常规 2 2 2 2 2 3 3 3" xfId="24282"/>
    <cellStyle name="常规 2 2 2 2 2 3 3 4" xfId="24283"/>
    <cellStyle name="常规 2 2 2 2 2 3 4" xfId="24284"/>
    <cellStyle name="常规 2 2 2 2 2 4" xfId="24285"/>
    <cellStyle name="常规 2 2 2 2 2 4 2" xfId="24286"/>
    <cellStyle name="常规 2 2 2 2 2 4 2 2" xfId="24287"/>
    <cellStyle name="常规 2 2 2 2 2 4 2 3" xfId="24288"/>
    <cellStyle name="常规 2 2 2 2 2 4 2 3 2" xfId="14689"/>
    <cellStyle name="常规 2 2 2 2 2 4 3" xfId="24289"/>
    <cellStyle name="常规 2 2 2 2 2 4 4" xfId="24291"/>
    <cellStyle name="常规 2 2 2 2 2 5" xfId="14989"/>
    <cellStyle name="常规 2 2 2 2 3" xfId="24293"/>
    <cellStyle name="常规 2 2 2 2 3 2" xfId="24296"/>
    <cellStyle name="常规 2 2 2 2 3 2 2" xfId="12582"/>
    <cellStyle name="常规 2 2 2 2 3 2 2 2" xfId="12587"/>
    <cellStyle name="常规 2 2 2 2 3 2 2 3" xfId="12599"/>
    <cellStyle name="常规 2 2 2 2 3 2 3" xfId="12604"/>
    <cellStyle name="常规 2 2 2 2 3 2 3 2" xfId="24298"/>
    <cellStyle name="常规 2 2 2 2 3 2 3 2 2" xfId="24300"/>
    <cellStyle name="常规 2 2 2 2 3 2 3 2 3" xfId="24301"/>
    <cellStyle name="常规 2 2 2 2 3 2 3 2 3 2" xfId="24304"/>
    <cellStyle name="常规 2 2 2 2 3 2 3 3" xfId="24307"/>
    <cellStyle name="常规 2 2 2 2 3 2 3 4" xfId="24308"/>
    <cellStyle name="常规 2 2 2 2 3 2 4" xfId="24309"/>
    <cellStyle name="常规 2 2 2 2 3 3" xfId="24310"/>
    <cellStyle name="常规 2 2 2 2 3 3 2" xfId="12619"/>
    <cellStyle name="常规 2 2 2 2 3 3 2 2" xfId="24312"/>
    <cellStyle name="常规 2 2 2 2 3 3 2 3" xfId="24314"/>
    <cellStyle name="常规 2 2 2 2 3 3 2 3 2" xfId="24316"/>
    <cellStyle name="常规 2 2 2 2 3 3 3" xfId="12622"/>
    <cellStyle name="常规 2 2 2 2 3 3 4" xfId="24318"/>
    <cellStyle name="常规 2 2 2 2 3 4" xfId="24320"/>
    <cellStyle name="常规 2 2 2 2 4" xfId="24321"/>
    <cellStyle name="常规 2 2 2 2 4 2" xfId="24323"/>
    <cellStyle name="常规 2 2 2 2 4 2 2" xfId="12635"/>
    <cellStyle name="常规 2 2 2 2 4 2 3" xfId="24324"/>
    <cellStyle name="常规 2 2 2 2 4 3" xfId="24325"/>
    <cellStyle name="常规 2 2 2 2 4 3 2" xfId="12643"/>
    <cellStyle name="常规 2 2 2 2 4 3 2 2" xfId="12645"/>
    <cellStyle name="常规 2 2 2 2 4 3 2 3" xfId="12655"/>
    <cellStyle name="常规 2 2 2 2 4 3 2 3 2" xfId="24326"/>
    <cellStyle name="常规 2 2 2 2 4 3 3" xfId="12659"/>
    <cellStyle name="常规 2 2 2 2 4 3 4" xfId="24327"/>
    <cellStyle name="常规 2 2 2 2 4 4" xfId="24329"/>
    <cellStyle name="常规 2 2 2 2 5" xfId="24330"/>
    <cellStyle name="常规 2 2 2 2 5 2" xfId="24332"/>
    <cellStyle name="常规 2 2 2 2 5 2 2" xfId="12681"/>
    <cellStyle name="常规 2 2 2 2 5 2 3" xfId="24334"/>
    <cellStyle name="常规 2 2 2 2 5 2 3 2" xfId="24335"/>
    <cellStyle name="常规 2 2 2 2 5 3" xfId="24336"/>
    <cellStyle name="常规 2 2 2 2 5 4" xfId="24338"/>
    <cellStyle name="常规 2 2 2 2 6" xfId="24339"/>
    <cellStyle name="常规 2 2 2 3" xfId="4229"/>
    <cellStyle name="常规 2 2 2 3 2" xfId="24341"/>
    <cellStyle name="常规 2 2 2 3 2 2" xfId="24344"/>
    <cellStyle name="常规 2 2 2 3 2 2 2" xfId="24346"/>
    <cellStyle name="常规 2 2 2 3 2 2 2 2" xfId="22295"/>
    <cellStyle name="常规 2 2 2 3 2 2 2 3" xfId="22297"/>
    <cellStyle name="常规 2 2 2 3 2 2 2 3 2" xfId="19705"/>
    <cellStyle name="常规 2 2 2 3 2 2 3" xfId="24347"/>
    <cellStyle name="常规 2 2 2 3 2 2 4" xfId="14267"/>
    <cellStyle name="常规 2 2 2 3 2 3" xfId="24348"/>
    <cellStyle name="常规 2 2 2 3 3" xfId="24350"/>
    <cellStyle name="常规 2 2 2 3 3 2" xfId="24353"/>
    <cellStyle name="常规 2 2 2 3 3 2 2" xfId="12735"/>
    <cellStyle name="常规 2 2 2 3 3 2 3" xfId="24354"/>
    <cellStyle name="常规 2 2 2 3 3 3" xfId="24355"/>
    <cellStyle name="常规 2 2 2 3 3 3 2" xfId="24356"/>
    <cellStyle name="常规 2 2 2 3 3 3 2 2" xfId="24357"/>
    <cellStyle name="常规 2 2 2 3 3 3 2 3" xfId="24358"/>
    <cellStyle name="常规 2 2 2 3 3 3 2 3 2" xfId="21729"/>
    <cellStyle name="常规 2 2 2 3 3 3 3" xfId="24359"/>
    <cellStyle name="常规 2 2 2 3 3 3 4" xfId="24360"/>
    <cellStyle name="常规 2 2 2 3 3 4" xfId="24361"/>
    <cellStyle name="常规 2 2 2 3 4" xfId="24362"/>
    <cellStyle name="常规 2 2 2 3 4 2" xfId="24363"/>
    <cellStyle name="常规 2 2 2 3 4 2 2" xfId="24364"/>
    <cellStyle name="常规 2 2 2 3 4 2 3" xfId="24366"/>
    <cellStyle name="常规 2 2 2 3 4 2 3 2" xfId="24368"/>
    <cellStyle name="常规 2 2 2 3 4 3" xfId="24370"/>
    <cellStyle name="常规 2 2 2 3 4 4" xfId="24371"/>
    <cellStyle name="常规 2 2 2 3 5" xfId="24372"/>
    <cellStyle name="常规 2 2 2 4" xfId="333"/>
    <cellStyle name="常规 2 2 2 4 2" xfId="1072"/>
    <cellStyle name="常规 2 2 2 4 2 2" xfId="24373"/>
    <cellStyle name="常规 2 2 2 4 2 3" xfId="6975"/>
    <cellStyle name="常规 2 2 2 4 3" xfId="2349"/>
    <cellStyle name="常规 2 2 2 4 3 2" xfId="19990"/>
    <cellStyle name="常规 2 2 2 4 3 2 2" xfId="5525"/>
    <cellStyle name="常规 2 2 2 4 3 2 3" xfId="19992"/>
    <cellStyle name="常规 2 2 2 4 3 2 3 2" xfId="3400"/>
    <cellStyle name="常规 2 2 2 4 3 3" xfId="7176"/>
    <cellStyle name="常规 2 2 2 4 3 4" xfId="7735"/>
    <cellStyle name="常规 2 2 2 4 4" xfId="24374"/>
    <cellStyle name="常规 2 2 2 5" xfId="286"/>
    <cellStyle name="常规 2 2 2 5 2" xfId="24375"/>
    <cellStyle name="常规 2 2 2 5 2 2" xfId="24377"/>
    <cellStyle name="常规 2 2 2 5 2 3" xfId="21820"/>
    <cellStyle name="常规 2 2 2 5 2 3 2" xfId="24378"/>
    <cellStyle name="常规 2 2 2 5 3" xfId="24379"/>
    <cellStyle name="常规 2 2 2 5 4" xfId="24380"/>
    <cellStyle name="常规 2 2 2 6" xfId="24381"/>
    <cellStyle name="常规 2 2 3" xfId="6833"/>
    <cellStyle name="常规 2 2 3 2" xfId="7224"/>
    <cellStyle name="常规 2 2 3 2 2" xfId="1121"/>
    <cellStyle name="常规 2 2 3 2 2 2" xfId="19908"/>
    <cellStyle name="常规 2 2 3 2 2 2 2" xfId="24383"/>
    <cellStyle name="常规 2 2 3 2 2 2 3" xfId="24384"/>
    <cellStyle name="常规 2 2 3 2 2 3" xfId="19910"/>
    <cellStyle name="常规 2 2 3 2 3" xfId="2681"/>
    <cellStyle name="常规 2 2 3 2 3 2" xfId="16967"/>
    <cellStyle name="常规 2 2 3 2 3 3" xfId="16993"/>
    <cellStyle name="常规 2 2 3 2 4" xfId="24385"/>
    <cellStyle name="常规 2 2 3 3" xfId="7231"/>
    <cellStyle name="常规 2 2 3 3 2" xfId="1144"/>
    <cellStyle name="常规 2 2 3 3 2 2" xfId="12595"/>
    <cellStyle name="常规 2 2 3 3 2 2 2" xfId="24387"/>
    <cellStyle name="常规 2 2 3 3 2 2 3" xfId="24388"/>
    <cellStyle name="常规 2 2 3 3 2 3" xfId="24390"/>
    <cellStyle name="常规 2 2 3 3 3" xfId="24391"/>
    <cellStyle name="常规 2 2 3 3 3 2" xfId="24393"/>
    <cellStyle name="常规 2 2 3 3 3 3" xfId="24394"/>
    <cellStyle name="常规 2 2 3 3 4" xfId="24395"/>
    <cellStyle name="常规 2 2 3 4" xfId="7217"/>
    <cellStyle name="常规 2 2 3 4 2" xfId="24396"/>
    <cellStyle name="常规 2 2 3 4 2 2" xfId="24398"/>
    <cellStyle name="常规 2 2 3 4 2 2 2" xfId="24399"/>
    <cellStyle name="常规 2 2 3 4 2 2 3" xfId="7227"/>
    <cellStyle name="常规 2 2 3 4 2 3" xfId="23562"/>
    <cellStyle name="常规 2 2 3 4 2 3 2" xfId="24400"/>
    <cellStyle name="常规 2 2 3 4 2 3 2 2" xfId="1210"/>
    <cellStyle name="常规 2 2 3 4 2 3 2 3" xfId="24035"/>
    <cellStyle name="常规 2 2 3 4 2 3 2 3 2" xfId="11185"/>
    <cellStyle name="常规 2 2 3 4 2 3 3" xfId="7242"/>
    <cellStyle name="常规 2 2 3 4 2 3 4" xfId="7328"/>
    <cellStyle name="常规 2 2 3 4 2 4" xfId="23564"/>
    <cellStyle name="常规 2 2 3 4 3" xfId="24401"/>
    <cellStyle name="常规 2 2 3 4 3 2" xfId="20631"/>
    <cellStyle name="常规 2 2 3 4 3 2 2" xfId="20633"/>
    <cellStyle name="常规 2 2 3 4 3 2 3" xfId="7266"/>
    <cellStyle name="常规 2 2 3 4 3 2 3 2" xfId="1459"/>
    <cellStyle name="常规 2 2 3 4 3 3" xfId="20643"/>
    <cellStyle name="常规 2 2 3 4 3 4" xfId="20651"/>
    <cellStyle name="常规 2 2 3 4 4" xfId="24402"/>
    <cellStyle name="常规 2 2 3 5" xfId="24403"/>
    <cellStyle name="常规 2 2 3 5 2" xfId="24405"/>
    <cellStyle name="常规 2 2 3 5 2 2" xfId="24407"/>
    <cellStyle name="常规 2 2 3 5 2 3" xfId="24408"/>
    <cellStyle name="常规 2 2 3 5 3" xfId="24410"/>
    <cellStyle name="常规 2 2 3 6" xfId="24412"/>
    <cellStyle name="常规 2 2 3 6 2" xfId="24414"/>
    <cellStyle name="常规 2 2 3 6 3" xfId="24415"/>
    <cellStyle name="常规 2 2 3 7" xfId="24417"/>
    <cellStyle name="常规 2 2 4" xfId="7234"/>
    <cellStyle name="常规 2 2 4 2" xfId="7239"/>
    <cellStyle name="常规 2 2 4 2 2" xfId="24418"/>
    <cellStyle name="常规 2 2 4 2 2 2" xfId="24420"/>
    <cellStyle name="常规 2 2 4 2 2 2 2" xfId="24421"/>
    <cellStyle name="常规 2 2 4 2 2 2 3" xfId="24422"/>
    <cellStyle name="常规 2 2 4 2 2 3" xfId="24423"/>
    <cellStyle name="常规 2 2 4 2 3" xfId="24424"/>
    <cellStyle name="常规 2 2 4 2 3 2" xfId="24425"/>
    <cellStyle name="常规 2 2 4 2 3 3" xfId="24426"/>
    <cellStyle name="常规 2 2 4 2 4" xfId="24427"/>
    <cellStyle name="常规 2 2 4 3" xfId="7247"/>
    <cellStyle name="常规 2 2 4 3 2" xfId="24302"/>
    <cellStyle name="常规 2 2 4 3 2 2" xfId="24305"/>
    <cellStyle name="常规 2 2 4 3 2 2 2" xfId="24428"/>
    <cellStyle name="常规 2 2 4 3 2 2 3" xfId="24429"/>
    <cellStyle name="常规 2 2 4 3 2 3" xfId="24431"/>
    <cellStyle name="常规 2 2 4 3 3" xfId="24433"/>
    <cellStyle name="常规 2 2 4 3 3 2" xfId="24435"/>
    <cellStyle name="常规 2 2 4 3 3 3" xfId="24436"/>
    <cellStyle name="常规 2 2 4 3 4" xfId="24437"/>
    <cellStyle name="常规 2 2 4 4" xfId="18749"/>
    <cellStyle name="常规 2 2 4 4 2" xfId="24438"/>
    <cellStyle name="常规 2 2 4 4 2 2" xfId="24440"/>
    <cellStyle name="常规 2 2 4 4 2 2 2" xfId="24441"/>
    <cellStyle name="常规 2 2 4 4 2 2 3" xfId="7343"/>
    <cellStyle name="常规 2 2 4 4 2 3" xfId="24442"/>
    <cellStyle name="常规 2 2 4 4 2 3 2" xfId="24443"/>
    <cellStyle name="常规 2 2 4 4 2 3 2 2" xfId="24444"/>
    <cellStyle name="常规 2 2 4 4 2 3 2 3" xfId="24445"/>
    <cellStyle name="常规 2 2 4 4 2 3 2 3 2" xfId="24446"/>
    <cellStyle name="常规 2 2 4 4 2 3 3" xfId="10429"/>
    <cellStyle name="常规 2 2 4 4 2 3 4" xfId="10432"/>
    <cellStyle name="常规 2 2 4 4 2 4" xfId="24447"/>
    <cellStyle name="常规 2 2 4 4 3" xfId="24448"/>
    <cellStyle name="常规 2 2 4 4 3 2" xfId="21083"/>
    <cellStyle name="常规 2 2 4 4 3 2 2" xfId="21085"/>
    <cellStyle name="常规 2 2 4 4 3 2 3" xfId="8839"/>
    <cellStyle name="常规 2 2 4 4 3 2 3 2" xfId="2400"/>
    <cellStyle name="常规 2 2 4 4 3 3" xfId="21091"/>
    <cellStyle name="常规 2 2 4 4 3 4" xfId="21098"/>
    <cellStyle name="常规 2 2 4 4 4" xfId="24450"/>
    <cellStyle name="常规 2 2 4 5" xfId="18752"/>
    <cellStyle name="常规 2 2 4 5 2" xfId="24451"/>
    <cellStyle name="常规 2 2 4 5 2 2" xfId="24453"/>
    <cellStyle name="常规 2 2 4 5 2 3" xfId="24454"/>
    <cellStyle name="常规 2 2 4 5 3" xfId="24455"/>
    <cellStyle name="常规 2 2 4 6" xfId="24456"/>
    <cellStyle name="常规 2 2 4 6 2" xfId="24457"/>
    <cellStyle name="常规 2 2 4 6 3" xfId="24458"/>
    <cellStyle name="常规 2 2 4 7" xfId="24459"/>
    <cellStyle name="常规 2 2 5" xfId="7252"/>
    <cellStyle name="常规 2 2 5 2" xfId="7851"/>
    <cellStyle name="常规 2 2 5 2 2" xfId="24460"/>
    <cellStyle name="常规 2 2 5 2 2 2" xfId="24462"/>
    <cellStyle name="常规 2 2 5 2 2 2 2" xfId="24464"/>
    <cellStyle name="常规 2 2 5 2 2 2 3" xfId="901"/>
    <cellStyle name="常规 2 2 5 2 2 2 3 2" xfId="24466"/>
    <cellStyle name="常规 2 2 5 2 2 3" xfId="24468"/>
    <cellStyle name="常规 2 2 5 2 2 4" xfId="24470"/>
    <cellStyle name="常规 2 2 5 2 3" xfId="24472"/>
    <cellStyle name="常规 2 2 5 3" xfId="7856"/>
    <cellStyle name="常规 2 2 5 3 2" xfId="24473"/>
    <cellStyle name="常规 2 2 5 3 2 2" xfId="24475"/>
    <cellStyle name="常规 2 2 5 3 2 3" xfId="24477"/>
    <cellStyle name="常规 2 2 5 3 3" xfId="24479"/>
    <cellStyle name="常规 2 2 5 3 3 2" xfId="24481"/>
    <cellStyle name="常规 2 2 5 3 3 2 2" xfId="24483"/>
    <cellStyle name="常规 2 2 5 3 3 2 3" xfId="24485"/>
    <cellStyle name="常规 2 2 5 3 3 2 3 2" xfId="24488"/>
    <cellStyle name="常规 2 2 5 3 3 3" xfId="24489"/>
    <cellStyle name="常规 2 2 5 3 3 4" xfId="24491"/>
    <cellStyle name="常规 2 2 5 3 4" xfId="24493"/>
    <cellStyle name="常规 2 2 5 4" xfId="7383"/>
    <cellStyle name="常规 2 2 5 4 2" xfId="24494"/>
    <cellStyle name="常规 2 2 5 4 2 2" xfId="7392"/>
    <cellStyle name="常规 2 2 5 4 2 3" xfId="24495"/>
    <cellStyle name="常规 2 2 5 4 2 3 2" xfId="24497"/>
    <cellStyle name="常规 2 2 5 4 3" xfId="24499"/>
    <cellStyle name="常规 2 2 5 4 4" xfId="24500"/>
    <cellStyle name="常规 2 2 5 5" xfId="5948"/>
    <cellStyle name="常规 2 2 6" xfId="24501"/>
    <cellStyle name="常规 2 2 6 2" xfId="17428"/>
    <cellStyle name="常规 2 2 6 2 2" xfId="24503"/>
    <cellStyle name="常规 2 2 6 2 3" xfId="24504"/>
    <cellStyle name="常规 2 2 6 3" xfId="17432"/>
    <cellStyle name="常规 2 2 6 3 2" xfId="19998"/>
    <cellStyle name="常规 2 2 6 3 2 2" xfId="7681"/>
    <cellStyle name="常规 2 2 6 3 2 3" xfId="1961"/>
    <cellStyle name="常规 2 2 6 3 2 3 2" xfId="15910"/>
    <cellStyle name="常规 2 2 6 3 3" xfId="20000"/>
    <cellStyle name="常规 2 2 6 3 4" xfId="20002"/>
    <cellStyle name="常规 2 2 6 4" xfId="2961"/>
    <cellStyle name="常规 2 2 7" xfId="8284"/>
    <cellStyle name="常规 2 2 7 2" xfId="18780"/>
    <cellStyle name="常规 2 2 7 2 2" xfId="16689"/>
    <cellStyle name="常规 2 2 7 2 3" xfId="16692"/>
    <cellStyle name="常规 2 2 7 2 3 2" xfId="24505"/>
    <cellStyle name="常规 2 2 7 3" xfId="18785"/>
    <cellStyle name="常规 2 2 7 4" xfId="3182"/>
    <cellStyle name="常规 2 2 8" xfId="8287"/>
    <cellStyle name="常规 2 3" xfId="15595"/>
    <cellStyle name="常规 2 3 2" xfId="24506"/>
    <cellStyle name="常规 2 3 2 2" xfId="19644"/>
    <cellStyle name="常规 2 3 2 2 2" xfId="24508"/>
    <cellStyle name="常规 2 3 2 2 2 2" xfId="24511"/>
    <cellStyle name="常规 2 3 2 2 2 2 2" xfId="24514"/>
    <cellStyle name="常规 2 3 2 2 2 2 2 2" xfId="24516"/>
    <cellStyle name="常规 2 3 2 2 2 2 2 3" xfId="24518"/>
    <cellStyle name="常规 2 3 2 2 2 2 2 3 2" xfId="24520"/>
    <cellStyle name="常规 2 3 2 2 2 2 3" xfId="24521"/>
    <cellStyle name="常规 2 3 2 2 2 2 4" xfId="24523"/>
    <cellStyle name="常规 2 3 2 2 2 3" xfId="24524"/>
    <cellStyle name="常规 2 3 2 2 3" xfId="24527"/>
    <cellStyle name="常规 2 3 2 2 3 2" xfId="20757"/>
    <cellStyle name="常规 2 3 2 2 3 2 2" xfId="20761"/>
    <cellStyle name="常规 2 3 2 2 3 2 3" xfId="20764"/>
    <cellStyle name="常规 2 3 2 2 3 3" xfId="20769"/>
    <cellStyle name="常规 2 3 2 2 3 3 2" xfId="12382"/>
    <cellStyle name="常规 2 3 2 2 3 3 2 2" xfId="17224"/>
    <cellStyle name="常规 2 3 2 2 3 3 2 3" xfId="17227"/>
    <cellStyle name="常规 2 3 2 2 3 3 2 3 2" xfId="24530"/>
    <cellStyle name="常规 2 3 2 2 3 3 3" xfId="20773"/>
    <cellStyle name="常规 2 3 2 2 3 3 4" xfId="20776"/>
    <cellStyle name="常规 2 3 2 2 3 4" xfId="20779"/>
    <cellStyle name="常规 2 3 2 2 4" xfId="2834"/>
    <cellStyle name="常规 2 3 2 2 4 2" xfId="4387"/>
    <cellStyle name="常规 2 3 2 2 4 2 2" xfId="4234"/>
    <cellStyle name="常规 2 3 2 2 4 2 3" xfId="329"/>
    <cellStyle name="常规 2 3 2 2 4 2 3 2" xfId="24532"/>
    <cellStyle name="常规 2 3 2 2 4 3" xfId="2967"/>
    <cellStyle name="常规 2 3 2 2 4 4" xfId="5668"/>
    <cellStyle name="常规 2 3 2 2 5" xfId="3791"/>
    <cellStyle name="常规 2 3 2 3" xfId="19647"/>
    <cellStyle name="常规 2 3 2 3 2" xfId="24533"/>
    <cellStyle name="常规 2 3 2 3 2 2" xfId="24536"/>
    <cellStyle name="常规 2 3 2 3 2 2 2" xfId="24538"/>
    <cellStyle name="常规 2 3 2 3 2 2 3" xfId="24540"/>
    <cellStyle name="常规 2 3 2 3 2 3" xfId="24542"/>
    <cellStyle name="常规 2 3 2 3 2 3 2" xfId="24544"/>
    <cellStyle name="常规 2 3 2 3 2 3 2 2" xfId="20959"/>
    <cellStyle name="常规 2 3 2 3 2 3 2 3" xfId="20962"/>
    <cellStyle name="常规 2 3 2 3 2 3 2 3 2" xfId="24546"/>
    <cellStyle name="常规 2 3 2 3 2 3 3" xfId="24548"/>
    <cellStyle name="常规 2 3 2 3 2 3 4" xfId="24550"/>
    <cellStyle name="常规 2 3 2 3 2 4" xfId="24552"/>
    <cellStyle name="常规 2 3 2 3 3" xfId="24554"/>
    <cellStyle name="常规 2 3 2 3 3 2" xfId="21117"/>
    <cellStyle name="常规 2 3 2 3 3 2 2" xfId="21120"/>
    <cellStyle name="常规 2 3 2 3 3 2 3" xfId="21123"/>
    <cellStyle name="常规 2 3 2 3 3 2 3 2" xfId="21921"/>
    <cellStyle name="常规 2 3 2 3 3 3" xfId="21132"/>
    <cellStyle name="常规 2 3 2 3 3 4" xfId="21142"/>
    <cellStyle name="常规 2 3 2 3 4" xfId="705"/>
    <cellStyle name="常规 2 3 2 4" xfId="19650"/>
    <cellStyle name="常规 2 3 2 4 2" xfId="24557"/>
    <cellStyle name="常规 2 3 2 4 2 2" xfId="24560"/>
    <cellStyle name="常规 2 3 2 4 2 3" xfId="24562"/>
    <cellStyle name="常规 2 3 2 4 3" xfId="24564"/>
    <cellStyle name="常规 2 3 2 4 3 2" xfId="21388"/>
    <cellStyle name="常规 2 3 2 4 3 2 2" xfId="21391"/>
    <cellStyle name="常规 2 3 2 4 3 2 3" xfId="21394"/>
    <cellStyle name="常规 2 3 2 4 3 2 3 2" xfId="24567"/>
    <cellStyle name="常规 2 3 2 4 3 3" xfId="21406"/>
    <cellStyle name="常规 2 3 2 4 3 4" xfId="21409"/>
    <cellStyle name="常规 2 3 2 4 4" xfId="5189"/>
    <cellStyle name="常规 2 3 2 5" xfId="24568"/>
    <cellStyle name="常规 2 3 2 5 2" xfId="24570"/>
    <cellStyle name="常规 2 3 2 5 2 2" xfId="12233"/>
    <cellStyle name="常规 2 3 2 5 2 3" xfId="12239"/>
    <cellStyle name="常规 2 3 2 5 2 3 2" xfId="24572"/>
    <cellStyle name="常规 2 3 2 5 3" xfId="24574"/>
    <cellStyle name="常规 2 3 2 5 4" xfId="24576"/>
    <cellStyle name="常规 2 3 2 6" xfId="24578"/>
    <cellStyle name="常规 2 3 3" xfId="7258"/>
    <cellStyle name="常规 2 3 3 2" xfId="7262"/>
    <cellStyle name="常规 2 3 3 2 2" xfId="24580"/>
    <cellStyle name="常规 2 3 3 2 2 2" xfId="5046"/>
    <cellStyle name="常规 2 3 3 2 2 2 2" xfId="5058"/>
    <cellStyle name="常规 2 3 3 2 2 2 3" xfId="5081"/>
    <cellStyle name="常规 2 3 3 2 2 2 3 2" xfId="6031"/>
    <cellStyle name="常规 2 3 3 2 2 3" xfId="5089"/>
    <cellStyle name="常规 2 3 3 2 2 4" xfId="5114"/>
    <cellStyle name="常规 2 3 3 2 3" xfId="24583"/>
    <cellStyle name="常规 2 3 3 3" xfId="7269"/>
    <cellStyle name="常规 2 3 3 3 2" xfId="24586"/>
    <cellStyle name="常规 2 3 3 3 2 2" xfId="5186"/>
    <cellStyle name="常规 2 3 3 3 2 3" xfId="4720"/>
    <cellStyle name="常规 2 3 3 3 3" xfId="24589"/>
    <cellStyle name="常规 2 3 3 3 3 2" xfId="22229"/>
    <cellStyle name="常规 2 3 3 3 3 2 2" xfId="16973"/>
    <cellStyle name="常规 2 3 3 3 3 2 3" xfId="16977"/>
    <cellStyle name="常规 2 3 3 3 3 2 3 2" xfId="24592"/>
    <cellStyle name="常规 2 3 3 3 3 3" xfId="22235"/>
    <cellStyle name="常规 2 3 3 3 3 4" xfId="22242"/>
    <cellStyle name="常规 2 3 3 3 4" xfId="5203"/>
    <cellStyle name="常规 2 3 3 4" xfId="19662"/>
    <cellStyle name="常规 2 3 3 4 2" xfId="24593"/>
    <cellStyle name="常规 2 3 3 4 2 2" xfId="6625"/>
    <cellStyle name="常规 2 3 3 4 2 3" xfId="6727"/>
    <cellStyle name="常规 2 3 3 4 2 3 2" xfId="1824"/>
    <cellStyle name="常规 2 3 3 4 3" xfId="24595"/>
    <cellStyle name="常规 2 3 3 4 4" xfId="24597"/>
    <cellStyle name="常规 2 3 3 5" xfId="24598"/>
    <cellStyle name="常规 2 3 4" xfId="7272"/>
    <cellStyle name="常规 2 3 4 2" xfId="19673"/>
    <cellStyle name="常规 2 3 4 2 2" xfId="24600"/>
    <cellStyle name="常规 2 3 4 2 2 2" xfId="24602"/>
    <cellStyle name="常规 2 3 4 2 2 2 2" xfId="13492"/>
    <cellStyle name="常规 2 3 4 2 2 2 3" xfId="13498"/>
    <cellStyle name="常规 2 3 4 2 2 2 3 2" xfId="24604"/>
    <cellStyle name="常规 2 3 4 2 2 3" xfId="24606"/>
    <cellStyle name="常规 2 3 4 2 2 4" xfId="24608"/>
    <cellStyle name="常规 2 3 4 2 3" xfId="24610"/>
    <cellStyle name="常规 2 3 4 3" xfId="19676"/>
    <cellStyle name="常规 2 3 4 3 2" xfId="24612"/>
    <cellStyle name="常规 2 3 4 3 2 2" xfId="24615"/>
    <cellStyle name="常规 2 3 4 3 2 3" xfId="24616"/>
    <cellStyle name="常规 2 3 4 3 3" xfId="24617"/>
    <cellStyle name="常规 2 3 4 3 3 2" xfId="22981"/>
    <cellStyle name="常规 2 3 4 3 3 2 2" xfId="24620"/>
    <cellStyle name="常规 2 3 4 3 3 2 3" xfId="24621"/>
    <cellStyle name="常规 2 3 4 3 3 2 3 2" xfId="24623"/>
    <cellStyle name="常规 2 3 4 3 3 3" xfId="22983"/>
    <cellStyle name="常规 2 3 4 3 3 4" xfId="24626"/>
    <cellStyle name="常规 2 3 4 3 4" xfId="5248"/>
    <cellStyle name="常规 2 3 4 4" xfId="19680"/>
    <cellStyle name="常规 2 3 4 4 2" xfId="24627"/>
    <cellStyle name="常规 2 3 4 4 2 2" xfId="24628"/>
    <cellStyle name="常规 2 3 4 4 2 3" xfId="24630"/>
    <cellStyle name="常规 2 3 4 4 2 3 2" xfId="24631"/>
    <cellStyle name="常规 2 3 4 4 3" xfId="24633"/>
    <cellStyle name="常规 2 3 4 4 4" xfId="24634"/>
    <cellStyle name="常规 2 3 4 5" xfId="24635"/>
    <cellStyle name="常规 2 3 5" xfId="24636"/>
    <cellStyle name="常规 2 3 5 2" xfId="19689"/>
    <cellStyle name="常规 2 3 5 2 2" xfId="24638"/>
    <cellStyle name="常规 2 3 5 2 2 2" xfId="24640"/>
    <cellStyle name="常规 2 3 5 2 2 2 2" xfId="24643"/>
    <cellStyle name="常规 2 3 5 2 2 2 3" xfId="24646"/>
    <cellStyle name="常规 2 3 5 2 2 2 3 2" xfId="24649"/>
    <cellStyle name="常规 2 3 5 2 2 3" xfId="24652"/>
    <cellStyle name="常规 2 3 5 2 2 4" xfId="24655"/>
    <cellStyle name="常规 2 3 5 2 3" xfId="24658"/>
    <cellStyle name="常规 2 3 5 3" xfId="9879"/>
    <cellStyle name="常规 2 3 5 3 2" xfId="24660"/>
    <cellStyle name="常规 2 3 5 3 2 2" xfId="24662"/>
    <cellStyle name="常规 2 3 5 3 2 3" xfId="24664"/>
    <cellStyle name="常规 2 3 5 3 3" xfId="24666"/>
    <cellStyle name="常规 2 3 5 3 3 2" xfId="23538"/>
    <cellStyle name="常规 2 3 5 3 3 2 2" xfId="1279"/>
    <cellStyle name="常规 2 3 5 3 3 2 3" xfId="24668"/>
    <cellStyle name="常规 2 3 5 3 3 2 3 2" xfId="24670"/>
    <cellStyle name="常规 2 3 5 3 3 3" xfId="23541"/>
    <cellStyle name="常规 2 3 5 3 3 4" xfId="24671"/>
    <cellStyle name="常规 2 3 5 3 4" xfId="24673"/>
    <cellStyle name="常规 2 3 5 4" xfId="8368"/>
    <cellStyle name="常规 2 3 5 4 2" xfId="24674"/>
    <cellStyle name="常规 2 3 5 4 2 2" xfId="9655"/>
    <cellStyle name="常规 2 3 5 4 2 3" xfId="24675"/>
    <cellStyle name="常规 2 3 5 4 2 3 2" xfId="24677"/>
    <cellStyle name="常规 2 3 5 4 3" xfId="24679"/>
    <cellStyle name="常规 2 3 5 4 4" xfId="24680"/>
    <cellStyle name="常规 2 3 5 5" xfId="24681"/>
    <cellStyle name="常规 2 3 6" xfId="24682"/>
    <cellStyle name="常规 2 3 6 2" xfId="19696"/>
    <cellStyle name="常规 2 3 6 2 2" xfId="24685"/>
    <cellStyle name="常规 2 3 6 2 3" xfId="24688"/>
    <cellStyle name="常规 2 3 6 3" xfId="19699"/>
    <cellStyle name="常规 2 3 6 3 2" xfId="24691"/>
    <cellStyle name="常规 2 3 6 3 2 2" xfId="24693"/>
    <cellStyle name="常规 2 3 6 3 2 3" xfId="24694"/>
    <cellStyle name="常规 2 3 6 3 2 3 2" xfId="15044"/>
    <cellStyle name="常规 2 3 6 3 3" xfId="24695"/>
    <cellStyle name="常规 2 3 6 3 4" xfId="24697"/>
    <cellStyle name="常规 2 3 6 4" xfId="8384"/>
    <cellStyle name="常规 2 3 7" xfId="24698"/>
    <cellStyle name="常规 2 3 7 2" xfId="19708"/>
    <cellStyle name="常规 2 3 7 2 2" xfId="17563"/>
    <cellStyle name="常规 2 3 7 2 3" xfId="16404"/>
    <cellStyle name="常规 2 3 7 2 3 2" xfId="24701"/>
    <cellStyle name="常规 2 3 7 3" xfId="19712"/>
    <cellStyle name="常规 2 3 7 4" xfId="19716"/>
    <cellStyle name="常规 2 3 8" xfId="24702"/>
    <cellStyle name="常规 2 4" xfId="15603"/>
    <cellStyle name="常规 2 4 2" xfId="6865"/>
    <cellStyle name="常规 2 4 2 2" xfId="19750"/>
    <cellStyle name="常规 2 4 2 2 2" xfId="24704"/>
    <cellStyle name="常规 2 4 2 2 2 2" xfId="24705"/>
    <cellStyle name="常规 2 4 2 2 2 2 2" xfId="24706"/>
    <cellStyle name="常规 2 4 2 2 2 2 3" xfId="24707"/>
    <cellStyle name="常规 2 4 2 2 2 3" xfId="24708"/>
    <cellStyle name="常规 2 4 2 2 2 3 2" xfId="5153"/>
    <cellStyle name="常规 2 4 2 2 2 3 2 2" xfId="9508"/>
    <cellStyle name="常规 2 4 2 2 2 3 2 3" xfId="9510"/>
    <cellStyle name="常规 2 4 2 2 2 3 2 3 2" xfId="24710"/>
    <cellStyle name="常规 2 4 2 2 2 3 3" xfId="5689"/>
    <cellStyle name="常规 2 4 2 2 2 3 4" xfId="24713"/>
    <cellStyle name="常规 2 4 2 2 2 4" xfId="24715"/>
    <cellStyle name="常规 2 4 2 2 3" xfId="24717"/>
    <cellStyle name="常规 2 4 2 2 3 2" xfId="24719"/>
    <cellStyle name="常规 2 4 2 2 3 2 2" xfId="24721"/>
    <cellStyle name="常规 2 4 2 2 3 2 3" xfId="24722"/>
    <cellStyle name="常规 2 4 2 2 3 2 3 2" xfId="12034"/>
    <cellStyle name="常规 2 4 2 2 3 3" xfId="24723"/>
    <cellStyle name="常规 2 4 2 2 3 4" xfId="24724"/>
    <cellStyle name="常规 2 4 2 2 4" xfId="24725"/>
    <cellStyle name="常规 2 4 2 3" xfId="19756"/>
    <cellStyle name="常规 2 4 2 3 2" xfId="13032"/>
    <cellStyle name="常规 2 4 2 3 2 2" xfId="20448"/>
    <cellStyle name="常规 2 4 2 3 2 2 2" xfId="11726"/>
    <cellStyle name="常规 2 4 2 3 2 2 2 2" xfId="24726"/>
    <cellStyle name="常规 2 4 2 3 2 2 2 3" xfId="24727"/>
    <cellStyle name="常规 2 4 2 3 2 2 2 3 2" xfId="24728"/>
    <cellStyle name="常规 2 4 2 3 2 2 3" xfId="3967"/>
    <cellStyle name="常规 2 4 2 3 2 2 4" xfId="816"/>
    <cellStyle name="常规 2 4 2 3 2 3" xfId="24729"/>
    <cellStyle name="常规 2 4 2 3 3" xfId="13039"/>
    <cellStyle name="常规 2 4 2 3 3 2" xfId="20464"/>
    <cellStyle name="常规 2 4 2 3 3 2 2" xfId="24730"/>
    <cellStyle name="常规 2 4 2 3 3 2 3" xfId="4174"/>
    <cellStyle name="常规 2 4 2 3 3 3" xfId="24731"/>
    <cellStyle name="常规 2 4 2 3 3 3 2" xfId="24732"/>
    <cellStyle name="常规 2 4 2 3 3 3 2 2" xfId="17898"/>
    <cellStyle name="常规 2 4 2 3 3 3 2 3" xfId="17902"/>
    <cellStyle name="常规 2 4 2 3 3 3 2 3 2" xfId="17905"/>
    <cellStyle name="常规 2 4 2 3 3 3 3" xfId="4216"/>
    <cellStyle name="常规 2 4 2 3 3 3 4" xfId="4256"/>
    <cellStyle name="常规 2 4 2 3 3 4" xfId="18258"/>
    <cellStyle name="常规 2 4 2 3 4" xfId="13046"/>
    <cellStyle name="常规 2 4 2 3 4 2" xfId="20473"/>
    <cellStyle name="常规 2 4 2 3 4 2 2" xfId="24733"/>
    <cellStyle name="常规 2 4 2 3 4 2 3" xfId="358"/>
    <cellStyle name="常规 2 4 2 3 4 2 3 2" xfId="2894"/>
    <cellStyle name="常规 2 4 2 3 4 3" xfId="11921"/>
    <cellStyle name="常规 2 4 2 3 4 4" xfId="11923"/>
    <cellStyle name="常规 2 4 2 3 5" xfId="11148"/>
    <cellStyle name="常规 2 4 2 4" xfId="19762"/>
    <cellStyle name="常规 2 4 2 4 2" xfId="24734"/>
    <cellStyle name="常规 2 4 2 4 2 2" xfId="24735"/>
    <cellStyle name="常规 2 4 2 4 2 3" xfId="24736"/>
    <cellStyle name="常规 2 4 2 4 3" xfId="24737"/>
    <cellStyle name="常规 2 4 2 4 3 2" xfId="22694"/>
    <cellStyle name="常规 2 4 2 4 3 2 2" xfId="24738"/>
    <cellStyle name="常规 2 4 2 4 3 2 3" xfId="24739"/>
    <cellStyle name="常规 2 4 2 4 3 2 3 2" xfId="24740"/>
    <cellStyle name="常规 2 4 2 4 3 3" xfId="22696"/>
    <cellStyle name="常规 2 4 2 4 3 4" xfId="24742"/>
    <cellStyle name="常规 2 4 2 4 4" xfId="24743"/>
    <cellStyle name="常规 2 4 2 5" xfId="24744"/>
    <cellStyle name="常规 2 4 2 5 2" xfId="24745"/>
    <cellStyle name="常规 2 4 2 5 2 2" xfId="24746"/>
    <cellStyle name="常规 2 4 2 5 2 3" xfId="89"/>
    <cellStyle name="常规 2 4 2 5 2 3 2" xfId="2296"/>
    <cellStyle name="常规 2 4 2 5 3" xfId="24747"/>
    <cellStyle name="常规 2 4 2 5 4" xfId="24748"/>
    <cellStyle name="常规 2 4 2 6" xfId="24749"/>
    <cellStyle name="常规 2 4 3" xfId="6192"/>
    <cellStyle name="常规 2 4 3 2" xfId="19766"/>
    <cellStyle name="常规 2 4 3 2 2" xfId="24750"/>
    <cellStyle name="常规 2 4 3 2 2 2" xfId="22393"/>
    <cellStyle name="常规 2 4 3 2 2 2 2" xfId="24751"/>
    <cellStyle name="常规 2 4 3 2 2 2 3" xfId="24753"/>
    <cellStyle name="常规 2 4 3 2 2 3" xfId="24755"/>
    <cellStyle name="常规 2 4 3 2 2 3 2" xfId="9832"/>
    <cellStyle name="常规 2 4 3 2 2 3 2 2" xfId="7115"/>
    <cellStyle name="常规 2 4 3 2 2 3 2 3" xfId="1356"/>
    <cellStyle name="常规 2 4 3 2 2 3 2 3 2" xfId="24758"/>
    <cellStyle name="常规 2 4 3 2 2 3 3" xfId="9838"/>
    <cellStyle name="常规 2 4 3 2 2 3 4" xfId="24760"/>
    <cellStyle name="常规 2 4 3 2 2 4" xfId="24761"/>
    <cellStyle name="常规 2 4 3 2 3" xfId="24763"/>
    <cellStyle name="常规 2 4 3 2 3 2" xfId="24764"/>
    <cellStyle name="常规 2 4 3 2 3 2 2" xfId="24765"/>
    <cellStyle name="常规 2 4 3 2 3 2 3" xfId="24768"/>
    <cellStyle name="常规 2 4 3 2 3 2 3 2" xfId="24770"/>
    <cellStyle name="常规 2 4 3 2 3 3" xfId="24771"/>
    <cellStyle name="常规 2 4 3 2 3 4" xfId="24772"/>
    <cellStyle name="常规 2 4 3 2 4" xfId="24773"/>
    <cellStyle name="常规 2 4 3 3" xfId="19769"/>
    <cellStyle name="常规 2 4 3 3 2" xfId="24774"/>
    <cellStyle name="常规 2 4 3 3 2 2" xfId="201"/>
    <cellStyle name="常规 2 4 3 3 2 2 2" xfId="5450"/>
    <cellStyle name="常规 2 4 3 3 2 2 2 2" xfId="6038"/>
    <cellStyle name="常规 2 4 3 3 2 2 2 3" xfId="6052"/>
    <cellStyle name="常规 2 4 3 3 2 2 2 3 2" xfId="2826"/>
    <cellStyle name="常规 2 4 3 3 2 2 3" xfId="4683"/>
    <cellStyle name="常规 2 4 3 3 2 2 4" xfId="4711"/>
    <cellStyle name="常规 2 4 3 3 2 3" xfId="204"/>
    <cellStyle name="常规 2 4 3 3 3" xfId="24775"/>
    <cellStyle name="常规 2 4 3 3 3 2" xfId="24776"/>
    <cellStyle name="常规 2 4 3 3 3 2 2" xfId="24777"/>
    <cellStyle name="常规 2 4 3 3 3 2 3" xfId="4870"/>
    <cellStyle name="常规 2 4 3 3 3 3" xfId="24780"/>
    <cellStyle name="常规 2 4 3 3 3 3 2" xfId="24781"/>
    <cellStyle name="常规 2 4 3 3 3 3 2 2" xfId="24784"/>
    <cellStyle name="常规 2 4 3 3 3 3 2 3" xfId="24786"/>
    <cellStyle name="常规 2 4 3 3 3 3 2 3 2" xfId="24788"/>
    <cellStyle name="常规 2 4 3 3 3 3 3" xfId="1597"/>
    <cellStyle name="常规 2 4 3 3 3 3 4" xfId="155"/>
    <cellStyle name="常规 2 4 3 3 3 4" xfId="24789"/>
    <cellStyle name="常规 2 4 3 3 4" xfId="24790"/>
    <cellStyle name="常规 2 4 3 3 4 2" xfId="24791"/>
    <cellStyle name="常规 2 4 3 3 4 2 2" xfId="15186"/>
    <cellStyle name="常规 2 4 3 3 4 2 3" xfId="1428"/>
    <cellStyle name="常规 2 4 3 3 4 2 3 2" xfId="2984"/>
    <cellStyle name="常规 2 4 3 3 4 3" xfId="24792"/>
    <cellStyle name="常规 2 4 3 3 4 4" xfId="24793"/>
    <cellStyle name="常规 2 4 3 3 5" xfId="24794"/>
    <cellStyle name="常规 2 4 3 4" xfId="19772"/>
    <cellStyle name="常规 2 4 3 4 2" xfId="24795"/>
    <cellStyle name="常规 2 4 3 4 2 2" xfId="24796"/>
    <cellStyle name="常规 2 4 3 4 2 2 2" xfId="24798"/>
    <cellStyle name="常规 2 4 3 4 2 2 3" xfId="24800"/>
    <cellStyle name="常规 2 4 3 4 2 3" xfId="24802"/>
    <cellStyle name="常规 2 4 3 4 2 3 2" xfId="24804"/>
    <cellStyle name="常规 2 4 3 4 2 3 2 2" xfId="24805"/>
    <cellStyle name="常规 2 4 3 4 2 3 2 3" xfId="24806"/>
    <cellStyle name="常规 2 4 3 4 2 3 2 3 2" xfId="24807"/>
    <cellStyle name="常规 2 4 3 4 2 3 3" xfId="24809"/>
    <cellStyle name="常规 2 4 3 4 2 3 4" xfId="24810"/>
    <cellStyle name="常规 2 4 3 4 2 4" xfId="24811"/>
    <cellStyle name="常规 2 4 3 4 3" xfId="24813"/>
    <cellStyle name="常规 2 4 3 4 3 2" xfId="22832"/>
    <cellStyle name="常规 2 4 3 4 3 2 2" xfId="16983"/>
    <cellStyle name="常规 2 4 3 4 3 2 3" xfId="16988"/>
    <cellStyle name="常规 2 4 3 4 3 2 3 2" xfId="24814"/>
    <cellStyle name="常规 2 4 3 4 3 3" xfId="22835"/>
    <cellStyle name="常规 2 4 3 4 3 4" xfId="24815"/>
    <cellStyle name="常规 2 4 3 4 4" xfId="24816"/>
    <cellStyle name="常规 2 4 3 5" xfId="24817"/>
    <cellStyle name="常规 2 4 3 5 2" xfId="16232"/>
    <cellStyle name="常规 2 4 3 5 2 2" xfId="1011"/>
    <cellStyle name="常规 2 4 3 5 2 3" xfId="495"/>
    <cellStyle name="常规 2 4 3 5 3" xfId="16234"/>
    <cellStyle name="常规 2 4 3 5 3 2" xfId="1052"/>
    <cellStyle name="常规 2 4 3 5 3 2 2" xfId="24818"/>
    <cellStyle name="常规 2 4 3 5 3 2 3" xfId="24820"/>
    <cellStyle name="常规 2 4 3 5 3 2 3 2" xfId="3871"/>
    <cellStyle name="常规 2 4 3 5 3 3" xfId="2288"/>
    <cellStyle name="常规 2 4 3 5 3 4" xfId="1386"/>
    <cellStyle name="常规 2 4 3 5 4" xfId="24821"/>
    <cellStyle name="常规 2 4 3 6" xfId="24822"/>
    <cellStyle name="常规 2 4 3 6 2" xfId="16243"/>
    <cellStyle name="常规 2 4 3 6 2 2" xfId="24824"/>
    <cellStyle name="常规 2 4 3 6 2 3" xfId="2685"/>
    <cellStyle name="常规 2 4 3 6 2 3 2" xfId="2692"/>
    <cellStyle name="常规 2 4 3 6 3" xfId="16246"/>
    <cellStyle name="常规 2 4 3 6 4" xfId="19905"/>
    <cellStyle name="常规 2 4 3 7" xfId="24825"/>
    <cellStyle name="常规 2 4 4" xfId="6216"/>
    <cellStyle name="常规 2 4 4 2" xfId="19777"/>
    <cellStyle name="常规 2 4 4 2 2" xfId="4665"/>
    <cellStyle name="常规 2 4 4 2 2 2" xfId="24827"/>
    <cellStyle name="常规 2 4 4 2 2 2 2" xfId="24828"/>
    <cellStyle name="常规 2 4 4 2 2 2 3" xfId="24829"/>
    <cellStyle name="常规 2 4 4 2 2 2 3 2" xfId="24830"/>
    <cellStyle name="常规 2 4 4 2 2 3" xfId="24831"/>
    <cellStyle name="常规 2 4 4 2 2 4" xfId="24832"/>
    <cellStyle name="常规 2 4 4 2 3" xfId="24833"/>
    <cellStyle name="常规 2 4 4 3" xfId="19779"/>
    <cellStyle name="常规 2 4 4 3 2" xfId="348"/>
    <cellStyle name="常规 2 4 4 3 2 2" xfId="24834"/>
    <cellStyle name="常规 2 4 4 3 2 3" xfId="24835"/>
    <cellStyle name="常规 2 4 4 3 3" xfId="24836"/>
    <cellStyle name="常规 2 4 4 3 3 2" xfId="24838"/>
    <cellStyle name="常规 2 4 4 3 3 2 2" xfId="24839"/>
    <cellStyle name="常规 2 4 4 3 3 2 3" xfId="1847"/>
    <cellStyle name="常规 2 4 4 3 3 2 3 2" xfId="5457"/>
    <cellStyle name="常规 2 4 4 3 3 3" xfId="24840"/>
    <cellStyle name="常规 2 4 4 3 3 4" xfId="24841"/>
    <cellStyle name="常规 2 4 4 3 4" xfId="24842"/>
    <cellStyle name="常规 2 4 4 4" xfId="19782"/>
    <cellStyle name="常规 2 4 4 4 2" xfId="24843"/>
    <cellStyle name="常规 2 4 4 4 2 2" xfId="24844"/>
    <cellStyle name="常规 2 4 4 4 2 3" xfId="24846"/>
    <cellStyle name="常规 2 4 4 4 2 3 2" xfId="24847"/>
    <cellStyle name="常规 2 4 4 4 3" xfId="24848"/>
    <cellStyle name="常规 2 4 4 4 4" xfId="24849"/>
    <cellStyle name="常规 2 4 4 5" xfId="24850"/>
    <cellStyle name="常规 2 4 5" xfId="20219"/>
    <cellStyle name="常规 2 4 5 2" xfId="19791"/>
    <cellStyle name="常规 2 4 5 2 2" xfId="450"/>
    <cellStyle name="常规 2 4 5 2 3" xfId="5463"/>
    <cellStyle name="常规 2 4 5 3" xfId="19795"/>
    <cellStyle name="常规 2 4 5 3 2" xfId="10292"/>
    <cellStyle name="常规 2 4 5 3 2 2" xfId="8938"/>
    <cellStyle name="常规 2 4 5 3 2 3" xfId="9448"/>
    <cellStyle name="常规 2 4 5 3 2 3 2" xfId="24851"/>
    <cellStyle name="常规 2 4 5 3 3" xfId="10298"/>
    <cellStyle name="常规 2 4 5 3 4" xfId="24852"/>
    <cellStyle name="常规 2 4 5 4" xfId="6856"/>
    <cellStyle name="常规 2 4 6" xfId="20222"/>
    <cellStyle name="常规 2 4 6 2" xfId="15112"/>
    <cellStyle name="常规 2 4 6 2 2" xfId="4749"/>
    <cellStyle name="常规 2 4 6 2 3" xfId="5494"/>
    <cellStyle name="常规 2 4 6 2 3 2" xfId="24854"/>
    <cellStyle name="常规 2 4 6 3" xfId="15116"/>
    <cellStyle name="常规 2 4 6 4" xfId="15119"/>
    <cellStyle name="常规 2 4 7" xfId="20226"/>
    <cellStyle name="常规 2 5" xfId="15609"/>
    <cellStyle name="常规 2 5 2" xfId="24856"/>
    <cellStyle name="常规 2 5 2 2" xfId="24859"/>
    <cellStyle name="常规 2 5 2 2 2" xfId="24863"/>
    <cellStyle name="常规 2 5 2 2 2 2" xfId="18103"/>
    <cellStyle name="常规 2 5 2 2 2 3" xfId="18107"/>
    <cellStyle name="常规 2 5 2 2 3" xfId="24865"/>
    <cellStyle name="常规 2 5 2 2 3 2" xfId="18122"/>
    <cellStyle name="常规 2 5 2 2 3 2 2" xfId="18593"/>
    <cellStyle name="常规 2 5 2 2 3 2 3" xfId="19354"/>
    <cellStyle name="常规 2 5 2 2 3 2 3 2" xfId="24866"/>
    <cellStyle name="常规 2 5 2 2 3 3" xfId="18125"/>
    <cellStyle name="常规 2 5 2 2 3 4" xfId="24868"/>
    <cellStyle name="常规 2 5 2 2 4" xfId="24870"/>
    <cellStyle name="常规 2 5 2 3" xfId="24871"/>
    <cellStyle name="常规 2 5 2 3 2" xfId="24874"/>
    <cellStyle name="常规 2 5 2 3 2 2" xfId="24876"/>
    <cellStyle name="常规 2 5 2 3 2 3" xfId="24877"/>
    <cellStyle name="常规 2 5 2 3 2 3 2" xfId="5696"/>
    <cellStyle name="常规 2 5 2 3 3" xfId="24878"/>
    <cellStyle name="常规 2 5 2 3 4" xfId="24879"/>
    <cellStyle name="常规 2 5 2 4" xfId="24880"/>
    <cellStyle name="常规 2 5 3" xfId="24881"/>
    <cellStyle name="常规 2 5 3 2" xfId="24883"/>
    <cellStyle name="常规 2 5 3 2 2" xfId="24884"/>
    <cellStyle name="常规 2 5 3 2 2 2" xfId="24886"/>
    <cellStyle name="常规 2 5 3 2 2 2 2" xfId="17649"/>
    <cellStyle name="常规 2 5 3 2 2 2 3" xfId="17651"/>
    <cellStyle name="常规 2 5 3 2 2 2 3 2" xfId="24887"/>
    <cellStyle name="常规 2 5 3 2 2 3" xfId="24888"/>
    <cellStyle name="常规 2 5 3 2 2 4" xfId="24889"/>
    <cellStyle name="常规 2 5 3 2 3" xfId="24890"/>
    <cellStyle name="常规 2 5 3 3" xfId="24891"/>
    <cellStyle name="常规 2 5 3 3 2" xfId="24893"/>
    <cellStyle name="常规 2 5 3 3 2 2" xfId="24894"/>
    <cellStyle name="常规 2 5 3 3 2 3" xfId="24895"/>
    <cellStyle name="常规 2 5 3 3 3" xfId="24896"/>
    <cellStyle name="常规 2 5 3 3 3 2" xfId="24897"/>
    <cellStyle name="常规 2 5 3 3 3 2 2" xfId="21545"/>
    <cellStyle name="常规 2 5 3 3 3 2 3" xfId="21548"/>
    <cellStyle name="常规 2 5 3 3 3 2 3 2" xfId="24898"/>
    <cellStyle name="常规 2 5 3 3 3 3" xfId="24899"/>
    <cellStyle name="常规 2 5 3 3 3 4" xfId="24900"/>
    <cellStyle name="常规 2 5 3 3 4" xfId="24901"/>
    <cellStyle name="常规 2 5 3 4" xfId="24902"/>
    <cellStyle name="常规 2 5 3 4 2" xfId="5908"/>
    <cellStyle name="常规 2 5 3 4 2 2" xfId="24904"/>
    <cellStyle name="常规 2 5 3 4 2 3" xfId="24906"/>
    <cellStyle name="常规 2 5 3 4 2 3 2" xfId="1534"/>
    <cellStyle name="常规 2 5 3 4 3" xfId="24908"/>
    <cellStyle name="常规 2 5 3 4 4" xfId="24909"/>
    <cellStyle name="常规 2 5 3 5" xfId="24910"/>
    <cellStyle name="常规 2 5 4" xfId="24911"/>
    <cellStyle name="常规 2 5 4 2" xfId="24913"/>
    <cellStyle name="常规 2 5 4 2 2" xfId="4854"/>
    <cellStyle name="常规 2 5 4 2 2 2" xfId="24915"/>
    <cellStyle name="常规 2 5 4 2 2 3" xfId="24916"/>
    <cellStyle name="常规 2 5 4 2 3" xfId="24917"/>
    <cellStyle name="常规 2 5 4 2 3 2" xfId="24918"/>
    <cellStyle name="常规 2 5 4 2 3 2 2" xfId="22542"/>
    <cellStyle name="常规 2 5 4 2 3 2 3" xfId="22545"/>
    <cellStyle name="常规 2 5 4 2 3 2 3 2" xfId="24919"/>
    <cellStyle name="常规 2 5 4 2 3 3" xfId="24921"/>
    <cellStyle name="常规 2 5 4 2 3 4" xfId="15337"/>
    <cellStyle name="常规 2 5 4 2 4" xfId="24922"/>
    <cellStyle name="常规 2 5 4 3" xfId="24923"/>
    <cellStyle name="常规 2 5 4 3 2" xfId="2032"/>
    <cellStyle name="常规 2 5 4 3 2 2" xfId="24926"/>
    <cellStyle name="常规 2 5 4 3 2 3" xfId="24927"/>
    <cellStyle name="常规 2 5 4 3 2 3 2" xfId="24928"/>
    <cellStyle name="常规 2 5 4 3 3" xfId="24929"/>
    <cellStyle name="常规 2 5 4 3 4" xfId="24930"/>
    <cellStyle name="常规 2 5 4 4" xfId="24931"/>
    <cellStyle name="常规 2 5 5" xfId="24933"/>
    <cellStyle name="常规 2 5 5 2" xfId="24935"/>
    <cellStyle name="常规 2 5 5 2 2" xfId="4882"/>
    <cellStyle name="常规 2 5 5 2 3" xfId="24936"/>
    <cellStyle name="常规 2 5 5 3" xfId="24937"/>
    <cellStyle name="常规 2 5 5 3 2" xfId="24938"/>
    <cellStyle name="常规 2 5 5 3 2 2" xfId="24939"/>
    <cellStyle name="常规 2 5 5 3 2 3" xfId="24940"/>
    <cellStyle name="常规 2 5 5 3 2 3 2" xfId="24941"/>
    <cellStyle name="常规 2 5 5 3 3" xfId="24943"/>
    <cellStyle name="常规 2 5 5 3 4" xfId="24944"/>
    <cellStyle name="常规 2 5 5 4" xfId="24945"/>
    <cellStyle name="常规 2 5 6" xfId="24946"/>
    <cellStyle name="常规 2 5 6 2" xfId="24948"/>
    <cellStyle name="常规 2 5 6 2 2" xfId="4897"/>
    <cellStyle name="常规 2 5 6 2 3" xfId="24950"/>
    <cellStyle name="常规 2 5 6 2 3 2" xfId="18472"/>
    <cellStyle name="常规 2 5 6 3" xfId="24952"/>
    <cellStyle name="常规 2 5 6 4" xfId="24954"/>
    <cellStyle name="常规 2 5 7" xfId="24955"/>
    <cellStyle name="常规 2 6" xfId="15615"/>
    <cellStyle name="常规 2 6 2" xfId="24957"/>
    <cellStyle name="常规 2 6 2 2" xfId="9971"/>
    <cellStyle name="常规 2 6 2 2 2" xfId="15237"/>
    <cellStyle name="常规 2 6 2 2 2 2" xfId="15239"/>
    <cellStyle name="常规 2 6 2 2 2 3" xfId="15241"/>
    <cellStyle name="常规 2 6 2 2 2 3 2" xfId="24960"/>
    <cellStyle name="常规 2 6 2 2 3" xfId="15245"/>
    <cellStyle name="常规 2 6 2 2 4" xfId="24961"/>
    <cellStyle name="常规 2 6 2 3" xfId="24962"/>
    <cellStyle name="常规 2 6 3" xfId="24965"/>
    <cellStyle name="常规 2 6 3 2" xfId="24968"/>
    <cellStyle name="常规 2 6 3 2 2" xfId="16083"/>
    <cellStyle name="常规 2 6 3 2 3" xfId="16092"/>
    <cellStyle name="常规 2 6 3 3" xfId="24969"/>
    <cellStyle name="常规 2 6 3 3 2" xfId="16166"/>
    <cellStyle name="常规 2 6 3 3 2 2" xfId="16168"/>
    <cellStyle name="常规 2 6 3 3 2 3" xfId="16170"/>
    <cellStyle name="常规 2 6 3 3 2 3 2" xfId="24970"/>
    <cellStyle name="常规 2 6 3 3 3" xfId="16175"/>
    <cellStyle name="常规 2 6 3 3 4" xfId="15670"/>
    <cellStyle name="常规 2 6 3 4" xfId="24971"/>
    <cellStyle name="常规 2 6 4" xfId="24972"/>
    <cellStyle name="常规 2 6 4 2" xfId="19733"/>
    <cellStyle name="常规 2 6 4 2 2" xfId="4978"/>
    <cellStyle name="常规 2 6 4 2 3" xfId="5643"/>
    <cellStyle name="常规 2 6 4 2 3 2" xfId="17194"/>
    <cellStyle name="常规 2 6 4 3" xfId="19736"/>
    <cellStyle name="常规 2 6 4 4" xfId="19739"/>
    <cellStyle name="常规 2 6 5" xfId="24974"/>
    <cellStyle name="常规 2 7" xfId="18132"/>
    <cellStyle name="常规 2 7 2" xfId="886"/>
    <cellStyle name="常规 2 7 2 2" xfId="24976"/>
    <cellStyle name="常规 2 7 2 2 2" xfId="19605"/>
    <cellStyle name="常规 2 7 2 2 2 2" xfId="19610"/>
    <cellStyle name="常规 2 7 2 2 2 3" xfId="18770"/>
    <cellStyle name="常规 2 7 2 2 2 3 2" xfId="24977"/>
    <cellStyle name="常规 2 7 2 2 3" xfId="19612"/>
    <cellStyle name="常规 2 7 2 2 4" xfId="24979"/>
    <cellStyle name="常规 2 7 2 3" xfId="24980"/>
    <cellStyle name="常规 2 7 3" xfId="24981"/>
    <cellStyle name="常规 2 7 3 2" xfId="24983"/>
    <cellStyle name="常规 2 7 3 2 2" xfId="20320"/>
    <cellStyle name="常规 2 7 3 2 3" xfId="20330"/>
    <cellStyle name="常规 2 7 3 3" xfId="24985"/>
    <cellStyle name="常规 2 7 3 3 2" xfId="20371"/>
    <cellStyle name="常规 2 7 3 3 2 2" xfId="20373"/>
    <cellStyle name="常规 2 7 3 3 2 3" xfId="20375"/>
    <cellStyle name="常规 2 7 3 3 2 3 2" xfId="24987"/>
    <cellStyle name="常规 2 7 3 3 3" xfId="20387"/>
    <cellStyle name="常规 2 7 3 3 4" xfId="1762"/>
    <cellStyle name="常规 2 7 3 4" xfId="24988"/>
    <cellStyle name="常规 2 7 4" xfId="24989"/>
    <cellStyle name="常规 2 7 4 2" xfId="24991"/>
    <cellStyle name="常规 2 7 4 2 2" xfId="3047"/>
    <cellStyle name="常规 2 7 4 2 3" xfId="20878"/>
    <cellStyle name="常规 2 7 4 2 3 2" xfId="18349"/>
    <cellStyle name="常规 2 7 4 3" xfId="24992"/>
    <cellStyle name="常规 2 7 4 4" xfId="24993"/>
    <cellStyle name="常规 2 7 5" xfId="24994"/>
    <cellStyle name="常规 2 8" xfId="24995"/>
    <cellStyle name="常规 2 8 2" xfId="24997"/>
    <cellStyle name="常规 2 8 2 2" xfId="25000"/>
    <cellStyle name="常规 2 8 2 3" xfId="25003"/>
    <cellStyle name="常规 2 8 3" xfId="25006"/>
    <cellStyle name="常规 2 8 3 2" xfId="25009"/>
    <cellStyle name="常规 2 8 3 2 2" xfId="12579"/>
    <cellStyle name="常规 2 8 3 2 3" xfId="21667"/>
    <cellStyle name="常规 2 8 3 2 3 2" xfId="140"/>
    <cellStyle name="常规 2 8 3 3" xfId="25011"/>
    <cellStyle name="常规 2 8 3 4" xfId="25013"/>
    <cellStyle name="常规 2 8 4" xfId="25015"/>
    <cellStyle name="常规 2 9" xfId="25017"/>
    <cellStyle name="常规 2 9 2" xfId="4250"/>
    <cellStyle name="常规 2 9 2 2" xfId="25019"/>
    <cellStyle name="常规 2 9 2 3" xfId="25020"/>
    <cellStyle name="常规 2 9 3" xfId="20342"/>
    <cellStyle name="常规 2 9 4" xfId="20345"/>
    <cellStyle name="常规 2 9 4 2" xfId="25021"/>
    <cellStyle name="常规 2 9 4 3" xfId="25022"/>
    <cellStyle name="常规 2 9 5" xfId="20347"/>
    <cellStyle name="常规 3" xfId="25023"/>
    <cellStyle name="常规 3 10" xfId="25024"/>
    <cellStyle name="常规 3 11" xfId="25025"/>
    <cellStyle name="常规 3 11 2" xfId="25026"/>
    <cellStyle name="常规 3 2" xfId="15623"/>
    <cellStyle name="常规 3 2 2" xfId="25028"/>
    <cellStyle name="常规 3 2 2 2" xfId="20278"/>
    <cellStyle name="常规 3 2 2 2 2" xfId="25029"/>
    <cellStyle name="常规 3 2 2 2 2 2" xfId="25030"/>
    <cellStyle name="常规 3 2 2 2 2 2 2" xfId="25031"/>
    <cellStyle name="常规 3 2 2 2 2 2 2 2" xfId="5870"/>
    <cellStyle name="常规 3 2 2 2 2 2 2 3" xfId="1723"/>
    <cellStyle name="常规 3 2 2 2 2 2 2 3 2" xfId="25032"/>
    <cellStyle name="常规 3 2 2 2 2 2 3" xfId="4621"/>
    <cellStyle name="常规 3 2 2 2 2 2 4" xfId="4676"/>
    <cellStyle name="常规 3 2 2 2 2 3" xfId="25035"/>
    <cellStyle name="常规 3 2 2 2 3" xfId="25036"/>
    <cellStyle name="常规 3 2 2 2 3 2" xfId="25037"/>
    <cellStyle name="常规 3 2 2 2 3 2 2" xfId="25038"/>
    <cellStyle name="常规 3 2 2 2 3 2 3" xfId="8007"/>
    <cellStyle name="常规 3 2 2 2 3 3" xfId="25039"/>
    <cellStyle name="常规 3 2 2 2 3 3 2" xfId="25040"/>
    <cellStyle name="常规 3 2 2 2 3 3 2 2" xfId="25041"/>
    <cellStyle name="常规 3 2 2 2 3 3 2 3" xfId="25042"/>
    <cellStyle name="常规 3 2 2 2 3 3 2 3 2" xfId="25043"/>
    <cellStyle name="常规 3 2 2 2 3 3 3" xfId="9000"/>
    <cellStyle name="常规 3 2 2 2 3 3 4" xfId="9005"/>
    <cellStyle name="常规 3 2 2 2 3 4" xfId="25044"/>
    <cellStyle name="常规 3 2 2 2 4" xfId="25046"/>
    <cellStyle name="常规 3 2 2 2 4 2" xfId="25047"/>
    <cellStyle name="常规 3 2 2 2 4 2 2" xfId="25048"/>
    <cellStyle name="常规 3 2 2 2 4 2 3" xfId="25049"/>
    <cellStyle name="常规 3 2 2 2 4 2 3 2" xfId="25050"/>
    <cellStyle name="常规 3 2 2 2 4 3" xfId="25051"/>
    <cellStyle name="常规 3 2 2 2 4 4" xfId="25052"/>
    <cellStyle name="常规 3 2 2 2 5" xfId="23018"/>
    <cellStyle name="常规 3 2 2 3" xfId="20281"/>
    <cellStyle name="常规 3 2 2 3 2" xfId="12628"/>
    <cellStyle name="常规 3 2 2 3 2 2" xfId="12630"/>
    <cellStyle name="常规 3 2 2 3 2 2 2" xfId="22665"/>
    <cellStyle name="常规 3 2 2 3 2 2 3" xfId="5270"/>
    <cellStyle name="常规 3 2 2 3 2 3" xfId="25054"/>
    <cellStyle name="常规 3 2 2 3 2 3 2" xfId="25055"/>
    <cellStyle name="常规 3 2 2 3 2 3 2 2" xfId="25056"/>
    <cellStyle name="常规 3 2 2 3 2 3 2 3" xfId="25057"/>
    <cellStyle name="常规 3 2 2 3 2 3 2 3 2" xfId="25058"/>
    <cellStyle name="常规 3 2 2 3 2 3 3" xfId="844"/>
    <cellStyle name="常规 3 2 2 3 2 3 4" xfId="3254"/>
    <cellStyle name="常规 3 2 2 3 2 4" xfId="25060"/>
    <cellStyle name="常规 3 2 2 3 3" xfId="25062"/>
    <cellStyle name="常规 3 2 2 3 3 2" xfId="25063"/>
    <cellStyle name="常规 3 2 2 3 3 2 2" xfId="25064"/>
    <cellStyle name="常规 3 2 2 3 3 2 3" xfId="25065"/>
    <cellStyle name="常规 3 2 2 3 3 2 3 2" xfId="25067"/>
    <cellStyle name="常规 3 2 2 3 3 3" xfId="25068"/>
    <cellStyle name="常规 3 2 2 3 3 4" xfId="25069"/>
    <cellStyle name="常规 3 2 2 3 4" xfId="25071"/>
    <cellStyle name="常规 3 2 2 4" xfId="7524"/>
    <cellStyle name="常规 3 2 2 4 2" xfId="7531"/>
    <cellStyle name="常规 3 2 2 4 2 2" xfId="25072"/>
    <cellStyle name="常规 3 2 2 4 2 3" xfId="25073"/>
    <cellStyle name="常规 3 2 2 4 3" xfId="7572"/>
    <cellStyle name="常规 3 2 2 4 3 2" xfId="25074"/>
    <cellStyle name="常规 3 2 2 4 3 2 2" xfId="18955"/>
    <cellStyle name="常规 3 2 2 4 3 2 3" xfId="18960"/>
    <cellStyle name="常规 3 2 2 4 3 2 3 2" xfId="9938"/>
    <cellStyle name="常规 3 2 2 4 3 3" xfId="25075"/>
    <cellStyle name="常规 3 2 2 4 3 4" xfId="25076"/>
    <cellStyle name="常规 3 2 2 4 4" xfId="25078"/>
    <cellStyle name="常规 3 2 2 5" xfId="7624"/>
    <cellStyle name="常规 3 2 2 5 2" xfId="25079"/>
    <cellStyle name="常规 3 2 2 5 2 2" xfId="25080"/>
    <cellStyle name="常规 3 2 2 5 2 3" xfId="25081"/>
    <cellStyle name="常规 3 2 2 5 2 3 2" xfId="25082"/>
    <cellStyle name="常规 3 2 2 5 3" xfId="25083"/>
    <cellStyle name="常规 3 2 2 5 4" xfId="25084"/>
    <cellStyle name="常规 3 2 2 6" xfId="1191"/>
    <cellStyle name="常规 3 2 3" xfId="7276"/>
    <cellStyle name="常规 3 2 3 2" xfId="7280"/>
    <cellStyle name="常规 3 2 3 2 2" xfId="25085"/>
    <cellStyle name="常规 3 2 3 2 2 2" xfId="25087"/>
    <cellStyle name="常规 3 2 3 2 2 2 2" xfId="25088"/>
    <cellStyle name="常规 3 2 3 2 2 2 3" xfId="25089"/>
    <cellStyle name="常规 3 2 3 2 2 2 3 2" xfId="21225"/>
    <cellStyle name="常规 3 2 3 2 2 3" xfId="25090"/>
    <cellStyle name="常规 3 2 3 2 2 4" xfId="25091"/>
    <cellStyle name="常规 3 2 3 2 3" xfId="25093"/>
    <cellStyle name="常规 3 2 3 3" xfId="7285"/>
    <cellStyle name="常规 3 2 3 3 2" xfId="25095"/>
    <cellStyle name="常规 3 2 3 3 2 2" xfId="25096"/>
    <cellStyle name="常规 3 2 3 3 2 3" xfId="25097"/>
    <cellStyle name="常规 3 2 3 3 3" xfId="25098"/>
    <cellStyle name="常规 3 2 3 3 3 2" xfId="25099"/>
    <cellStyle name="常规 3 2 3 3 3 2 2" xfId="25100"/>
    <cellStyle name="常规 3 2 3 3 3 2 3" xfId="25101"/>
    <cellStyle name="常规 3 2 3 3 3 2 3 2" xfId="25103"/>
    <cellStyle name="常规 3 2 3 3 3 3" xfId="25104"/>
    <cellStyle name="常规 3 2 3 3 3 4" xfId="25105"/>
    <cellStyle name="常规 3 2 3 3 4" xfId="25108"/>
    <cellStyle name="常规 3 2 3 4" xfId="7692"/>
    <cellStyle name="常规 3 2 3 4 2" xfId="25109"/>
    <cellStyle name="常规 3 2 3 4 2 2" xfId="25110"/>
    <cellStyle name="常规 3 2 3 4 2 3" xfId="25112"/>
    <cellStyle name="常规 3 2 3 4 2 3 2" xfId="25114"/>
    <cellStyle name="常规 3 2 3 4 3" xfId="25116"/>
    <cellStyle name="常规 3 2 3 4 4" xfId="25117"/>
    <cellStyle name="常规 3 2 3 5" xfId="25118"/>
    <cellStyle name="常规 3 2 4" xfId="7287"/>
    <cellStyle name="常规 3 2 4 2" xfId="20291"/>
    <cellStyle name="常规 3 2 4 2 2" xfId="25119"/>
    <cellStyle name="常规 3 2 4 2 2 2" xfId="25120"/>
    <cellStyle name="常规 3 2 4 2 2 2 2" xfId="25122"/>
    <cellStyle name="常规 3 2 4 2 2 2 3" xfId="25123"/>
    <cellStyle name="常规 3 2 4 2 2 2 3 2" xfId="25124"/>
    <cellStyle name="常规 3 2 4 2 2 3" xfId="25125"/>
    <cellStyle name="常规 3 2 4 2 2 4" xfId="25126"/>
    <cellStyle name="常规 3 2 4 2 3" xfId="25128"/>
    <cellStyle name="常规 3 2 4 3" xfId="20293"/>
    <cellStyle name="常规 3 2 4 3 2" xfId="25129"/>
    <cellStyle name="常规 3 2 4 3 2 2" xfId="25130"/>
    <cellStyle name="常规 3 2 4 3 2 3" xfId="25131"/>
    <cellStyle name="常规 3 2 4 3 3" xfId="25132"/>
    <cellStyle name="常规 3 2 4 3 3 2" xfId="25133"/>
    <cellStyle name="常规 3 2 4 3 3 2 2" xfId="21851"/>
    <cellStyle name="常规 3 2 4 3 3 2 3" xfId="21861"/>
    <cellStyle name="常规 3 2 4 3 3 2 3 2" xfId="21864"/>
    <cellStyle name="常规 3 2 4 3 3 3" xfId="25134"/>
    <cellStyle name="常规 3 2 4 3 3 4" xfId="25135"/>
    <cellStyle name="常规 3 2 4 3 4" xfId="25137"/>
    <cellStyle name="常规 3 2 4 4" xfId="20296"/>
    <cellStyle name="常规 3 2 4 4 2" xfId="7847"/>
    <cellStyle name="常规 3 2 4 4 2 2" xfId="25138"/>
    <cellStyle name="常规 3 2 4 4 2 3" xfId="25139"/>
    <cellStyle name="常规 3 2 4 4 2 3 2" xfId="25140"/>
    <cellStyle name="常规 3 2 4 4 3" xfId="25141"/>
    <cellStyle name="常规 3 2 4 4 4" xfId="25142"/>
    <cellStyle name="常规 3 2 4 5" xfId="25143"/>
    <cellStyle name="常规 3 2 5" xfId="25144"/>
    <cellStyle name="常规 3 2 5 2" xfId="20306"/>
    <cellStyle name="常规 3 2 5 2 2" xfId="25145"/>
    <cellStyle name="常规 3 2 5 2 2 2" xfId="25146"/>
    <cellStyle name="常规 3 2 5 2 2 2 2" xfId="25147"/>
    <cellStyle name="常规 3 2 5 2 2 2 3" xfId="25148"/>
    <cellStyle name="常规 3 2 5 2 2 2 3 2" xfId="25149"/>
    <cellStyle name="常规 3 2 5 2 2 3" xfId="25150"/>
    <cellStyle name="常规 3 2 5 2 2 4" xfId="25151"/>
    <cellStyle name="常规 3 2 5 2 3" xfId="25152"/>
    <cellStyle name="常规 3 2 5 3" xfId="20308"/>
    <cellStyle name="常规 3 2 5 3 2" xfId="25153"/>
    <cellStyle name="常规 3 2 5 3 2 2" xfId="25155"/>
    <cellStyle name="常规 3 2 5 3 2 3" xfId="25157"/>
    <cellStyle name="常规 3 2 5 3 3" xfId="25159"/>
    <cellStyle name="常规 3 2 5 3 3 2" xfId="3307"/>
    <cellStyle name="常规 3 2 5 3 3 2 2" xfId="25161"/>
    <cellStyle name="常规 3 2 5 3 3 2 3" xfId="25163"/>
    <cellStyle name="常规 3 2 5 3 3 2 3 2" xfId="8567"/>
    <cellStyle name="常规 3 2 5 3 3 3" xfId="25166"/>
    <cellStyle name="常规 3 2 5 3 3 4" xfId="25033"/>
    <cellStyle name="常规 3 2 5 3 4" xfId="25168"/>
    <cellStyle name="常规 3 2 5 4" xfId="3265"/>
    <cellStyle name="常规 3 2 5 4 2" xfId="23612"/>
    <cellStyle name="常规 3 2 5 4 2 2" xfId="25170"/>
    <cellStyle name="常规 3 2 5 4 2 3" xfId="25171"/>
    <cellStyle name="常规 3 2 5 4 2 3 2" xfId="25172"/>
    <cellStyle name="常规 3 2 5 4 3" xfId="23614"/>
    <cellStyle name="常规 3 2 5 4 4" xfId="25173"/>
    <cellStyle name="常规 3 2 5 5" xfId="25174"/>
    <cellStyle name="常规 3 2 6" xfId="25175"/>
    <cellStyle name="常规 3 2 6 2" xfId="20316"/>
    <cellStyle name="常规 3 2 6 2 2" xfId="25176"/>
    <cellStyle name="常规 3 2 6 2 3" xfId="25177"/>
    <cellStyle name="常规 3 2 6 3" xfId="20318"/>
    <cellStyle name="常规 3 2 6 3 2" xfId="25178"/>
    <cellStyle name="常规 3 2 6 3 2 2" xfId="21014"/>
    <cellStyle name="常规 3 2 6 3 2 3" xfId="21016"/>
    <cellStyle name="常规 3 2 6 3 2 3 2" xfId="25179"/>
    <cellStyle name="常规 3 2 6 3 3" xfId="25180"/>
    <cellStyle name="常规 3 2 6 3 4" xfId="25181"/>
    <cellStyle name="常规 3 2 6 4" xfId="3926"/>
    <cellStyle name="常规 3 2 7" xfId="25182"/>
    <cellStyle name="常规 3 2 7 2" xfId="20326"/>
    <cellStyle name="常规 3 2 7 2 2" xfId="20744"/>
    <cellStyle name="常规 3 2 7 2 3" xfId="20746"/>
    <cellStyle name="常规 3 2 7 2 3 2" xfId="15217"/>
    <cellStyle name="常规 3 2 7 3" xfId="20328"/>
    <cellStyle name="常规 3 2 7 4" xfId="3196"/>
    <cellStyle name="常规 3 2 8" xfId="25183"/>
    <cellStyle name="常规 3 3" xfId="11515"/>
    <cellStyle name="常规 3 3 2" xfId="25184"/>
    <cellStyle name="常规 3 3 2 2" xfId="12854"/>
    <cellStyle name="常规 3 3 2 2 2" xfId="25185"/>
    <cellStyle name="常规 3 3 2 2 2 2" xfId="25186"/>
    <cellStyle name="常规 3 3 2 2 2 2 2" xfId="25187"/>
    <cellStyle name="常规 3 3 2 2 2 2 2 2" xfId="25188"/>
    <cellStyle name="常规 3 3 2 2 2 2 2 3" xfId="25189"/>
    <cellStyle name="常规 3 3 2 2 2 2 2 3 2" xfId="25190"/>
    <cellStyle name="常规 3 3 2 2 2 2 3" xfId="3992"/>
    <cellStyle name="常规 3 3 2 2 2 2 4" xfId="4026"/>
    <cellStyle name="常规 3 3 2 2 2 3" xfId="25191"/>
    <cellStyle name="常规 3 3 2 2 3" xfId="25192"/>
    <cellStyle name="常规 3 3 2 2 3 2" xfId="25193"/>
    <cellStyle name="常规 3 3 2 2 3 2 2" xfId="25194"/>
    <cellStyle name="常规 3 3 2 2 3 2 3" xfId="8905"/>
    <cellStyle name="常规 3 3 2 2 3 3" xfId="25195"/>
    <cellStyle name="常规 3 3 2 2 3 3 2" xfId="25196"/>
    <cellStyle name="常规 3 3 2 2 3 3 2 2" xfId="21127"/>
    <cellStyle name="常规 3 3 2 2 3 3 2 3" xfId="21129"/>
    <cellStyle name="常规 3 3 2 2 3 3 2 3 2" xfId="25197"/>
    <cellStyle name="常规 3 3 2 2 3 3 3" xfId="9111"/>
    <cellStyle name="常规 3 3 2 2 3 3 4" xfId="9114"/>
    <cellStyle name="常规 3 3 2 2 3 4" xfId="25198"/>
    <cellStyle name="常规 3 3 2 2 4" xfId="3407"/>
    <cellStyle name="常规 3 3 2 2 4 2" xfId="6"/>
    <cellStyle name="常规 3 3 2 2 4 2 2" xfId="5627"/>
    <cellStyle name="常规 3 3 2 2 4 2 3" xfId="5637"/>
    <cellStyle name="常规 3 3 2 2 4 2 3 2" xfId="23825"/>
    <cellStyle name="常规 3 3 2 2 4 3" xfId="5640"/>
    <cellStyle name="常规 3 3 2 2 4 4" xfId="25199"/>
    <cellStyle name="常规 3 3 2 2 5" xfId="3421"/>
    <cellStyle name="常规 3 3 2 3" xfId="12857"/>
    <cellStyle name="常规 3 3 2 3 2" xfId="25200"/>
    <cellStyle name="常规 3 3 2 3 2 2" xfId="25201"/>
    <cellStyle name="常规 3 3 2 3 2 2 2" xfId="25202"/>
    <cellStyle name="常规 3 3 2 3 2 2 3" xfId="25203"/>
    <cellStyle name="常规 3 3 2 3 2 3" xfId="25204"/>
    <cellStyle name="常规 3 3 2 3 2 3 2" xfId="25205"/>
    <cellStyle name="常规 3 3 2 3 2 3 2 2" xfId="4868"/>
    <cellStyle name="常规 3 3 2 3 2 3 2 3" xfId="4878"/>
    <cellStyle name="常规 3 3 2 3 2 3 2 3 2" xfId="25206"/>
    <cellStyle name="常规 3 3 2 3 2 3 3" xfId="25207"/>
    <cellStyle name="常规 3 3 2 3 2 3 4" xfId="25208"/>
    <cellStyle name="常规 3 3 2 3 2 4" xfId="25209"/>
    <cellStyle name="常规 3 3 2 3 3" xfId="25210"/>
    <cellStyle name="常规 3 3 2 3 3 2" xfId="25211"/>
    <cellStyle name="常规 3 3 2 3 3 2 2" xfId="25212"/>
    <cellStyle name="常规 3 3 2 3 3 2 3" xfId="25213"/>
    <cellStyle name="常规 3 3 2 3 3 2 3 2" xfId="6593"/>
    <cellStyle name="常规 3 3 2 3 3 3" xfId="25215"/>
    <cellStyle name="常规 3 3 2 3 3 4" xfId="25216"/>
    <cellStyle name="常规 3 3 2 3 4" xfId="5648"/>
    <cellStyle name="常规 3 3 2 4" xfId="20352"/>
    <cellStyle name="常规 3 3 2 4 2" xfId="25217"/>
    <cellStyle name="常规 3 3 2 4 2 2" xfId="25218"/>
    <cellStyle name="常规 3 3 2 4 2 3" xfId="25219"/>
    <cellStyle name="常规 3 3 2 4 3" xfId="25220"/>
    <cellStyle name="常规 3 3 2 4 3 2" xfId="25221"/>
    <cellStyle name="常规 3 3 2 4 3 2 2" xfId="25222"/>
    <cellStyle name="常规 3 3 2 4 3 2 3" xfId="25223"/>
    <cellStyle name="常规 3 3 2 4 3 2 3 2" xfId="23170"/>
    <cellStyle name="常规 3 3 2 4 3 3" xfId="25224"/>
    <cellStyle name="常规 3 3 2 4 3 4" xfId="25225"/>
    <cellStyle name="常规 3 3 2 4 4" xfId="203"/>
    <cellStyle name="常规 3 3 2 5" xfId="25226"/>
    <cellStyle name="常规 3 3 2 5 2" xfId="25227"/>
    <cellStyle name="常规 3 3 2 5 2 2" xfId="25228"/>
    <cellStyle name="常规 3 3 2 5 2 3" xfId="25229"/>
    <cellStyle name="常规 3 3 2 5 2 3 2" xfId="12673"/>
    <cellStyle name="常规 3 3 2 5 3" xfId="25230"/>
    <cellStyle name="常规 3 3 2 5 4" xfId="25231"/>
    <cellStyle name="常规 3 3 2 6" xfId="25232"/>
    <cellStyle name="常规 3 3 3" xfId="7290"/>
    <cellStyle name="常规 3 3 3 2" xfId="12874"/>
    <cellStyle name="常规 3 3 3 2 2" xfId="25233"/>
    <cellStyle name="常规 3 3 3 2 2 2" xfId="25234"/>
    <cellStyle name="常规 3 3 3 2 2 2 2" xfId="25235"/>
    <cellStyle name="常规 3 3 3 2 2 2 3" xfId="25236"/>
    <cellStyle name="常规 3 3 3 2 2 2 3 2" xfId="25237"/>
    <cellStyle name="常规 3 3 3 2 2 3" xfId="25238"/>
    <cellStyle name="常规 3 3 3 2 2 4" xfId="25239"/>
    <cellStyle name="常规 3 3 3 2 3" xfId="25240"/>
    <cellStyle name="常规 3 3 3 3" xfId="10262"/>
    <cellStyle name="常规 3 3 3 3 2" xfId="12648"/>
    <cellStyle name="常规 3 3 3 3 2 2" xfId="12652"/>
    <cellStyle name="常规 3 3 3 3 2 3" xfId="25241"/>
    <cellStyle name="常规 3 3 3 3 3" xfId="25242"/>
    <cellStyle name="常规 3 3 3 3 3 2" xfId="25243"/>
    <cellStyle name="常规 3 3 3 3 3 2 2" xfId="25244"/>
    <cellStyle name="常规 3 3 3 3 3 2 3" xfId="25245"/>
    <cellStyle name="常规 3 3 3 3 3 2 3 2" xfId="4757"/>
    <cellStyle name="常规 3 3 3 3 3 3" xfId="25246"/>
    <cellStyle name="常规 3 3 3 3 3 4" xfId="25247"/>
    <cellStyle name="常规 3 3 3 3 4" xfId="5674"/>
    <cellStyle name="常规 3 3 3 4" xfId="20354"/>
    <cellStyle name="常规 3 3 3 4 2" xfId="25248"/>
    <cellStyle name="常规 3 3 3 4 2 2" xfId="13091"/>
    <cellStyle name="常规 3 3 3 4 2 3" xfId="13096"/>
    <cellStyle name="常规 3 3 3 4 2 3 2" xfId="122"/>
    <cellStyle name="常规 3 3 3 4 3" xfId="25249"/>
    <cellStyle name="常规 3 3 3 4 4" xfId="25250"/>
    <cellStyle name="常规 3 3 3 5" xfId="25251"/>
    <cellStyle name="常规 3 3 4" xfId="7293"/>
    <cellStyle name="常规 3 3 4 2" xfId="12890"/>
    <cellStyle name="常规 3 3 4 2 2" xfId="15801"/>
    <cellStyle name="常规 3 3 4 2 2 2" xfId="25252"/>
    <cellStyle name="常规 3 3 4 2 2 2 2" xfId="25254"/>
    <cellStyle name="常规 3 3 4 2 2 2 3" xfId="25255"/>
    <cellStyle name="常规 3 3 4 2 2 2 3 2" xfId="25256"/>
    <cellStyle name="常规 3 3 4 2 2 3" xfId="25257"/>
    <cellStyle name="常规 3 3 4 2 2 4" xfId="25258"/>
    <cellStyle name="常规 3 3 4 2 3" xfId="15803"/>
    <cellStyle name="常规 3 3 4 3" xfId="12893"/>
    <cellStyle name="常规 3 3 4 3 2" xfId="15807"/>
    <cellStyle name="常规 3 3 4 3 2 2" xfId="25259"/>
    <cellStyle name="常规 3 3 4 3 2 3" xfId="25260"/>
    <cellStyle name="常规 3 3 4 3 3" xfId="15809"/>
    <cellStyle name="常规 3 3 4 3 3 2" xfId="25261"/>
    <cellStyle name="常规 3 3 4 3 3 2 2" xfId="25262"/>
    <cellStyle name="常规 3 3 4 3 3 2 3" xfId="25263"/>
    <cellStyle name="常规 3 3 4 3 3 2 3 2" xfId="6554"/>
    <cellStyle name="常规 3 3 4 3 3 3" xfId="25264"/>
    <cellStyle name="常规 3 3 4 3 3 4" xfId="25265"/>
    <cellStyle name="常规 3 3 4 3 4" xfId="5720"/>
    <cellStyle name="常规 3 3 4 4" xfId="20356"/>
    <cellStyle name="常规 3 3 4 4 2" xfId="10377"/>
    <cellStyle name="常规 3 3 4 4 2 2" xfId="25266"/>
    <cellStyle name="常规 3 3 4 4 2 3" xfId="25267"/>
    <cellStyle name="常规 3 3 4 4 2 3 2" xfId="25268"/>
    <cellStyle name="常规 3 3 4 4 3" xfId="15811"/>
    <cellStyle name="常规 3 3 4 4 4" xfId="15813"/>
    <cellStyle name="常规 3 3 4 5" xfId="25269"/>
    <cellStyle name="常规 3 3 5" xfId="25270"/>
    <cellStyle name="常规 3 3 5 2" xfId="12908"/>
    <cellStyle name="常规 3 3 5 2 2" xfId="25271"/>
    <cellStyle name="常规 3 3 5 2 2 2" xfId="15498"/>
    <cellStyle name="常规 3 3 5 2 2 2 2" xfId="3935"/>
    <cellStyle name="常规 3 3 5 2 2 2 3" xfId="12799"/>
    <cellStyle name="常规 3 3 5 2 2 2 3 2" xfId="25272"/>
    <cellStyle name="常规 3 3 5 2 2 3" xfId="11442"/>
    <cellStyle name="常规 3 3 5 2 2 4" xfId="781"/>
    <cellStyle name="常规 3 3 5 2 3" xfId="25273"/>
    <cellStyle name="常规 3 3 5 3" xfId="12911"/>
    <cellStyle name="常规 3 3 5 3 2" xfId="25274"/>
    <cellStyle name="常规 3 3 5 3 2 2" xfId="25275"/>
    <cellStyle name="常规 3 3 5 3 2 3" xfId="25276"/>
    <cellStyle name="常规 3 3 5 3 3" xfId="25277"/>
    <cellStyle name="常规 3 3 5 3 3 2" xfId="25278"/>
    <cellStyle name="常规 3 3 5 3 3 2 2" xfId="22153"/>
    <cellStyle name="常规 3 3 5 3 3 2 3" xfId="2793"/>
    <cellStyle name="常规 3 3 5 3 3 2 3 2" xfId="25279"/>
    <cellStyle name="常规 3 3 5 3 3 3" xfId="25280"/>
    <cellStyle name="常规 3 3 5 3 3 4" xfId="25281"/>
    <cellStyle name="常规 3 3 5 3 4" xfId="25282"/>
    <cellStyle name="常规 3 3 5 4" xfId="4300"/>
    <cellStyle name="常规 3 3 5 4 2" xfId="25283"/>
    <cellStyle name="常规 3 3 5 4 2 2" xfId="25284"/>
    <cellStyle name="常规 3 3 5 4 2 3" xfId="25285"/>
    <cellStyle name="常规 3 3 5 4 2 3 2" xfId="25286"/>
    <cellStyle name="常规 3 3 5 4 3" xfId="25287"/>
    <cellStyle name="常规 3 3 5 4 4" xfId="25288"/>
    <cellStyle name="常规 3 3 5 5" xfId="25289"/>
    <cellStyle name="常规 3 3 6" xfId="25290"/>
    <cellStyle name="常规 3 3 6 2" xfId="20365"/>
    <cellStyle name="常规 3 3 6 2 2" xfId="25292"/>
    <cellStyle name="常规 3 3 6 2 3" xfId="25294"/>
    <cellStyle name="常规 3 3 6 3" xfId="20368"/>
    <cellStyle name="常规 3 3 6 3 2" xfId="25296"/>
    <cellStyle name="常规 3 3 6 3 2 2" xfId="25298"/>
    <cellStyle name="常规 3 3 6 3 2 3" xfId="25299"/>
    <cellStyle name="常规 3 3 6 3 2 3 2" xfId="21618"/>
    <cellStyle name="常规 3 3 6 3 3" xfId="25300"/>
    <cellStyle name="常规 3 3 6 3 4" xfId="25302"/>
    <cellStyle name="常规 3 3 6 4" xfId="8433"/>
    <cellStyle name="常规 3 3 7" xfId="25303"/>
    <cellStyle name="常规 3 3 7 2" xfId="20379"/>
    <cellStyle name="常规 3 3 7 2 2" xfId="17736"/>
    <cellStyle name="常规 3 3 7 2 3" xfId="17741"/>
    <cellStyle name="常规 3 3 7 2 3 2" xfId="25305"/>
    <cellStyle name="常规 3 3 7 3" xfId="20382"/>
    <cellStyle name="常规 3 3 7 4" xfId="20385"/>
    <cellStyle name="常规 3 3 8" xfId="25306"/>
    <cellStyle name="常规 3 4" xfId="6280"/>
    <cellStyle name="常规 3 4 2" xfId="25308"/>
    <cellStyle name="常规 3 4 2 2" xfId="25309"/>
    <cellStyle name="常规 3 4 2 2 2" xfId="25311"/>
    <cellStyle name="常规 3 4 2 2 2 2" xfId="25312"/>
    <cellStyle name="常规 3 4 2 2 2 2 2" xfId="3153"/>
    <cellStyle name="常规 3 4 2 2 2 2 3" xfId="3174"/>
    <cellStyle name="常规 3 4 2 2 2 3" xfId="25313"/>
    <cellStyle name="常规 3 4 2 2 2 3 2" xfId="3437"/>
    <cellStyle name="常规 3 4 2 2 2 3 2 2" xfId="3441"/>
    <cellStyle name="常规 3 4 2 2 2 3 2 3" xfId="3449"/>
    <cellStyle name="常规 3 4 2 2 2 3 2 3 2" xfId="14873"/>
    <cellStyle name="常规 3 4 2 2 2 3 3" xfId="3456"/>
    <cellStyle name="常规 3 4 2 2 2 3 4" xfId="3472"/>
    <cellStyle name="常规 3 4 2 2 2 4" xfId="25314"/>
    <cellStyle name="常规 3 4 2 2 3" xfId="25316"/>
    <cellStyle name="常规 3 4 2 2 3 2" xfId="25318"/>
    <cellStyle name="常规 3 4 2 2 3 2 2" xfId="8870"/>
    <cellStyle name="常规 3 4 2 2 3 2 3" xfId="9243"/>
    <cellStyle name="常规 3 4 2 2 3 2 3 2" xfId="25319"/>
    <cellStyle name="常规 3 4 2 2 3 3" xfId="25321"/>
    <cellStyle name="常规 3 4 2 2 3 4" xfId="25322"/>
    <cellStyle name="常规 3 4 2 2 4" xfId="25324"/>
    <cellStyle name="常规 3 4 2 3" xfId="25325"/>
    <cellStyle name="常规 3 4 2 3 2" xfId="19369"/>
    <cellStyle name="常规 3 4 2 3 2 2" xfId="19405"/>
    <cellStyle name="常规 3 4 2 3 2 2 2" xfId="4028"/>
    <cellStyle name="常规 3 4 2 3 2 2 2 2" xfId="4031"/>
    <cellStyle name="常规 3 4 2 3 2 2 2 3" xfId="1867"/>
    <cellStyle name="常规 3 4 2 3 2 2 2 3 2" xfId="13565"/>
    <cellStyle name="常规 3 4 2 3 2 2 3" xfId="313"/>
    <cellStyle name="常规 3 4 2 3 2 2 4" xfId="3169"/>
    <cellStyle name="常规 3 4 2 3 2 3" xfId="19458"/>
    <cellStyle name="常规 3 4 2 3 3" xfId="19516"/>
    <cellStyle name="常规 3 4 2 3 3 2" xfId="19555"/>
    <cellStyle name="常规 3 4 2 3 3 2 2" xfId="8912"/>
    <cellStyle name="常规 3 4 2 3 3 2 3" xfId="3445"/>
    <cellStyle name="常规 3 4 2 3 3 3" xfId="19581"/>
    <cellStyle name="常规 3 4 2 3 3 3 2" xfId="9116"/>
    <cellStyle name="常规 3 4 2 3 3 3 2 2" xfId="25327"/>
    <cellStyle name="常规 3 4 2 3 3 3 2 3" xfId="25328"/>
    <cellStyle name="常规 3 4 2 3 3 3 2 3 2" xfId="11369"/>
    <cellStyle name="常规 3 4 2 3 3 3 3" xfId="3462"/>
    <cellStyle name="常规 3 4 2 3 3 3 4" xfId="3470"/>
    <cellStyle name="常规 3 4 2 3 3 4" xfId="19584"/>
    <cellStyle name="常规 3 4 2 3 4" xfId="19615"/>
    <cellStyle name="常规 3 4 2 3 4 2" xfId="11910"/>
    <cellStyle name="常规 3 4 2 3 4 2 2" xfId="16945"/>
    <cellStyle name="常规 3 4 2 3 4 2 3" xfId="614"/>
    <cellStyle name="常规 3 4 2 3 4 2 3 2" xfId="627"/>
    <cellStyle name="常规 3 4 2 3 4 3" xfId="11913"/>
    <cellStyle name="常规 3 4 2 3 4 4" xfId="19653"/>
    <cellStyle name="常规 3 4 2 3 5" xfId="19728"/>
    <cellStyle name="常规 3 4 2 4" xfId="25329"/>
    <cellStyle name="常规 3 4 2 4 2" xfId="20102"/>
    <cellStyle name="常规 3 4 2 4 2 2" xfId="20114"/>
    <cellStyle name="常规 3 4 2 4 2 3" xfId="20174"/>
    <cellStyle name="常规 3 4 2 4 3" xfId="20211"/>
    <cellStyle name="常规 3 4 2 4 3 2" xfId="20231"/>
    <cellStyle name="常规 3 4 2 4 3 2 2" xfId="17591"/>
    <cellStyle name="常规 3 4 2 4 3 2 3" xfId="17594"/>
    <cellStyle name="常规 3 4 2 4 3 2 3 2" xfId="855"/>
    <cellStyle name="常规 3 4 2 4 3 3" xfId="20272"/>
    <cellStyle name="常规 3 4 2 4 3 4" xfId="10016"/>
    <cellStyle name="常规 3 4 2 4 4" xfId="20335"/>
    <cellStyle name="常规 3 4 2 5" xfId="2930"/>
    <cellStyle name="常规 3 4 2 5 2" xfId="4073"/>
    <cellStyle name="常规 3 4 2 5 2 2" xfId="2002"/>
    <cellStyle name="常规 3 4 2 5 2 3" xfId="804"/>
    <cellStyle name="常规 3 4 2 5 2 3 2" xfId="3185"/>
    <cellStyle name="常规 3 4 2 5 3" xfId="4087"/>
    <cellStyle name="常规 3 4 2 5 4" xfId="18600"/>
    <cellStyle name="常规 3 4 2 6" xfId="4090"/>
    <cellStyle name="常规 3 4 3" xfId="25330"/>
    <cellStyle name="常规 3 4 3 2" xfId="25331"/>
    <cellStyle name="常规 3 4 3 2 2" xfId="25333"/>
    <cellStyle name="常规 3 4 3 2 2 2" xfId="25334"/>
    <cellStyle name="常规 3 4 3 2 2 2 2" xfId="25335"/>
    <cellStyle name="常规 3 4 3 2 2 2 3" xfId="25337"/>
    <cellStyle name="常规 3 4 3 2 2 3" xfId="25338"/>
    <cellStyle name="常规 3 4 3 2 2 3 2" xfId="25339"/>
    <cellStyle name="常规 3 4 3 2 2 3 2 2" xfId="15796"/>
    <cellStyle name="常规 3 4 3 2 2 3 2 3" xfId="15798"/>
    <cellStyle name="常规 3 4 3 2 2 3 2 3 2" xfId="25340"/>
    <cellStyle name="常规 3 4 3 2 2 3 3" xfId="25341"/>
    <cellStyle name="常规 3 4 3 2 2 3 4" xfId="25342"/>
    <cellStyle name="常规 3 4 3 2 2 4" xfId="25343"/>
    <cellStyle name="常规 3 4 3 2 3" xfId="25344"/>
    <cellStyle name="常规 3 4 3 2 3 2" xfId="25345"/>
    <cellStyle name="常规 3 4 3 2 3 2 2" xfId="1704"/>
    <cellStyle name="常规 3 4 3 2 3 2 3" xfId="19009"/>
    <cellStyle name="常规 3 4 3 2 3 2 3 2" xfId="19012"/>
    <cellStyle name="常规 3 4 3 2 3 3" xfId="25347"/>
    <cellStyle name="常规 3 4 3 2 3 4" xfId="25348"/>
    <cellStyle name="常规 3 4 3 2 4" xfId="25349"/>
    <cellStyle name="常规 3 4 3 3" xfId="25351"/>
    <cellStyle name="常规 3 4 3 3 2" xfId="18082"/>
    <cellStyle name="常规 3 4 3 3 2 2" xfId="18135"/>
    <cellStyle name="常规 3 4 3 3 2 2 2" xfId="13527"/>
    <cellStyle name="常规 3 4 3 3 2 2 2 2" xfId="13532"/>
    <cellStyle name="常规 3 4 3 3 2 2 2 3" xfId="13537"/>
    <cellStyle name="常规 3 4 3 3 2 2 2 3 2" xfId="25352"/>
    <cellStyle name="常规 3 4 3 3 2 2 3" xfId="4034"/>
    <cellStyle name="常规 3 4 3 3 2 2 4" xfId="1864"/>
    <cellStyle name="常规 3 4 3 3 2 3" xfId="18187"/>
    <cellStyle name="常规 3 4 3 3 3" xfId="18205"/>
    <cellStyle name="常规 3 4 3 3 3 2" xfId="18256"/>
    <cellStyle name="常规 3 4 3 3 3 2 2" xfId="12992"/>
    <cellStyle name="常规 3 4 3 3 3 2 3" xfId="4271"/>
    <cellStyle name="常规 3 4 3 3 3 3" xfId="18282"/>
    <cellStyle name="常规 3 4 3 3 3 3 2" xfId="14079"/>
    <cellStyle name="常规 3 4 3 3 3 3 2 2" xfId="13000"/>
    <cellStyle name="常规 3 4 3 3 3 3 2 3" xfId="6653"/>
    <cellStyle name="常规 3 4 3 3 3 3 2 3 2" xfId="6943"/>
    <cellStyle name="常规 3 4 3 3 3 3 3" xfId="4295"/>
    <cellStyle name="常规 3 4 3 3 3 3 4" xfId="2951"/>
    <cellStyle name="常规 3 4 3 3 3 4" xfId="18290"/>
    <cellStyle name="常规 3 4 3 3 4" xfId="18337"/>
    <cellStyle name="常规 3 4 3 3 4 2" xfId="11925"/>
    <cellStyle name="常规 3 4 3 3 4 2 2" xfId="14284"/>
    <cellStyle name="常规 3 4 3 3 4 2 3" xfId="2699"/>
    <cellStyle name="常规 3 4 3 3 4 2 3 2" xfId="1881"/>
    <cellStyle name="常规 3 4 3 3 4 3" xfId="18352"/>
    <cellStyle name="常规 3 4 3 3 4 4" xfId="18357"/>
    <cellStyle name="常规 3 4 3 3 5" xfId="21838"/>
    <cellStyle name="常规 3 4 3 4" xfId="25353"/>
    <cellStyle name="常规 3 4 3 4 2" xfId="21565"/>
    <cellStyle name="常规 3 4 3 4 2 2" xfId="21591"/>
    <cellStyle name="常规 3 4 3 4 2 2 2" xfId="14748"/>
    <cellStyle name="常规 3 4 3 4 2 2 3" xfId="14754"/>
    <cellStyle name="常规 3 4 3 4 2 3" xfId="21597"/>
    <cellStyle name="常规 3 4 3 4 2 3 2" xfId="1629"/>
    <cellStyle name="常规 3 4 3 4 2 3 2 2" xfId="16354"/>
    <cellStyle name="常规 3 4 3 4 2 3 2 3" xfId="16370"/>
    <cellStyle name="常规 3 4 3 4 2 3 2 3 2" xfId="18839"/>
    <cellStyle name="常规 3 4 3 4 2 3 3" xfId="1786"/>
    <cellStyle name="常规 3 4 3 4 2 3 4" xfId="1834"/>
    <cellStyle name="常规 3 4 3 4 2 4" xfId="21601"/>
    <cellStyle name="常规 3 4 3 4 3" xfId="21605"/>
    <cellStyle name="常规 3 4 3 4 3 2" xfId="21645"/>
    <cellStyle name="常规 3 4 3 4 3 2 2" xfId="9754"/>
    <cellStyle name="常规 3 4 3 4 3 2 3" xfId="9759"/>
    <cellStyle name="常规 3 4 3 4 3 2 3 2" xfId="11195"/>
    <cellStyle name="常规 3 4 3 4 3 3" xfId="21655"/>
    <cellStyle name="常规 3 4 3 4 3 4" xfId="10055"/>
    <cellStyle name="常规 3 4 3 4 4" xfId="21672"/>
    <cellStyle name="常规 3 4 3 5" xfId="4107"/>
    <cellStyle name="常规 3 4 3 5 2" xfId="22088"/>
    <cellStyle name="常规 3 4 3 5 2 2" xfId="2343"/>
    <cellStyle name="常规 3 4 3 5 2 3" xfId="1230"/>
    <cellStyle name="常规 3 4 3 5 3" xfId="22091"/>
    <cellStyle name="常规 3 4 3 5 3 2" xfId="2414"/>
    <cellStyle name="常规 3 4 3 5 3 2 2" xfId="21418"/>
    <cellStyle name="常规 3 4 3 5 3 2 3" xfId="21422"/>
    <cellStyle name="常规 3 4 3 5 3 2 3 2" xfId="16452"/>
    <cellStyle name="常规 3 4 3 5 3 3" xfId="3517"/>
    <cellStyle name="常规 3 4 3 5 3 4" xfId="3525"/>
    <cellStyle name="常规 3 4 3 5 4" xfId="22094"/>
    <cellStyle name="常规 3 4 3 6" xfId="4119"/>
    <cellStyle name="常规 3 4 3 6 2" xfId="22257"/>
    <cellStyle name="常规 3 4 3 6 2 2" xfId="2484"/>
    <cellStyle name="常规 3 4 3 6 2 3" xfId="3571"/>
    <cellStyle name="常规 3 4 3 6 2 3 2" xfId="1403"/>
    <cellStyle name="常规 3 4 3 6 3" xfId="22264"/>
    <cellStyle name="常规 3 4 3 6 4" xfId="5767"/>
    <cellStyle name="常规 3 4 3 7" xfId="25354"/>
    <cellStyle name="常规 3 4 4" xfId="25355"/>
    <cellStyle name="常规 3 4 4 2" xfId="25356"/>
    <cellStyle name="常规 3 4 4 2 2" xfId="25357"/>
    <cellStyle name="常规 3 4 4 2 2 2" xfId="8482"/>
    <cellStyle name="常规 3 4 4 2 2 2 2" xfId="2340"/>
    <cellStyle name="常规 3 4 4 2 2 2 3" xfId="19913"/>
    <cellStyle name="常规 3 4 4 2 2 2 3 2" xfId="25358"/>
    <cellStyle name="常规 3 4 4 2 2 3" xfId="25359"/>
    <cellStyle name="常规 3 4 4 2 2 4" xfId="25360"/>
    <cellStyle name="常规 3 4 4 2 3" xfId="25361"/>
    <cellStyle name="常规 3 4 4 3" xfId="25362"/>
    <cellStyle name="常规 3 4 4 3 2" xfId="22576"/>
    <cellStyle name="常规 3 4 4 3 2 2" xfId="22589"/>
    <cellStyle name="常规 3 4 4 3 2 3" xfId="22591"/>
    <cellStyle name="常规 3 4 4 3 3" xfId="22599"/>
    <cellStyle name="常规 3 4 4 3 3 2" xfId="22601"/>
    <cellStyle name="常规 3 4 4 3 3 2 2" xfId="15716"/>
    <cellStyle name="常规 3 4 4 3 3 2 3" xfId="4905"/>
    <cellStyle name="常规 3 4 4 3 3 2 3 2" xfId="4914"/>
    <cellStyle name="常规 3 4 4 3 3 3" xfId="22603"/>
    <cellStyle name="常规 3 4 4 3 3 4" xfId="22605"/>
    <cellStyle name="常规 3 4 4 3 4" xfId="22609"/>
    <cellStyle name="常规 3 4 4 4" xfId="25364"/>
    <cellStyle name="常规 3 4 4 4 2" xfId="22765"/>
    <cellStyle name="常规 3 4 4 4 2 2" xfId="22767"/>
    <cellStyle name="常规 3 4 4 4 2 3" xfId="22769"/>
    <cellStyle name="常规 3 4 4 4 2 3 2" xfId="707"/>
    <cellStyle name="常规 3 4 4 4 3" xfId="22776"/>
    <cellStyle name="常规 3 4 4 4 4" xfId="22782"/>
    <cellStyle name="常规 3 4 4 5" xfId="25365"/>
    <cellStyle name="常规 3 4 5" xfId="25366"/>
    <cellStyle name="常规 3 4 5 2" xfId="11759"/>
    <cellStyle name="常规 3 4 5 2 2" xfId="4624"/>
    <cellStyle name="常规 3 4 5 2 3" xfId="11763"/>
    <cellStyle name="常规 3 4 5 3" xfId="11780"/>
    <cellStyle name="常规 3 4 5 3 2" xfId="11782"/>
    <cellStyle name="常规 3 4 5 3 2 2" xfId="11785"/>
    <cellStyle name="常规 3 4 5 3 2 3" xfId="11788"/>
    <cellStyle name="常规 3 4 5 3 2 3 2" xfId="11793"/>
    <cellStyle name="常规 3 4 5 3 3" xfId="11798"/>
    <cellStyle name="常规 3 4 5 3 4" xfId="11803"/>
    <cellStyle name="常规 3 4 5 4" xfId="4931"/>
    <cellStyle name="常规 3 4 6" xfId="25367"/>
    <cellStyle name="常规 3 4 6 2" xfId="11830"/>
    <cellStyle name="常规 3 4 6 2 2" xfId="11833"/>
    <cellStyle name="常规 3 4 6 2 3" xfId="11839"/>
    <cellStyle name="常规 3 4 6 2 3 2" xfId="25369"/>
    <cellStyle name="常规 3 4 6 3" xfId="11842"/>
    <cellStyle name="常规 3 4 6 4" xfId="25371"/>
    <cellStyle name="常规 3 4 7" xfId="25372"/>
    <cellStyle name="常规 3 5" xfId="6288"/>
    <cellStyle name="常规 3 5 2" xfId="25374"/>
    <cellStyle name="常规 3 5 2 2" xfId="25375"/>
    <cellStyle name="常规 3 5 2 2 2" xfId="25376"/>
    <cellStyle name="常规 3 5 2 2 2 2" xfId="25377"/>
    <cellStyle name="常规 3 5 2 2 2 3" xfId="25379"/>
    <cellStyle name="常规 3 5 2 2 3" xfId="25381"/>
    <cellStyle name="常规 3 5 2 2 3 2" xfId="25382"/>
    <cellStyle name="常规 3 5 2 2 3 2 2" xfId="25384"/>
    <cellStyle name="常规 3 5 2 2 3 2 3" xfId="9494"/>
    <cellStyle name="常规 3 5 2 2 3 2 3 2" xfId="15926"/>
    <cellStyle name="常规 3 5 2 2 3 3" xfId="25387"/>
    <cellStyle name="常规 3 5 2 2 3 4" xfId="25389"/>
    <cellStyle name="常规 3 5 2 2 4" xfId="25390"/>
    <cellStyle name="常规 3 5 2 3" xfId="25391"/>
    <cellStyle name="常规 3 5 2 3 2" xfId="25392"/>
    <cellStyle name="常规 3 5 2 3 2 2" xfId="25393"/>
    <cellStyle name="常规 3 5 2 3 2 3" xfId="25396"/>
    <cellStyle name="常规 3 5 2 3 2 3 2" xfId="3476"/>
    <cellStyle name="常规 3 5 2 3 3" xfId="25398"/>
    <cellStyle name="常规 3 5 2 3 4" xfId="25399"/>
    <cellStyle name="常规 3 5 2 4" xfId="18390"/>
    <cellStyle name="常规 3 5 3" xfId="25400"/>
    <cellStyle name="常规 3 5 3 2" xfId="25401"/>
    <cellStyle name="常规 3 5 3 2 2" xfId="25403"/>
    <cellStyle name="常规 3 5 3 2 2 2" xfId="18115"/>
    <cellStyle name="常规 3 5 3 2 2 2 2" xfId="25404"/>
    <cellStyle name="常规 3 5 3 2 2 2 3" xfId="25405"/>
    <cellStyle name="常规 3 5 3 2 2 2 3 2" xfId="24015"/>
    <cellStyle name="常规 3 5 3 2 2 3" xfId="19412"/>
    <cellStyle name="常规 3 5 3 2 2 4" xfId="8181"/>
    <cellStyle name="常规 3 5 3 2 3" xfId="25406"/>
    <cellStyle name="常规 3 5 3 3" xfId="25407"/>
    <cellStyle name="常规 3 5 3 3 2" xfId="18716"/>
    <cellStyle name="常规 3 5 3 3 2 2" xfId="25408"/>
    <cellStyle name="常规 3 5 3 3 2 3" xfId="25409"/>
    <cellStyle name="常规 3 5 3 3 3" xfId="18718"/>
    <cellStyle name="常规 3 5 3 3 3 2" xfId="25410"/>
    <cellStyle name="常规 3 5 3 3 3 2 2" xfId="19030"/>
    <cellStyle name="常规 3 5 3 3 3 2 3" xfId="13752"/>
    <cellStyle name="常规 3 5 3 3 3 2 3 2" xfId="19048"/>
    <cellStyle name="常规 3 5 3 3 3 3" xfId="25411"/>
    <cellStyle name="常规 3 5 3 3 3 4" xfId="25412"/>
    <cellStyle name="常规 3 5 3 3 4" xfId="18720"/>
    <cellStyle name="常规 3 5 3 4" xfId="18394"/>
    <cellStyle name="常规 3 5 3 4 2" xfId="25413"/>
    <cellStyle name="常规 3 5 3 4 2 2" xfId="25414"/>
    <cellStyle name="常规 3 5 3 4 2 3" xfId="25415"/>
    <cellStyle name="常规 3 5 3 4 2 3 2" xfId="3158"/>
    <cellStyle name="常规 3 5 3 4 3" xfId="25416"/>
    <cellStyle name="常规 3 5 3 4 4" xfId="25417"/>
    <cellStyle name="常规 3 5 3 5" xfId="17162"/>
    <cellStyle name="常规 3 5 4" xfId="25418"/>
    <cellStyle name="常规 3 5 4 2" xfId="25419"/>
    <cellStyle name="常规 3 5 4 2 2" xfId="25420"/>
    <cellStyle name="常规 3 5 4 2 2 2" xfId="5922"/>
    <cellStyle name="常规 3 5 4 2 2 3" xfId="25422"/>
    <cellStyle name="常规 3 5 4 2 3" xfId="25423"/>
    <cellStyle name="常规 3 5 4 2 3 2" xfId="25424"/>
    <cellStyle name="常规 3 5 4 2 3 2 2" xfId="17815"/>
    <cellStyle name="常规 3 5 4 2 3 2 3" xfId="17821"/>
    <cellStyle name="常规 3 5 4 2 3 2 3 2" xfId="17830"/>
    <cellStyle name="常规 3 5 4 2 3 3" xfId="25425"/>
    <cellStyle name="常规 3 5 4 2 3 4" xfId="25426"/>
    <cellStyle name="常规 3 5 4 2 4" xfId="25427"/>
    <cellStyle name="常规 3 5 4 3" xfId="25428"/>
    <cellStyle name="常规 3 5 4 3 2" xfId="25429"/>
    <cellStyle name="常规 3 5 4 3 2 2" xfId="19856"/>
    <cellStyle name="常规 3 5 4 3 2 3" xfId="19861"/>
    <cellStyle name="常规 3 5 4 3 2 3 2" xfId="6020"/>
    <cellStyle name="常规 3 5 4 3 3" xfId="25430"/>
    <cellStyle name="常规 3 5 4 3 4" xfId="25431"/>
    <cellStyle name="常规 3 5 4 4" xfId="18396"/>
    <cellStyle name="常规 3 5 5" xfId="25432"/>
    <cellStyle name="常规 3 5 5 2" xfId="11878"/>
    <cellStyle name="常规 3 5 5 2 2" xfId="11881"/>
    <cellStyle name="常规 3 5 5 2 3" xfId="11885"/>
    <cellStyle name="常规 3 5 5 3" xfId="11890"/>
    <cellStyle name="常规 3 5 5 3 2" xfId="25433"/>
    <cellStyle name="常规 3 5 5 3 2 2" xfId="21647"/>
    <cellStyle name="常规 3 5 5 3 2 3" xfId="21649"/>
    <cellStyle name="常规 3 5 5 3 2 3 2" xfId="20602"/>
    <cellStyle name="常规 3 5 5 3 3" xfId="25434"/>
    <cellStyle name="常规 3 5 5 3 4" xfId="25435"/>
    <cellStyle name="常规 3 5 5 4" xfId="18398"/>
    <cellStyle name="常规 3 5 6" xfId="25436"/>
    <cellStyle name="常规 3 5 6 2" xfId="8577"/>
    <cellStyle name="常规 3 5 6 2 2" xfId="25438"/>
    <cellStyle name="常规 3 5 6 2 3" xfId="25440"/>
    <cellStyle name="常规 3 5 6 2 3 2" xfId="21432"/>
    <cellStyle name="常规 3 5 6 3" xfId="9029"/>
    <cellStyle name="常规 3 5 6 4" xfId="18400"/>
    <cellStyle name="常规 3 5 7" xfId="25442"/>
    <cellStyle name="常规 3 6" xfId="15628"/>
    <cellStyle name="常规 3 6 2" xfId="25444"/>
    <cellStyle name="常规 3 6 2 2" xfId="10031"/>
    <cellStyle name="常规 3 6 2 2 2" xfId="25446"/>
    <cellStyle name="常规 3 6 2 2 2 2" xfId="25448"/>
    <cellStyle name="常规 3 6 2 2 2 3" xfId="25449"/>
    <cellStyle name="常规 3 6 2 2 2 3 2" xfId="25450"/>
    <cellStyle name="常规 3 6 2 2 3" xfId="25451"/>
    <cellStyle name="常规 3 6 2 2 4" xfId="25452"/>
    <cellStyle name="常规 3 6 2 3" xfId="25453"/>
    <cellStyle name="常规 3 6 3" xfId="25455"/>
    <cellStyle name="常规 3 6 3 2" xfId="25457"/>
    <cellStyle name="常规 3 6 3 2 2" xfId="25459"/>
    <cellStyle name="常规 3 6 3 2 3" xfId="25460"/>
    <cellStyle name="常规 3 6 3 3" xfId="25461"/>
    <cellStyle name="常规 3 6 3 3 2" xfId="25462"/>
    <cellStyle name="常规 3 6 3 3 2 2" xfId="25463"/>
    <cellStyle name="常规 3 6 3 3 2 3" xfId="25464"/>
    <cellStyle name="常规 3 6 3 3 2 3 2" xfId="11145"/>
    <cellStyle name="常规 3 6 3 3 3" xfId="25465"/>
    <cellStyle name="常规 3 6 3 3 4" xfId="16543"/>
    <cellStyle name="常规 3 6 3 4" xfId="25466"/>
    <cellStyle name="常规 3 6 4" xfId="25467"/>
    <cellStyle name="常规 3 6 4 2" xfId="25468"/>
    <cellStyle name="常规 3 6 4 2 2" xfId="15529"/>
    <cellStyle name="常规 3 6 4 2 3" xfId="25469"/>
    <cellStyle name="常规 3 6 4 2 3 2" xfId="25470"/>
    <cellStyle name="常规 3 6 4 3" xfId="25471"/>
    <cellStyle name="常规 3 6 4 4" xfId="25472"/>
    <cellStyle name="常规 3 6 5" xfId="24942"/>
    <cellStyle name="常规 3 7" xfId="21245"/>
    <cellStyle name="常规 3 7 2" xfId="25473"/>
    <cellStyle name="常规 3 7 2 2" xfId="25475"/>
    <cellStyle name="常规 3 7 2 2 2" xfId="25476"/>
    <cellStyle name="常规 3 7 2 2 2 2" xfId="25478"/>
    <cellStyle name="常规 3 7 2 2 2 3" xfId="18511"/>
    <cellStyle name="常规 3 7 2 2 2 3 2" xfId="10691"/>
    <cellStyle name="常规 3 7 2 2 3" xfId="25480"/>
    <cellStyle name="常规 3 7 2 2 4" xfId="25483"/>
    <cellStyle name="常规 3 7 2 3" xfId="25027"/>
    <cellStyle name="常规 3 7 3" xfId="25486"/>
    <cellStyle name="常规 3 7 3 2" xfId="25488"/>
    <cellStyle name="常规 3 7 3 2 2" xfId="25489"/>
    <cellStyle name="常规 3 7 3 2 3" xfId="25491"/>
    <cellStyle name="常规 3 7 3 3" xfId="25492"/>
    <cellStyle name="常规 3 7 3 3 2" xfId="25493"/>
    <cellStyle name="常规 3 7 3 3 2 2" xfId="25494"/>
    <cellStyle name="常规 3 7 3 3 2 3" xfId="25495"/>
    <cellStyle name="常规 3 7 3 3 2 3 2" xfId="22448"/>
    <cellStyle name="常规 3 7 3 3 3" xfId="25496"/>
    <cellStyle name="常规 3 7 3 3 4" xfId="16897"/>
    <cellStyle name="常规 3 7 3 4" xfId="25497"/>
    <cellStyle name="常规 3 7 4" xfId="25498"/>
    <cellStyle name="常规 3 7 4 2" xfId="25499"/>
    <cellStyle name="常规 3 7 4 2 2" xfId="25500"/>
    <cellStyle name="常规 3 7 4 2 3" xfId="25501"/>
    <cellStyle name="常规 3 7 4 2 3 2" xfId="25502"/>
    <cellStyle name="常规 3 7 4 3" xfId="25503"/>
    <cellStyle name="常规 3 7 4 4" xfId="25504"/>
    <cellStyle name="常规 3 7 5" xfId="25505"/>
    <cellStyle name="常规 3 8" xfId="25506"/>
    <cellStyle name="常规 3 8 2" xfId="25508"/>
    <cellStyle name="常规 3 8 2 2" xfId="25509"/>
    <cellStyle name="常规 3 8 2 3" xfId="25510"/>
    <cellStyle name="常规 3 8 3" xfId="414"/>
    <cellStyle name="常规 3 8 3 2" xfId="25511"/>
    <cellStyle name="常规 3 8 3 2 2" xfId="25512"/>
    <cellStyle name="常规 3 8 3 2 3" xfId="25513"/>
    <cellStyle name="常规 3 8 3 2 3 2" xfId="14233"/>
    <cellStyle name="常规 3 8 3 3" xfId="25514"/>
    <cellStyle name="常规 3 8 3 4" xfId="25515"/>
    <cellStyle name="常规 3 8 4" xfId="25516"/>
    <cellStyle name="常规 3 9" xfId="25517"/>
    <cellStyle name="常规 3 9 2" xfId="25518"/>
    <cellStyle name="常规 3 9 2 2" xfId="21304"/>
    <cellStyle name="常规 3 9 2 3" xfId="25519"/>
    <cellStyle name="常规 3 9 2 3 2" xfId="25520"/>
    <cellStyle name="常规 3 9 3" xfId="25521"/>
    <cellStyle name="常规 3 9 4" xfId="25522"/>
    <cellStyle name="常规 4" xfId="20476"/>
    <cellStyle name="常规 4 10" xfId="25523"/>
    <cellStyle name="常规 4 11" xfId="25524"/>
    <cellStyle name="常规 4 2" xfId="6296"/>
    <cellStyle name="常规 4 2 2" xfId="23283"/>
    <cellStyle name="常规 4 2 2 2" xfId="20861"/>
    <cellStyle name="常规 4 2 2 2 2" xfId="25525"/>
    <cellStyle name="常规 4 2 2 2 2 2" xfId="25526"/>
    <cellStyle name="常规 4 2 2 2 2 2 2" xfId="17212"/>
    <cellStyle name="常规 4 2 2 2 2 2 2 2" xfId="25528"/>
    <cellStyle name="常规 4 2 2 2 2 2 2 3" xfId="25529"/>
    <cellStyle name="常规 4 2 2 2 2 2 2 3 2" xfId="25530"/>
    <cellStyle name="常规 4 2 2 2 2 2 3" xfId="17219"/>
    <cellStyle name="常规 4 2 2 2 2 2 4" xfId="19743"/>
    <cellStyle name="常规 4 2 2 2 2 3" xfId="25531"/>
    <cellStyle name="常规 4 2 2 2 3" xfId="25532"/>
    <cellStyle name="常规 4 2 2 2 3 2" xfId="25533"/>
    <cellStyle name="常规 4 2 2 2 3 2 2" xfId="7508"/>
    <cellStyle name="常规 4 2 2 2 3 2 3" xfId="17292"/>
    <cellStyle name="常规 4 2 2 2 3 3" xfId="25534"/>
    <cellStyle name="常规 4 2 2 2 3 3 2" xfId="25535"/>
    <cellStyle name="常规 4 2 2 2 3 3 2 2" xfId="25536"/>
    <cellStyle name="常规 4 2 2 2 3 3 2 3" xfId="25538"/>
    <cellStyle name="常规 4 2 2 2 3 3 2 3 2" xfId="24142"/>
    <cellStyle name="常规 4 2 2 2 3 3 3" xfId="24860"/>
    <cellStyle name="常规 4 2 2 2 3 3 4" xfId="24872"/>
    <cellStyle name="常规 4 2 2 2 3 4" xfId="25539"/>
    <cellStyle name="常规 4 2 2 2 4" xfId="25540"/>
    <cellStyle name="常规 4 2 2 2 4 2" xfId="14574"/>
    <cellStyle name="常规 4 2 2 2 4 2 2" xfId="1956"/>
    <cellStyle name="常规 4 2 2 2 4 2 3" xfId="25541"/>
    <cellStyle name="常规 4 2 2 2 4 2 3 2" xfId="20715"/>
    <cellStyle name="常规 4 2 2 2 4 3" xfId="14576"/>
    <cellStyle name="常规 4 2 2 2 4 4" xfId="25543"/>
    <cellStyle name="常规 4 2 2 2 5" xfId="25544"/>
    <cellStyle name="常规 4 2 2 3" xfId="20863"/>
    <cellStyle name="常规 4 2 2 3 2" xfId="25545"/>
    <cellStyle name="常规 4 2 2 3 2 2" xfId="25546"/>
    <cellStyle name="常规 4 2 2 3 2 2 2" xfId="25547"/>
    <cellStyle name="常规 4 2 2 3 2 2 3" xfId="25548"/>
    <cellStyle name="常规 4 2 2 3 2 3" xfId="25549"/>
    <cellStyle name="常规 4 2 2 3 2 3 2" xfId="25550"/>
    <cellStyle name="常规 4 2 2 3 2 3 2 2" xfId="2572"/>
    <cellStyle name="常规 4 2 2 3 2 3 2 3" xfId="15504"/>
    <cellStyle name="常规 4 2 2 3 2 3 2 3 2" xfId="25551"/>
    <cellStyle name="常规 4 2 2 3 2 3 3" xfId="25310"/>
    <cellStyle name="常规 4 2 2 3 2 3 4" xfId="25326"/>
    <cellStyle name="常规 4 2 2 3 2 4" xfId="25553"/>
    <cellStyle name="常规 4 2 2 3 3" xfId="25554"/>
    <cellStyle name="常规 4 2 2 3 3 2" xfId="25555"/>
    <cellStyle name="常规 4 2 2 3 3 2 2" xfId="25556"/>
    <cellStyle name="常规 4 2 2 3 3 2 3" xfId="25557"/>
    <cellStyle name="常规 4 2 2 3 3 2 3 2" xfId="25558"/>
    <cellStyle name="常规 4 2 2 3 3 3" xfId="25560"/>
    <cellStyle name="常规 4 2 2 3 3 4" xfId="25561"/>
    <cellStyle name="常规 4 2 2 3 4" xfId="25562"/>
    <cellStyle name="常规 4 2 2 4" xfId="20865"/>
    <cellStyle name="常规 4 2 2 4 2" xfId="25563"/>
    <cellStyle name="常规 4 2 2 4 2 2" xfId="25564"/>
    <cellStyle name="常规 4 2 2 4 2 3" xfId="25566"/>
    <cellStyle name="常规 4 2 2 4 3" xfId="25567"/>
    <cellStyle name="常规 4 2 2 4 3 2" xfId="25568"/>
    <cellStyle name="常规 4 2 2 4 3 2 2" xfId="25569"/>
    <cellStyle name="常规 4 2 2 4 3 2 3" xfId="25570"/>
    <cellStyle name="常规 4 2 2 4 3 2 3 2" xfId="25571"/>
    <cellStyle name="常规 4 2 2 4 3 3" xfId="25573"/>
    <cellStyle name="常规 4 2 2 4 3 4" xfId="25574"/>
    <cellStyle name="常规 4 2 2 4 4" xfId="25575"/>
    <cellStyle name="常规 4 2 2 5" xfId="25576"/>
    <cellStyle name="常规 4 2 2 5 2" xfId="25577"/>
    <cellStyle name="常规 4 2 2 5 2 2" xfId="25578"/>
    <cellStyle name="常规 4 2 2 5 2 3" xfId="25579"/>
    <cellStyle name="常规 4 2 2 5 2 3 2" xfId="25580"/>
    <cellStyle name="常规 4 2 2 5 3" xfId="25581"/>
    <cellStyle name="常规 4 2 2 5 4" xfId="25582"/>
    <cellStyle name="常规 4 2 2 6" xfId="6463"/>
    <cellStyle name="常规 4 2 3" xfId="4458"/>
    <cellStyle name="常规 4 2 3 2" xfId="7299"/>
    <cellStyle name="常规 4 2 3 2 2" xfId="18298"/>
    <cellStyle name="常规 4 2 3 2 2 2" xfId="14112"/>
    <cellStyle name="常规 4 2 3 2 2 2 2" xfId="14599"/>
    <cellStyle name="常规 4 2 3 2 2 2 3" xfId="4941"/>
    <cellStyle name="常规 4 2 3 2 2 2 3 2" xfId="4950"/>
    <cellStyle name="常规 4 2 3 2 2 3" xfId="14118"/>
    <cellStyle name="常规 4 2 3 2 2 4" xfId="14125"/>
    <cellStyle name="常规 4 2 3 2 3" xfId="18308"/>
    <cellStyle name="常规 4 2 3 3" xfId="6479"/>
    <cellStyle name="常规 4 2 3 3 2" xfId="18362"/>
    <cellStyle name="常规 4 2 3 3 2 2" xfId="14493"/>
    <cellStyle name="常规 4 2 3 3 2 3" xfId="14498"/>
    <cellStyle name="常规 4 2 3 3 3" xfId="18365"/>
    <cellStyle name="常规 4 2 3 3 3 2" xfId="14512"/>
    <cellStyle name="常规 4 2 3 3 3 2 2" xfId="21803"/>
    <cellStyle name="常规 4 2 3 3 3 2 3" xfId="25583"/>
    <cellStyle name="常规 4 2 3 3 3 2 3 2" xfId="25585"/>
    <cellStyle name="常规 4 2 3 3 3 3" xfId="14517"/>
    <cellStyle name="常规 4 2 3 3 3 4" xfId="14521"/>
    <cellStyle name="常规 4 2 3 3 4" xfId="18371"/>
    <cellStyle name="常规 4 2 3 4" xfId="18250"/>
    <cellStyle name="常规 4 2 3 4 2" xfId="21843"/>
    <cellStyle name="常规 4 2 3 4 2 2" xfId="7563"/>
    <cellStyle name="常规 4 2 3 4 2 3" xfId="8191"/>
    <cellStyle name="常规 4 2 3 4 2 3 2" xfId="8197"/>
    <cellStyle name="常规 4 2 3 4 3" xfId="21845"/>
    <cellStyle name="常规 4 2 3 4 4" xfId="21847"/>
    <cellStyle name="常规 4 2 3 5" xfId="25587"/>
    <cellStyle name="常规 4 2 4" xfId="4469"/>
    <cellStyle name="常规 4 2 4 2" xfId="18674"/>
    <cellStyle name="常规 4 2 4 2 2" xfId="10111"/>
    <cellStyle name="常规 4 2 4 2 2 2" xfId="14991"/>
    <cellStyle name="常规 4 2 4 2 2 2 2" xfId="25588"/>
    <cellStyle name="常规 4 2 4 2 2 2 3" xfId="25589"/>
    <cellStyle name="常规 4 2 4 2 2 2 3 2" xfId="14396"/>
    <cellStyle name="常规 4 2 4 2 2 3" xfId="14994"/>
    <cellStyle name="常规 4 2 4 2 2 4" xfId="14997"/>
    <cellStyle name="常规 4 2 4 2 3" xfId="21662"/>
    <cellStyle name="常规 4 2 4 3" xfId="18679"/>
    <cellStyle name="常规 4 2 4 3 2" xfId="21709"/>
    <cellStyle name="常规 4 2 4 3 2 2" xfId="21711"/>
    <cellStyle name="常规 4 2 4 3 2 3" xfId="21713"/>
    <cellStyle name="常规 4 2 4 3 3" xfId="21718"/>
    <cellStyle name="常规 4 2 4 3 3 2" xfId="21720"/>
    <cellStyle name="常规 4 2 4 3 3 2 2" xfId="25590"/>
    <cellStyle name="常规 4 2 4 3 3 2 3" xfId="25591"/>
    <cellStyle name="常规 4 2 4 3 3 2 3 2" xfId="4442"/>
    <cellStyle name="常规 4 2 4 3 3 3" xfId="1119"/>
    <cellStyle name="常规 4 2 4 3 3 4" xfId="2683"/>
    <cellStyle name="常规 4 2 4 3 4" xfId="12589"/>
    <cellStyle name="常规 4 2 4 4" xfId="18684"/>
    <cellStyle name="常规 4 2 4 4 2" xfId="6516"/>
    <cellStyle name="常规 4 2 4 4 2 2" xfId="7724"/>
    <cellStyle name="常规 4 2 4 4 2 3" xfId="8264"/>
    <cellStyle name="常规 4 2 4 4 2 3 2" xfId="25593"/>
    <cellStyle name="常规 4 2 4 4 3" xfId="1174"/>
    <cellStyle name="常规 4 2 4 4 4" xfId="21895"/>
    <cellStyle name="常规 4 2 4 5" xfId="25594"/>
    <cellStyle name="常规 4 2 5" xfId="23285"/>
    <cellStyle name="常规 4 2 5 2" xfId="2440"/>
    <cellStyle name="常规 4 2 5 2 2" xfId="4519"/>
    <cellStyle name="常规 4 2 5 2 2 2" xfId="24082"/>
    <cellStyle name="常规 4 2 5 2 2 2 2" xfId="25595"/>
    <cellStyle name="常规 4 2 5 2 2 2 3" xfId="25596"/>
    <cellStyle name="常规 4 2 5 2 2 2 3 2" xfId="14068"/>
    <cellStyle name="常规 4 2 5 2 2 3" xfId="24084"/>
    <cellStyle name="常规 4 2 5 2 2 4" xfId="24086"/>
    <cellStyle name="常规 4 2 5 2 3" xfId="1312"/>
    <cellStyle name="常规 4 2 5 3" xfId="3551"/>
    <cellStyle name="常规 4 2 5 3 2" xfId="22098"/>
    <cellStyle name="常规 4 2 5 3 2 2" xfId="24249"/>
    <cellStyle name="常规 4 2 5 3 2 3" xfId="24251"/>
    <cellStyle name="常规 4 2 5 3 3" xfId="22101"/>
    <cellStyle name="常规 4 2 5 3 3 2" xfId="1424"/>
    <cellStyle name="常规 4 2 5 3 3 2 2" xfId="25597"/>
    <cellStyle name="常规 4 2 5 3 3 2 3" xfId="25598"/>
    <cellStyle name="常规 4 2 5 3 3 2 3 2" xfId="25600"/>
    <cellStyle name="常规 4 2 5 3 3 3" xfId="25601"/>
    <cellStyle name="常规 4 2 5 3 3 4" xfId="25602"/>
    <cellStyle name="常规 4 2 5 3 4" xfId="22104"/>
    <cellStyle name="常规 4 2 5 4" xfId="6526"/>
    <cellStyle name="常规 4 2 5 4 2" xfId="8280"/>
    <cellStyle name="常规 4 2 5 4 2 2" xfId="23567"/>
    <cellStyle name="常规 4 2 5 4 2 3" xfId="23569"/>
    <cellStyle name="常规 4 2 5 4 2 3 2" xfId="25603"/>
    <cellStyle name="常规 4 2 5 4 3" xfId="1481"/>
    <cellStyle name="常规 4 2 5 4 4" xfId="22112"/>
    <cellStyle name="常规 4 2 5 5" xfId="25604"/>
    <cellStyle name="常规 4 2 6" xfId="23287"/>
    <cellStyle name="常规 4 2 6 2" xfId="4532"/>
    <cellStyle name="常规 4 2 6 2 2" xfId="22267"/>
    <cellStyle name="常规 4 2 6 2 3" xfId="22270"/>
    <cellStyle name="常规 4 2 6 3" xfId="20872"/>
    <cellStyle name="常规 4 2 6 3 2" xfId="5868"/>
    <cellStyle name="常规 4 2 6 3 2 2" xfId="3247"/>
    <cellStyle name="常规 4 2 6 3 2 3" xfId="3282"/>
    <cellStyle name="常规 4 2 6 3 2 3 2" xfId="25605"/>
    <cellStyle name="常规 4 2 6 3 3" xfId="1721"/>
    <cellStyle name="常规 4 2 6 3 4" xfId="1750"/>
    <cellStyle name="常规 4 2 6 4" xfId="4618"/>
    <cellStyle name="常规 4 2 7" xfId="23289"/>
    <cellStyle name="常规 4 2 7 2" xfId="2990"/>
    <cellStyle name="常规 4 2 7 2 2" xfId="22024"/>
    <cellStyle name="常规 4 2 7 2 3" xfId="22028"/>
    <cellStyle name="常规 4 2 7 2 3 2" xfId="25606"/>
    <cellStyle name="常规 4 2 7 3" xfId="20876"/>
    <cellStyle name="常规 4 2 7 4" xfId="4798"/>
    <cellStyle name="常规 4 2 8" xfId="25608"/>
    <cellStyle name="常规 4 3" xfId="6905"/>
    <cellStyle name="常规 4 3 2" xfId="23293"/>
    <cellStyle name="常规 4 3 2 2" xfId="20907"/>
    <cellStyle name="常规 4 3 2 2 2" xfId="25609"/>
    <cellStyle name="常规 4 3 2 2 2 2" xfId="18981"/>
    <cellStyle name="常规 4 3 2 2 2 2 2" xfId="18984"/>
    <cellStyle name="常规 4 3 2 2 2 2 2 2" xfId="20843"/>
    <cellStyle name="常规 4 3 2 2 2 2 2 3" xfId="21188"/>
    <cellStyle name="常规 4 3 2 2 2 2 2 3 2" xfId="20460"/>
    <cellStyle name="常规 4 3 2 2 2 2 3" xfId="18987"/>
    <cellStyle name="常规 4 3 2 2 2 2 4" xfId="15039"/>
    <cellStyle name="常规 4 3 2 2 2 3" xfId="18991"/>
    <cellStyle name="常规 4 3 2 2 3" xfId="25610"/>
    <cellStyle name="常规 4 3 2 2 3 2" xfId="25612"/>
    <cellStyle name="常规 4 3 2 2 3 2 2" xfId="25613"/>
    <cellStyle name="常规 4 3 2 2 3 2 3" xfId="25614"/>
    <cellStyle name="常规 4 3 2 2 3 3" xfId="25615"/>
    <cellStyle name="常规 4 3 2 2 3 3 2" xfId="25616"/>
    <cellStyle name="常规 4 3 2 2 3 3 2 2" xfId="25618"/>
    <cellStyle name="常规 4 3 2 2 3 3 2 3" xfId="25619"/>
    <cellStyle name="常规 4 3 2 2 3 3 2 3 2" xfId="25620"/>
    <cellStyle name="常规 4 3 2 2 3 3 3" xfId="25621"/>
    <cellStyle name="常规 4 3 2 2 3 3 4" xfId="15219"/>
    <cellStyle name="常规 4 3 2 2 3 4" xfId="25623"/>
    <cellStyle name="常规 4 3 2 2 4" xfId="25624"/>
    <cellStyle name="常规 4 3 2 2 4 2" xfId="25625"/>
    <cellStyle name="常规 4 3 2 2 4 2 2" xfId="25626"/>
    <cellStyle name="常规 4 3 2 2 4 2 3" xfId="25627"/>
    <cellStyle name="常规 4 3 2 2 4 2 3 2" xfId="25628"/>
    <cellStyle name="常规 4 3 2 2 4 3" xfId="25629"/>
    <cellStyle name="常规 4 3 2 2 4 4" xfId="25630"/>
    <cellStyle name="常规 4 3 2 2 5" xfId="25631"/>
    <cellStyle name="常规 4 3 2 3" xfId="20909"/>
    <cellStyle name="常规 4 3 2 3 2" xfId="25632"/>
    <cellStyle name="常规 4 3 2 3 2 2" xfId="25633"/>
    <cellStyle name="常规 4 3 2 3 2 2 2" xfId="25634"/>
    <cellStyle name="常规 4 3 2 3 2 2 3" xfId="25636"/>
    <cellStyle name="常规 4 3 2 3 2 3" xfId="25637"/>
    <cellStyle name="常规 4 3 2 3 2 3 2" xfId="19753"/>
    <cellStyle name="常规 4 3 2 3 2 3 2 2" xfId="13035"/>
    <cellStyle name="常规 4 3 2 3 2 3 2 3" xfId="13042"/>
    <cellStyle name="常规 4 3 2 3 2 3 2 3 2" xfId="25638"/>
    <cellStyle name="常规 4 3 2 3 2 3 3" xfId="19759"/>
    <cellStyle name="常规 4 3 2 3 2 3 4" xfId="15922"/>
    <cellStyle name="常规 4 3 2 3 2 4" xfId="25639"/>
    <cellStyle name="常规 4 3 2 3 3" xfId="25640"/>
    <cellStyle name="常规 4 3 2 3 3 2" xfId="25641"/>
    <cellStyle name="常规 4 3 2 3 3 2 2" xfId="19373"/>
    <cellStyle name="常规 4 3 2 3 3 2 3" xfId="25642"/>
    <cellStyle name="常规 4 3 2 3 3 2 3 2" xfId="23075"/>
    <cellStyle name="常规 4 3 2 3 3 3" xfId="25643"/>
    <cellStyle name="常规 4 3 2 3 3 4" xfId="25644"/>
    <cellStyle name="常规 4 3 2 3 4" xfId="25645"/>
    <cellStyle name="常规 4 3 2 4" xfId="20911"/>
    <cellStyle name="常规 4 3 2 4 2" xfId="25646"/>
    <cellStyle name="常规 4 3 2 4 2 2" xfId="25647"/>
    <cellStyle name="常规 4 3 2 4 2 3" xfId="25650"/>
    <cellStyle name="常规 4 3 2 4 3" xfId="25653"/>
    <cellStyle name="常规 4 3 2 4 3 2" xfId="25654"/>
    <cellStyle name="常规 4 3 2 4 3 2 2" xfId="25656"/>
    <cellStyle name="常规 4 3 2 4 3 2 3" xfId="25658"/>
    <cellStyle name="常规 4 3 2 4 3 2 3 2" xfId="25660"/>
    <cellStyle name="常规 4 3 2 4 3 3" xfId="25661"/>
    <cellStyle name="常规 4 3 2 4 3 4" xfId="25663"/>
    <cellStyle name="常规 4 3 2 4 4" xfId="25664"/>
    <cellStyle name="常规 4 3 2 5" xfId="25665"/>
    <cellStyle name="常规 4 3 2 5 2" xfId="23047"/>
    <cellStyle name="常规 4 3 2 5 2 2" xfId="7324"/>
    <cellStyle name="常规 4 3 2 5 2 3" xfId="13502"/>
    <cellStyle name="常规 4 3 2 5 2 3 2" xfId="13504"/>
    <cellStyle name="常规 4 3 2 5 3" xfId="23049"/>
    <cellStyle name="常规 4 3 2 5 4" xfId="23051"/>
    <cellStyle name="常规 4 3 2 6" xfId="25666"/>
    <cellStyle name="常规 4 3 3" xfId="6918"/>
    <cellStyle name="常规 4 3 3 2" xfId="20917"/>
    <cellStyle name="常规 4 3 3 2 2" xfId="22607"/>
    <cellStyle name="常规 4 3 3 2 2 2" xfId="15738"/>
    <cellStyle name="常规 4 3 3 2 2 2 2" xfId="68"/>
    <cellStyle name="常规 4 3 3 2 2 2 3" xfId="1115"/>
    <cellStyle name="常规 4 3 3 2 2 2 3 2" xfId="4094"/>
    <cellStyle name="常规 4 3 3 2 2 3" xfId="15741"/>
    <cellStyle name="常规 4 3 3 2 2 4" xfId="15744"/>
    <cellStyle name="常规 4 3 3 2 3" xfId="15325"/>
    <cellStyle name="常规 4 3 3 3" xfId="20919"/>
    <cellStyle name="常规 4 3 3 3 2" xfId="15699"/>
    <cellStyle name="常规 4 3 3 3 2 2" xfId="25667"/>
    <cellStyle name="常规 4 3 3 3 2 3" xfId="25668"/>
    <cellStyle name="常规 4 3 3 3 3" xfId="15702"/>
    <cellStyle name="常规 4 3 3 3 3 2" xfId="25669"/>
    <cellStyle name="常规 4 3 3 3 3 2 2" xfId="25670"/>
    <cellStyle name="常规 4 3 3 3 3 2 3" xfId="25671"/>
    <cellStyle name="常规 4 3 3 3 3 2 3 2" xfId="25672"/>
    <cellStyle name="常规 4 3 3 3 3 3" xfId="25674"/>
    <cellStyle name="常规 4 3 3 3 3 4" xfId="25675"/>
    <cellStyle name="常规 4 3 3 3 4" xfId="15705"/>
    <cellStyle name="常规 4 3 3 4" xfId="20921"/>
    <cellStyle name="常规 4 3 3 4 2" xfId="22616"/>
    <cellStyle name="常规 4 3 3 4 2 2" xfId="25676"/>
    <cellStyle name="常规 4 3 3 4 2 3" xfId="25677"/>
    <cellStyle name="常规 4 3 3 4 2 3 2" xfId="3430"/>
    <cellStyle name="常规 4 3 3 4 3" xfId="22618"/>
    <cellStyle name="常规 4 3 3 4 4" xfId="22620"/>
    <cellStyle name="常规 4 3 3 5" xfId="25678"/>
    <cellStyle name="常规 4 3 4" xfId="7308"/>
    <cellStyle name="常规 4 3 4 2" xfId="7888"/>
    <cellStyle name="常规 4 3 4 2 2" xfId="7892"/>
    <cellStyle name="常规 4 3 4 2 2 2" xfId="7894"/>
    <cellStyle name="常规 4 3 4 2 2 2 2" xfId="7898"/>
    <cellStyle name="常规 4 3 4 2 2 2 3" xfId="7905"/>
    <cellStyle name="常规 4 3 4 2 2 2 3 2" xfId="19246"/>
    <cellStyle name="常规 4 3 4 2 2 3" xfId="7907"/>
    <cellStyle name="常规 4 3 4 2 2 4" xfId="25679"/>
    <cellStyle name="常规 4 3 4 2 3" xfId="7910"/>
    <cellStyle name="常规 4 3 4 3" xfId="6585"/>
    <cellStyle name="常规 4 3 4 3 2" xfId="250"/>
    <cellStyle name="常规 4 3 4 3 2 2" xfId="7921"/>
    <cellStyle name="常规 4 3 4 3 2 3" xfId="7928"/>
    <cellStyle name="常规 4 3 4 3 3" xfId="7940"/>
    <cellStyle name="常规 4 3 4 3 3 2" xfId="25680"/>
    <cellStyle name="常规 4 3 4 3 3 2 2" xfId="25681"/>
    <cellStyle name="常规 4 3 4 3 3 2 3" xfId="14974"/>
    <cellStyle name="常规 4 3 4 3 3 2 3 2" xfId="5123"/>
    <cellStyle name="常规 4 3 4 3 3 3" xfId="25682"/>
    <cellStyle name="常规 4 3 4 3 3 4" xfId="25683"/>
    <cellStyle name="常规 4 3 4 3 4" xfId="22787"/>
    <cellStyle name="常规 4 3 4 4" xfId="6589"/>
    <cellStyle name="常规 4 3 4 4 2" xfId="7944"/>
    <cellStyle name="常规 4 3 4 4 2 2" xfId="25684"/>
    <cellStyle name="常规 4 3 4 4 2 3" xfId="25685"/>
    <cellStyle name="常规 4 3 4 4 2 3 2" xfId="25686"/>
    <cellStyle name="常规 4 3 4 4 3" xfId="7950"/>
    <cellStyle name="常规 4 3 4 4 4" xfId="22794"/>
    <cellStyle name="常规 4 3 4 5" xfId="7954"/>
    <cellStyle name="常规 4 3 5" xfId="7957"/>
    <cellStyle name="常规 4 3 5 2" xfId="4548"/>
    <cellStyle name="常规 4 3 5 2 2" xfId="7960"/>
    <cellStyle name="常规 4 3 5 2 2 2" xfId="6156"/>
    <cellStyle name="常规 4 3 5 2 2 2 2" xfId="6159"/>
    <cellStyle name="常规 4 3 5 2 2 2 3" xfId="6172"/>
    <cellStyle name="常规 4 3 5 2 2 2 3 2" xfId="8356"/>
    <cellStyle name="常规 4 3 5 2 2 3" xfId="296"/>
    <cellStyle name="常规 4 3 5 2 2 4" xfId="25687"/>
    <cellStyle name="常规 4 3 5 2 3" xfId="7963"/>
    <cellStyle name="常规 4 3 5 3" xfId="7966"/>
    <cellStyle name="常规 4 3 5 3 2" xfId="7970"/>
    <cellStyle name="常规 4 3 5 3 2 2" xfId="914"/>
    <cellStyle name="常规 4 3 5 3 2 3" xfId="1294"/>
    <cellStyle name="常规 4 3 5 3 3" xfId="7976"/>
    <cellStyle name="常规 4 3 5 3 3 2" xfId="23243"/>
    <cellStyle name="常规 4 3 5 3 3 2 2" xfId="25688"/>
    <cellStyle name="常规 4 3 5 3 3 2 3" xfId="25690"/>
    <cellStyle name="常规 4 3 5 3 3 2 3 2" xfId="7935"/>
    <cellStyle name="常规 4 3 5 3 3 3" xfId="23245"/>
    <cellStyle name="常规 4 3 5 3 3 4" xfId="23247"/>
    <cellStyle name="常规 4 3 5 3 4" xfId="22914"/>
    <cellStyle name="常规 4 3 5 4" xfId="7979"/>
    <cellStyle name="常规 4 3 5 4 2" xfId="22921"/>
    <cellStyle name="常规 4 3 5 4 2 2" xfId="2257"/>
    <cellStyle name="常规 4 3 5 4 2 3" xfId="2617"/>
    <cellStyle name="常规 4 3 5 4 2 3 2" xfId="2631"/>
    <cellStyle name="常规 4 3 5 4 3" xfId="22923"/>
    <cellStyle name="常规 4 3 5 4 4" xfId="22925"/>
    <cellStyle name="常规 4 3 5 5" xfId="25691"/>
    <cellStyle name="常规 4 3 6" xfId="7983"/>
    <cellStyle name="常规 4 3 6 2" xfId="4554"/>
    <cellStyle name="常规 4 3 6 2 2" xfId="7988"/>
    <cellStyle name="常规 4 3 6 2 3" xfId="7992"/>
    <cellStyle name="常规 4 3 6 3" xfId="7999"/>
    <cellStyle name="常规 4 3 6 3 2" xfId="6300"/>
    <cellStyle name="常规 4 3 6 3 2 2" xfId="130"/>
    <cellStyle name="常规 4 3 6 3 2 3" xfId="2197"/>
    <cellStyle name="常规 4 3 6 3 2 3 2" xfId="25692"/>
    <cellStyle name="常规 4 3 6 3 3" xfId="6304"/>
    <cellStyle name="常规 4 3 6 3 4" xfId="6313"/>
    <cellStyle name="常规 4 3 6 4" xfId="8005"/>
    <cellStyle name="常规 4 3 7" xfId="8011"/>
    <cellStyle name="常规 4 3 7 2" xfId="8016"/>
    <cellStyle name="常规 4 3 7 2 2" xfId="8023"/>
    <cellStyle name="常规 4 3 7 2 3" xfId="8026"/>
    <cellStyle name="常规 4 3 7 2 3 2" xfId="25694"/>
    <cellStyle name="常规 4 3 7 3" xfId="8030"/>
    <cellStyle name="常规 4 3 7 4" xfId="9002"/>
    <cellStyle name="常规 4 3 8" xfId="8033"/>
    <cellStyle name="常规 4 4" xfId="6926"/>
    <cellStyle name="常规 4 4 2" xfId="23297"/>
    <cellStyle name="常规 4 4 2 2" xfId="21264"/>
    <cellStyle name="常规 4 4 2 2 2" xfId="21266"/>
    <cellStyle name="常规 4 4 2 2 2 2" xfId="25696"/>
    <cellStyle name="常规 4 4 2 2 2 2 2" xfId="25699"/>
    <cellStyle name="常规 4 4 2 2 2 2 3" xfId="25702"/>
    <cellStyle name="常规 4 4 2 2 2 3" xfId="25705"/>
    <cellStyle name="常规 4 4 2 2 2 3 2" xfId="25708"/>
    <cellStyle name="常规 4 4 2 2 2 3 2 2" xfId="25711"/>
    <cellStyle name="常规 4 4 2 2 2 3 2 3" xfId="25712"/>
    <cellStyle name="常规 4 4 2 2 2 3 2 3 2" xfId="25713"/>
    <cellStyle name="常规 4 4 2 2 2 3 3" xfId="24009"/>
    <cellStyle name="常规 4 4 2 2 2 3 4" xfId="24013"/>
    <cellStyle name="常规 4 4 2 2 2 4" xfId="25714"/>
    <cellStyle name="常规 4 4 2 2 3" xfId="21269"/>
    <cellStyle name="常规 4 4 2 2 3 2" xfId="25717"/>
    <cellStyle name="常规 4 4 2 2 3 2 2" xfId="25720"/>
    <cellStyle name="常规 4 4 2 2 3 2 3" xfId="25723"/>
    <cellStyle name="常规 4 4 2 2 3 2 3 2" xfId="25726"/>
    <cellStyle name="常规 4 4 2 2 3 3" xfId="25727"/>
    <cellStyle name="常规 4 4 2 2 3 4" xfId="25730"/>
    <cellStyle name="常规 4 4 2 2 4" xfId="21272"/>
    <cellStyle name="常规 4 4 2 3" xfId="13506"/>
    <cellStyle name="常规 4 4 2 3 2" xfId="25733"/>
    <cellStyle name="常规 4 4 2 3 2 2" xfId="25734"/>
    <cellStyle name="常规 4 4 2 3 2 2 2" xfId="25735"/>
    <cellStyle name="常规 4 4 2 3 2 2 2 2" xfId="23560"/>
    <cellStyle name="常规 4 4 2 3 2 2 2 3" xfId="23831"/>
    <cellStyle name="常规 4 4 2 3 2 2 2 3 2" xfId="9060"/>
    <cellStyle name="常规 4 4 2 3 2 2 3" xfId="25736"/>
    <cellStyle name="常规 4 4 2 3 2 2 4" xfId="25737"/>
    <cellStyle name="常规 4 4 2 3 2 3" xfId="25738"/>
    <cellStyle name="常规 4 4 2 3 3" xfId="25739"/>
    <cellStyle name="常规 4 4 2 3 3 2" xfId="25740"/>
    <cellStyle name="常规 4 4 2 3 3 2 2" xfId="25741"/>
    <cellStyle name="常规 4 4 2 3 3 2 3" xfId="25742"/>
    <cellStyle name="常规 4 4 2 3 3 3" xfId="25743"/>
    <cellStyle name="常规 4 4 2 3 3 3 2" xfId="25744"/>
    <cellStyle name="常规 4 4 2 3 3 3 2 2" xfId="25745"/>
    <cellStyle name="常规 4 4 2 3 3 3 2 3" xfId="25746"/>
    <cellStyle name="常规 4 4 2 3 3 3 2 3 2" xfId="25747"/>
    <cellStyle name="常规 4 4 2 3 3 3 3" xfId="25748"/>
    <cellStyle name="常规 4 4 2 3 3 3 4" xfId="25749"/>
    <cellStyle name="常规 4 4 2 3 3 4" xfId="25750"/>
    <cellStyle name="常规 4 4 2 3 4" xfId="25751"/>
    <cellStyle name="常规 4 4 2 3 4 2" xfId="25752"/>
    <cellStyle name="常规 4 4 2 3 4 2 2" xfId="25753"/>
    <cellStyle name="常规 4 4 2 3 4 2 3" xfId="25754"/>
    <cellStyle name="常规 4 4 2 3 4 2 3 2" xfId="25755"/>
    <cellStyle name="常规 4 4 2 3 4 3" xfId="25757"/>
    <cellStyle name="常规 4 4 2 3 4 4" xfId="25758"/>
    <cellStyle name="常规 4 4 2 3 5" xfId="25759"/>
    <cellStyle name="常规 4 4 2 4" xfId="13509"/>
    <cellStyle name="常规 4 4 2 4 2" xfId="25760"/>
    <cellStyle name="常规 4 4 2 4 2 2" xfId="1962"/>
    <cellStyle name="常规 4 4 2 4 2 3" xfId="12766"/>
    <cellStyle name="常规 4 4 2 4 3" xfId="25761"/>
    <cellStyle name="常规 4 4 2 4 3 2" xfId="16050"/>
    <cellStyle name="常规 4 4 2 4 3 2 2" xfId="25762"/>
    <cellStyle name="常规 4 4 2 4 3 2 3" xfId="25763"/>
    <cellStyle name="常规 4 4 2 4 3 2 3 2" xfId="25764"/>
    <cellStyle name="常规 4 4 2 4 3 3" xfId="16060"/>
    <cellStyle name="常规 4 4 2 4 3 4" xfId="10213"/>
    <cellStyle name="常规 4 4 2 4 4" xfId="25765"/>
    <cellStyle name="常规 4 4 2 5" xfId="4184"/>
    <cellStyle name="常规 4 4 2 5 2" xfId="25766"/>
    <cellStyle name="常规 4 4 2 5 2 2" xfId="2992"/>
    <cellStyle name="常规 4 4 2 5 2 3" xfId="2229"/>
    <cellStyle name="常规 4 4 2 5 2 3 2" xfId="2929"/>
    <cellStyle name="常规 4 4 2 5 3" xfId="25767"/>
    <cellStyle name="常规 4 4 2 5 4" xfId="25768"/>
    <cellStyle name="常规 4 4 2 6" xfId="4191"/>
    <cellStyle name="常规 4 4 3" xfId="23299"/>
    <cellStyle name="常规 4 4 3 2" xfId="25769"/>
    <cellStyle name="常规 4 4 3 2 2" xfId="23192"/>
    <cellStyle name="常规 4 4 3 2 2 2" xfId="16616"/>
    <cellStyle name="常规 4 4 3 2 2 2 2" xfId="2472"/>
    <cellStyle name="常规 4 4 3 2 2 2 3" xfId="2493"/>
    <cellStyle name="常规 4 4 3 2 2 3" xfId="16619"/>
    <cellStyle name="常规 4 4 3 2 2 3 2" xfId="2518"/>
    <cellStyle name="常规 4 4 3 2 2 3 2 2" xfId="17202"/>
    <cellStyle name="常规 4 4 3 2 2 3 2 3" xfId="17207"/>
    <cellStyle name="常规 4 4 3 2 2 3 2 3 2" xfId="25770"/>
    <cellStyle name="常规 4 4 3 2 2 3 3" xfId="25771"/>
    <cellStyle name="常规 4 4 3 2 2 3 4" xfId="25773"/>
    <cellStyle name="常规 4 4 3 2 2 4" xfId="16622"/>
    <cellStyle name="常规 4 4 3 2 3" xfId="23194"/>
    <cellStyle name="常规 4 4 3 2 3 2" xfId="16635"/>
    <cellStyle name="常规 4 4 3 2 3 2 2" xfId="25774"/>
    <cellStyle name="常规 4 4 3 2 3 2 3" xfId="25777"/>
    <cellStyle name="常规 4 4 3 2 3 2 3 2" xfId="5341"/>
    <cellStyle name="常规 4 4 3 2 3 3" xfId="16638"/>
    <cellStyle name="常规 4 4 3 2 3 4" xfId="16641"/>
    <cellStyle name="常规 4 4 3 2 4" xfId="23196"/>
    <cellStyle name="常规 4 4 3 3" xfId="25780"/>
    <cellStyle name="常规 4 4 3 3 2" xfId="23202"/>
    <cellStyle name="常规 4 4 3 3 2 2" xfId="25781"/>
    <cellStyle name="常规 4 4 3 3 2 2 2" xfId="25782"/>
    <cellStyle name="常规 4 4 3 3 2 2 2 2" xfId="2698"/>
    <cellStyle name="常规 4 4 3 3 2 2 2 3" xfId="2719"/>
    <cellStyle name="常规 4 4 3 3 2 2 2 3 2" xfId="14348"/>
    <cellStyle name="常规 4 4 3 3 2 2 3" xfId="25783"/>
    <cellStyle name="常规 4 4 3 3 2 2 4" xfId="25784"/>
    <cellStyle name="常规 4 4 3 3 2 3" xfId="15457"/>
    <cellStyle name="常规 4 4 3 3 3" xfId="23204"/>
    <cellStyle name="常规 4 4 3 3 3 2" xfId="25785"/>
    <cellStyle name="常规 4 4 3 3 3 2 2" xfId="25786"/>
    <cellStyle name="常规 4 4 3 3 3 2 3" xfId="25787"/>
    <cellStyle name="常规 4 4 3 3 3 3" xfId="25788"/>
    <cellStyle name="常规 4 4 3 3 3 3 2" xfId="25789"/>
    <cellStyle name="常规 4 4 3 3 3 3 2 2" xfId="25791"/>
    <cellStyle name="常规 4 4 3 3 3 3 2 3" xfId="25792"/>
    <cellStyle name="常规 4 4 3 3 3 3 2 3 2" xfId="868"/>
    <cellStyle name="常规 4 4 3 3 3 3 3" xfId="25793"/>
    <cellStyle name="常规 4 4 3 3 3 3 4" xfId="25794"/>
    <cellStyle name="常规 4 4 3 3 3 4" xfId="25795"/>
    <cellStyle name="常规 4 4 3 3 4" xfId="23206"/>
    <cellStyle name="常规 4 4 3 3 4 2" xfId="25796"/>
    <cellStyle name="常规 4 4 3 3 4 2 2" xfId="25797"/>
    <cellStyle name="常规 4 4 3 3 4 2 3" xfId="25799"/>
    <cellStyle name="常规 4 4 3 3 4 2 3 2" xfId="24234"/>
    <cellStyle name="常规 4 4 3 3 4 3" xfId="25800"/>
    <cellStyle name="常规 4 4 3 3 4 4" xfId="25801"/>
    <cellStyle name="常规 4 4 3 3 5" xfId="23208"/>
    <cellStyle name="常规 4 4 3 4" xfId="25802"/>
    <cellStyle name="常规 4 4 3 4 2" xfId="23217"/>
    <cellStyle name="常规 4 4 3 4 2 2" xfId="25803"/>
    <cellStyle name="常规 4 4 3 4 2 2 2" xfId="25804"/>
    <cellStyle name="常规 4 4 3 4 2 2 3" xfId="25805"/>
    <cellStyle name="常规 4 4 3 4 2 3" xfId="25806"/>
    <cellStyle name="常规 4 4 3 4 2 3 2" xfId="25808"/>
    <cellStyle name="常规 4 4 3 4 2 3 2 2" xfId="25809"/>
    <cellStyle name="常规 4 4 3 4 2 3 2 3" xfId="25811"/>
    <cellStyle name="常规 4 4 3 4 2 3 2 3 2" xfId="10520"/>
    <cellStyle name="常规 4 4 3 4 2 3 3" xfId="25813"/>
    <cellStyle name="常规 4 4 3 4 2 3 4" xfId="25814"/>
    <cellStyle name="常规 4 4 3 4 2 4" xfId="25815"/>
    <cellStyle name="常规 4 4 3 4 3" xfId="1943"/>
    <cellStyle name="常规 4 4 3 4 3 2" xfId="10013"/>
    <cellStyle name="常规 4 4 3 4 3 2 2" xfId="10021"/>
    <cellStyle name="常规 4 4 3 4 3 2 3" xfId="10026"/>
    <cellStyle name="常规 4 4 3 4 3 2 3 2" xfId="25817"/>
    <cellStyle name="常规 4 4 3 4 3 3" xfId="10033"/>
    <cellStyle name="常规 4 4 3 4 3 4" xfId="25818"/>
    <cellStyle name="常规 4 4 3 4 4" xfId="2149"/>
    <cellStyle name="常规 4 4 3 5" xfId="25819"/>
    <cellStyle name="常规 4 4 3 5 2" xfId="23226"/>
    <cellStyle name="常规 4 4 3 5 2 2" xfId="25820"/>
    <cellStyle name="常规 4 4 3 5 2 3" xfId="2586"/>
    <cellStyle name="常规 4 4 3 5 3" xfId="9366"/>
    <cellStyle name="常规 4 4 3 5 3 2" xfId="3241"/>
    <cellStyle name="常规 4 4 3 5 3 2 2" xfId="18228"/>
    <cellStyle name="常规 4 4 3 5 3 2 3" xfId="18235"/>
    <cellStyle name="常规 4 4 3 5 3 2 3 2" xfId="25821"/>
    <cellStyle name="常规 4 4 3 5 3 3" xfId="4405"/>
    <cellStyle name="常规 4 4 3 5 3 4" xfId="2751"/>
    <cellStyle name="常规 4 4 3 5 4" xfId="9729"/>
    <cellStyle name="常规 4 4 3 6" xfId="25822"/>
    <cellStyle name="常规 4 4 3 6 2" xfId="22387"/>
    <cellStyle name="常规 4 4 3 6 2 2" xfId="25823"/>
    <cellStyle name="常规 4 4 3 6 2 3" xfId="2893"/>
    <cellStyle name="常规 4 4 3 6 2 3 2" xfId="4424"/>
    <cellStyle name="常规 4 4 3 6 3" xfId="10088"/>
    <cellStyle name="常规 4 4 3 6 4" xfId="10097"/>
    <cellStyle name="常规 4 4 3 7" xfId="25824"/>
    <cellStyle name="常规 4 4 4" xfId="3908"/>
    <cellStyle name="常规 4 4 4 2" xfId="6431"/>
    <cellStyle name="常规 4 4 4 2 2" xfId="6436"/>
    <cellStyle name="常规 4 4 4 2 2 2" xfId="8041"/>
    <cellStyle name="常规 4 4 4 2 2 2 2" xfId="1579"/>
    <cellStyle name="常规 4 4 4 2 2 2 3" xfId="8045"/>
    <cellStyle name="常规 4 4 4 2 2 2 3 2" xfId="25825"/>
    <cellStyle name="常规 4 4 4 2 2 3" xfId="8048"/>
    <cellStyle name="常规 4 4 4 2 2 4" xfId="25826"/>
    <cellStyle name="常规 4 4 4 2 3" xfId="6444"/>
    <cellStyle name="常规 4 4 4 3" xfId="6449"/>
    <cellStyle name="常规 4 4 4 3 2" xfId="8066"/>
    <cellStyle name="常规 4 4 4 3 2 2" xfId="8071"/>
    <cellStyle name="常规 4 4 4 3 2 3" xfId="8076"/>
    <cellStyle name="常规 4 4 4 3 3" xfId="8086"/>
    <cellStyle name="常规 4 4 4 3 3 2" xfId="18292"/>
    <cellStyle name="常规 4 4 4 3 3 2 2" xfId="14089"/>
    <cellStyle name="常规 4 4 4 3 3 2 3" xfId="14094"/>
    <cellStyle name="常规 4 4 4 3 3 2 3 2" xfId="25829"/>
    <cellStyle name="常规 4 4 4 3 3 3" xfId="18300"/>
    <cellStyle name="常规 4 4 4 3 3 4" xfId="18310"/>
    <cellStyle name="常规 4 4 4 3 4" xfId="23341"/>
    <cellStyle name="常规 4 4 4 4" xfId="7063"/>
    <cellStyle name="常规 4 4 4 4 2" xfId="8094"/>
    <cellStyle name="常规 4 4 4 4 2 2" xfId="25830"/>
    <cellStyle name="常规 4 4 4 4 2 3" xfId="18654"/>
    <cellStyle name="常规 4 4 4 4 2 3 2" xfId="25831"/>
    <cellStyle name="常规 4 4 4 4 3" xfId="8103"/>
    <cellStyle name="常规 4 4 4 4 4" xfId="2238"/>
    <cellStyle name="常规 4 4 4 5" xfId="5015"/>
    <cellStyle name="常规 4 4 5" xfId="6454"/>
    <cellStyle name="常规 4 4 5 2" xfId="4583"/>
    <cellStyle name="常规 4 4 5 2 2" xfId="7054"/>
    <cellStyle name="常规 4 4 5 2 3" xfId="8111"/>
    <cellStyle name="常规 4 4 5 3" xfId="14"/>
    <cellStyle name="常规 4 4 5 3 2" xfId="8117"/>
    <cellStyle name="常规 4 4 5 3 2 2" xfId="11290"/>
    <cellStyle name="常规 4 4 5 3 2 3" xfId="11400"/>
    <cellStyle name="常规 4 4 5 3 2 3 2" xfId="11404"/>
    <cellStyle name="常规 4 4 5 3 3" xfId="8122"/>
    <cellStyle name="常规 4 4 5 3 4" xfId="23495"/>
    <cellStyle name="常规 4 4 5 4" xfId="8132"/>
    <cellStyle name="常规 4 4 6" xfId="6460"/>
    <cellStyle name="常规 4 4 6 2" xfId="4592"/>
    <cellStyle name="常规 4 4 6 2 2" xfId="8136"/>
    <cellStyle name="常规 4 4 6 2 3" xfId="8140"/>
    <cellStyle name="常规 4 4 6 2 3 2" xfId="25833"/>
    <cellStyle name="常规 4 4 6 3" xfId="8144"/>
    <cellStyle name="常规 4 4 6 4" xfId="8150"/>
    <cellStyle name="常规 4 4 7" xfId="8154"/>
    <cellStyle name="常规 4 5" xfId="4461"/>
    <cellStyle name="常规 4 5 2" xfId="23303"/>
    <cellStyle name="常规 4 5 2 2" xfId="25836"/>
    <cellStyle name="常规 4 5 2 2 2" xfId="25837"/>
    <cellStyle name="常规 4 5 2 2 2 2" xfId="25838"/>
    <cellStyle name="常规 4 5 2 2 2 3" xfId="4938"/>
    <cellStyle name="常规 4 5 2 2 3" xfId="25839"/>
    <cellStyle name="常规 4 5 2 2 3 2" xfId="23764"/>
    <cellStyle name="常规 4 5 2 2 3 2 2" xfId="25841"/>
    <cellStyle name="常规 4 5 2 2 3 2 3" xfId="25843"/>
    <cellStyle name="常规 4 5 2 2 3 2 3 2" xfId="25846"/>
    <cellStyle name="常规 4 5 2 2 3 3" xfId="25848"/>
    <cellStyle name="常规 4 5 2 2 3 4" xfId="25850"/>
    <cellStyle name="常规 4 5 2 2 4" xfId="25852"/>
    <cellStyle name="常规 4 5 2 3" xfId="25854"/>
    <cellStyle name="常规 4 5 2 3 2" xfId="25855"/>
    <cellStyle name="常规 4 5 2 3 2 2" xfId="20674"/>
    <cellStyle name="常规 4 5 2 3 2 3" xfId="20677"/>
    <cellStyle name="常规 4 5 2 3 2 3 2" xfId="9480"/>
    <cellStyle name="常规 4 5 2 3 3" xfId="25856"/>
    <cellStyle name="常规 4 5 2 3 4" xfId="25857"/>
    <cellStyle name="常规 4 5 2 4" xfId="23842"/>
    <cellStyle name="常规 4 5 3" xfId="23305"/>
    <cellStyle name="常规 4 5 3 2" xfId="25858"/>
    <cellStyle name="常规 4 5 3 2 2" xfId="23698"/>
    <cellStyle name="常规 4 5 3 2 2 2" xfId="25859"/>
    <cellStyle name="常规 4 5 3 2 2 2 2" xfId="2809"/>
    <cellStyle name="常规 4 5 3 2 2 2 3" xfId="25860"/>
    <cellStyle name="常规 4 5 3 2 2 2 3 2" xfId="25861"/>
    <cellStyle name="常规 4 5 3 2 2 3" xfId="25862"/>
    <cellStyle name="常规 4 5 3 2 2 4" xfId="25863"/>
    <cellStyle name="常规 4 5 3 2 3" xfId="23700"/>
    <cellStyle name="常规 4 5 3 3" xfId="25864"/>
    <cellStyle name="常规 4 5 3 3 2" xfId="23709"/>
    <cellStyle name="常规 4 5 3 3 2 2" xfId="25865"/>
    <cellStyle name="常规 4 5 3 3 2 3" xfId="25866"/>
    <cellStyle name="常规 4 5 3 3 3" xfId="23711"/>
    <cellStyle name="常规 4 5 3 3 3 2" xfId="25867"/>
    <cellStyle name="常规 4 5 3 3 3 2 2" xfId="25868"/>
    <cellStyle name="常规 4 5 3 3 3 2 3" xfId="25869"/>
    <cellStyle name="常规 4 5 3 3 3 2 3 2" xfId="25870"/>
    <cellStyle name="常规 4 5 3 3 3 3" xfId="25871"/>
    <cellStyle name="常规 4 5 3 3 3 4" xfId="25872"/>
    <cellStyle name="常规 4 5 3 3 4" xfId="23713"/>
    <cellStyle name="常规 4 5 3 4" xfId="23853"/>
    <cellStyle name="常规 4 5 3 4 2" xfId="23723"/>
    <cellStyle name="常规 4 5 3 4 2 2" xfId="25873"/>
    <cellStyle name="常规 4 5 3 4 2 3" xfId="25874"/>
    <cellStyle name="常规 4 5 3 4 2 3 2" xfId="19504"/>
    <cellStyle name="常规 4 5 3 4 3" xfId="691"/>
    <cellStyle name="常规 4 5 3 4 4" xfId="2514"/>
    <cellStyle name="常规 4 5 3 5" xfId="23855"/>
    <cellStyle name="常规 4 5 4" xfId="6482"/>
    <cellStyle name="常规 4 5 4 2" xfId="6485"/>
    <cellStyle name="常规 4 5 4 2 2" xfId="7559"/>
    <cellStyle name="常规 4 5 4 2 2 2" xfId="8179"/>
    <cellStyle name="常规 4 5 4 2 2 3" xfId="8188"/>
    <cellStyle name="常规 4 5 4 2 3" xfId="8194"/>
    <cellStyle name="常规 4 5 4 2 3 2" xfId="8199"/>
    <cellStyle name="常规 4 5 4 2 3 2 2" xfId="25875"/>
    <cellStyle name="常规 4 5 4 2 3 2 3" xfId="17990"/>
    <cellStyle name="常规 4 5 4 2 3 2 3 2" xfId="15299"/>
    <cellStyle name="常规 4 5 4 2 3 3" xfId="8204"/>
    <cellStyle name="常规 4 5 4 2 3 4" xfId="25876"/>
    <cellStyle name="常规 4 5 4 2 4" xfId="8210"/>
    <cellStyle name="常规 4 5 4 3" xfId="723"/>
    <cellStyle name="常规 4 5 4 3 2" xfId="731"/>
    <cellStyle name="常规 4 5 4 3 2 2" xfId="740"/>
    <cellStyle name="常规 4 5 4 3 2 3" xfId="754"/>
    <cellStyle name="常规 4 5 4 3 2 3 2" xfId="25877"/>
    <cellStyle name="常规 4 5 4 3 3" xfId="773"/>
    <cellStyle name="常规 4 5 4 3 4" xfId="23785"/>
    <cellStyle name="常规 4 5 4 4" xfId="796"/>
    <cellStyle name="常规 4 5 5" xfId="6492"/>
    <cellStyle name="常规 4 5 5 2" xfId="3376"/>
    <cellStyle name="常规 4 5 5 2 2" xfId="8213"/>
    <cellStyle name="常规 4 5 5 2 3" xfId="8216"/>
    <cellStyle name="常规 4 5 5 3" xfId="861"/>
    <cellStyle name="常规 4 5 5 3 2" xfId="880"/>
    <cellStyle name="常规 4 5 5 3 2 2" xfId="25878"/>
    <cellStyle name="常规 4 5 5 3 2 3" xfId="25879"/>
    <cellStyle name="常规 4 5 5 3 2 3 2" xfId="25880"/>
    <cellStyle name="常规 4 5 5 3 3" xfId="120"/>
    <cellStyle name="常规 4 5 5 3 4" xfId="25881"/>
    <cellStyle name="常规 4 5 5 4" xfId="888"/>
    <cellStyle name="常规 4 5 6" xfId="8219"/>
    <cellStyle name="常规 4 5 6 2" xfId="8222"/>
    <cellStyle name="常规 4 5 6 2 2" xfId="8225"/>
    <cellStyle name="常规 4 5 6 2 3" xfId="8228"/>
    <cellStyle name="常规 4 5 6 2 3 2" xfId="15340"/>
    <cellStyle name="常规 4 5 6 3" xfId="903"/>
    <cellStyle name="常规 4 5 6 4" xfId="907"/>
    <cellStyle name="常规 4 5 7" xfId="8232"/>
    <cellStyle name="常规 4 6" xfId="4472"/>
    <cellStyle name="常规 4 6 2" xfId="23310"/>
    <cellStyle name="常规 4 6 2 2" xfId="25882"/>
    <cellStyle name="常规 4 6 2 2 2" xfId="25884"/>
    <cellStyle name="常规 4 6 2 2 2 2" xfId="10546"/>
    <cellStyle name="常规 4 6 2 2 2 3" xfId="10568"/>
    <cellStyle name="常规 4 6 2 2 2 3 2" xfId="25885"/>
    <cellStyle name="常规 4 6 2 2 3" xfId="25887"/>
    <cellStyle name="常规 4 6 2 2 4" xfId="25888"/>
    <cellStyle name="常规 4 6 2 3" xfId="20233"/>
    <cellStyle name="常规 4 6 3" xfId="23314"/>
    <cellStyle name="常规 4 6 3 2" xfId="25889"/>
    <cellStyle name="常规 4 6 3 2 2" xfId="23971"/>
    <cellStyle name="常规 4 6 3 2 3" xfId="23973"/>
    <cellStyle name="常规 4 6 3 3" xfId="25890"/>
    <cellStyle name="常规 4 6 3 3 2" xfId="23978"/>
    <cellStyle name="常规 4 6 3 3 2 2" xfId="10887"/>
    <cellStyle name="常规 4 6 3 3 2 3" xfId="25891"/>
    <cellStyle name="常规 4 6 3 3 2 3 2" xfId="25892"/>
    <cellStyle name="常规 4 6 3 3 3" xfId="23980"/>
    <cellStyle name="常规 4 6 3 3 4" xfId="17542"/>
    <cellStyle name="常规 4 6 3 4" xfId="25893"/>
    <cellStyle name="常规 4 6 4" xfId="6510"/>
    <cellStyle name="常规 4 6 4 2" xfId="6513"/>
    <cellStyle name="常规 4 6 4 2 2" xfId="7728"/>
    <cellStyle name="常规 4 6 4 2 3" xfId="8260"/>
    <cellStyle name="常规 4 6 4 2 3 2" xfId="11084"/>
    <cellStyle name="常规 4 6 4 3" xfId="1171"/>
    <cellStyle name="常规 4 6 4 4" xfId="1220"/>
    <cellStyle name="常规 4 6 5" xfId="6520"/>
    <cellStyle name="常规 4 7" xfId="25894"/>
    <cellStyle name="常规 4 7 2" xfId="23319"/>
    <cellStyle name="常规 4 7 2 2" xfId="25896"/>
    <cellStyle name="常规 4 7 2 2 2" xfId="25897"/>
    <cellStyle name="常规 4 7 2 2 2 2" xfId="25898"/>
    <cellStyle name="常规 4 7 2 2 2 3" xfId="25899"/>
    <cellStyle name="常规 4 7 2 2 2 3 2" xfId="25901"/>
    <cellStyle name="常规 4 7 2 2 3" xfId="25903"/>
    <cellStyle name="常规 4 7 2 2 4" xfId="25905"/>
    <cellStyle name="常规 4 7 2 3" xfId="25907"/>
    <cellStyle name="常规 4 7 3" xfId="23321"/>
    <cellStyle name="常规 4 7 3 2" xfId="25908"/>
    <cellStyle name="常规 4 7 3 2 2" xfId="24164"/>
    <cellStyle name="常规 4 7 3 2 3" xfId="24166"/>
    <cellStyle name="常规 4 7 3 3" xfId="25909"/>
    <cellStyle name="常规 4 7 3 3 2" xfId="24177"/>
    <cellStyle name="常规 4 7 3 3 2 2" xfId="21583"/>
    <cellStyle name="常规 4 7 3 3 2 3" xfId="21587"/>
    <cellStyle name="常规 4 7 3 3 2 3 2" xfId="25910"/>
    <cellStyle name="常规 4 7 3 3 3" xfId="24180"/>
    <cellStyle name="常规 4 7 3 3 4" xfId="24183"/>
    <cellStyle name="常规 4 7 3 4" xfId="25911"/>
    <cellStyle name="常规 4 7 4" xfId="6531"/>
    <cellStyle name="常规 4 7 4 2" xfId="8275"/>
    <cellStyle name="常规 4 7 4 2 2" xfId="8283"/>
    <cellStyle name="常规 4 7 4 2 3" xfId="8286"/>
    <cellStyle name="常规 4 7 4 2 3 2" xfId="18796"/>
    <cellStyle name="常规 4 7 4 3" xfId="1486"/>
    <cellStyle name="常规 4 7 4 4" xfId="19425"/>
    <cellStyle name="常规 4 7 5" xfId="8289"/>
    <cellStyle name="常规 4 8" xfId="25912"/>
    <cellStyle name="常规 4 8 2" xfId="25913"/>
    <cellStyle name="常规 4 8 2 2" xfId="25914"/>
    <cellStyle name="常规 4 8 2 3" xfId="25915"/>
    <cellStyle name="常规 4 8 3" xfId="25916"/>
    <cellStyle name="常规 4 8 3 2" xfId="25917"/>
    <cellStyle name="常规 4 8 3 2 2" xfId="25918"/>
    <cellStyle name="常规 4 8 3 2 3" xfId="25919"/>
    <cellStyle name="常规 4 8 3 2 3 2" xfId="25920"/>
    <cellStyle name="常规 4 8 3 3" xfId="25921"/>
    <cellStyle name="常规 4 8 3 4" xfId="25922"/>
    <cellStyle name="常规 4 8 4" xfId="4616"/>
    <cellStyle name="常规 4 9" xfId="25923"/>
    <cellStyle name="常规 4 9 2" xfId="25925"/>
    <cellStyle name="常规 4 9 2 2" xfId="25926"/>
    <cellStyle name="常规 4 9 2 3" xfId="25927"/>
    <cellStyle name="常规 4 9 2 3 2" xfId="25622"/>
    <cellStyle name="常规 4 9 3" xfId="25928"/>
    <cellStyle name="常规 4 9 4" xfId="4796"/>
    <cellStyle name="常规 5" xfId="20478"/>
    <cellStyle name="常规 5 10" xfId="25929"/>
    <cellStyle name="常规 5 2" xfId="25930"/>
    <cellStyle name="常规 5 2 2" xfId="4998"/>
    <cellStyle name="常规 5 2 2 2" xfId="25931"/>
    <cellStyle name="常规 5 2 2 2 2" xfId="8206"/>
    <cellStyle name="常规 5 2 2 2 2 2" xfId="25932"/>
    <cellStyle name="常规 5 2 2 2 2 2 2" xfId="25934"/>
    <cellStyle name="常规 5 2 2 2 2 2 2 2" xfId="21017"/>
    <cellStyle name="常规 5 2 2 2 2 2 2 3" xfId="21020"/>
    <cellStyle name="常规 5 2 2 2 2 2 2 3 2" xfId="16324"/>
    <cellStyle name="常规 5 2 2 2 2 2 3" xfId="25936"/>
    <cellStyle name="常规 5 2 2 2 2 2 4" xfId="25938"/>
    <cellStyle name="常规 5 2 2 2 2 3" xfId="4225"/>
    <cellStyle name="常规 5 2 2 2 3" xfId="19421"/>
    <cellStyle name="常规 5 2 2 2 3 2" xfId="25940"/>
    <cellStyle name="常规 5 2 2 2 3 2 2" xfId="23039"/>
    <cellStyle name="常规 5 2 2 2 3 2 3" xfId="10206"/>
    <cellStyle name="常规 5 2 2 2 3 3" xfId="25942"/>
    <cellStyle name="常规 5 2 2 2 3 3 2" xfId="25944"/>
    <cellStyle name="常规 5 2 2 2 3 3 2 2" xfId="4096"/>
    <cellStyle name="常规 5 2 2 2 3 3 2 3" xfId="4124"/>
    <cellStyle name="常规 5 2 2 2 3 3 2 3 2" xfId="4000"/>
    <cellStyle name="常规 5 2 2 2 3 3 3" xfId="10226"/>
    <cellStyle name="常规 5 2 2 2 3 3 4" xfId="10229"/>
    <cellStyle name="常规 5 2 2 2 3 4" xfId="25946"/>
    <cellStyle name="常规 5 2 2 2 4" xfId="25948"/>
    <cellStyle name="常规 5 2 2 2 4 2" xfId="25949"/>
    <cellStyle name="常规 5 2 2 2 4 2 2" xfId="25951"/>
    <cellStyle name="常规 5 2 2 2 4 2 3" xfId="9600"/>
    <cellStyle name="常规 5 2 2 2 4 2 3 2" xfId="20299"/>
    <cellStyle name="常规 5 2 2 2 4 3" xfId="25953"/>
    <cellStyle name="常规 5 2 2 2 4 4" xfId="25955"/>
    <cellStyle name="常规 5 2 2 2 5" xfId="25956"/>
    <cellStyle name="常规 5 2 2 3" xfId="25957"/>
    <cellStyle name="常规 5 2 2 3 2" xfId="25958"/>
    <cellStyle name="常规 5 2 2 3 2 2" xfId="20532"/>
    <cellStyle name="常规 5 2 2 3 2 2 2" xfId="25959"/>
    <cellStyle name="常规 5 2 2 3 2 2 3" xfId="25960"/>
    <cellStyle name="常规 5 2 2 3 2 3" xfId="20535"/>
    <cellStyle name="常规 5 2 2 3 2 3 2" xfId="25961"/>
    <cellStyle name="常规 5 2 2 3 2 3 2 2" xfId="25962"/>
    <cellStyle name="常规 5 2 2 3 2 3 2 3" xfId="25963"/>
    <cellStyle name="常规 5 2 2 3 2 3 2 3 2" xfId="25964"/>
    <cellStyle name="常规 5 2 2 3 2 3 3" xfId="25966"/>
    <cellStyle name="常规 5 2 2 3 2 3 4" xfId="25968"/>
    <cellStyle name="常规 5 2 2 3 2 4" xfId="20537"/>
    <cellStyle name="常规 5 2 2 3 3" xfId="25971"/>
    <cellStyle name="常规 5 2 2 3 3 2" xfId="17968"/>
    <cellStyle name="常规 5 2 2 3 3 2 2" xfId="25972"/>
    <cellStyle name="常规 5 2 2 3 3 2 3" xfId="10242"/>
    <cellStyle name="常规 5 2 2 3 3 2 3 2" xfId="25974"/>
    <cellStyle name="常规 5 2 2 3 3 3" xfId="25975"/>
    <cellStyle name="常规 5 2 2 3 3 4" xfId="25977"/>
    <cellStyle name="常规 5 2 2 3 4" xfId="25978"/>
    <cellStyle name="常规 5 2 2 4" xfId="25979"/>
    <cellStyle name="常规 5 2 2 4 2" xfId="25980"/>
    <cellStyle name="常规 5 2 2 4 2 2" xfId="25981"/>
    <cellStyle name="常规 5 2 2 4 2 3" xfId="25982"/>
    <cellStyle name="常规 5 2 2 4 3" xfId="25984"/>
    <cellStyle name="常规 5 2 2 4 3 2" xfId="25985"/>
    <cellStyle name="常规 5 2 2 4 3 2 2" xfId="25987"/>
    <cellStyle name="常规 5 2 2 4 3 2 3" xfId="10147"/>
    <cellStyle name="常规 5 2 2 4 3 2 3 2" xfId="23968"/>
    <cellStyle name="常规 5 2 2 4 3 3" xfId="25988"/>
    <cellStyle name="常规 5 2 2 4 3 4" xfId="995"/>
    <cellStyle name="常规 5 2 2 4 4" xfId="25989"/>
    <cellStyle name="常规 5 2 2 5" xfId="25990"/>
    <cellStyle name="常规 5 2 2 5 2" xfId="25991"/>
    <cellStyle name="常规 5 2 2 5 2 2" xfId="25992"/>
    <cellStyle name="常规 5 2 2 5 2 3" xfId="25993"/>
    <cellStyle name="常规 5 2 2 5 2 3 2" xfId="25995"/>
    <cellStyle name="常规 5 2 2 5 3" xfId="25996"/>
    <cellStyle name="常规 5 2 2 5 4" xfId="25997"/>
    <cellStyle name="常规 5 2 2 6" xfId="11135"/>
    <cellStyle name="常规 5 2 3" xfId="7312"/>
    <cellStyle name="常规 5 2 3 2" xfId="15964"/>
    <cellStyle name="常规 5 2 3 2 2" xfId="25998"/>
    <cellStyle name="常规 5 2 3 2 2 2" xfId="19120"/>
    <cellStyle name="常规 5 2 3 2 2 2 2" xfId="18423"/>
    <cellStyle name="常规 5 2 3 2 2 2 3" xfId="25999"/>
    <cellStyle name="常规 5 2 3 2 2 2 3 2" xfId="961"/>
    <cellStyle name="常规 5 2 3 2 2 3" xfId="13776"/>
    <cellStyle name="常规 5 2 3 2 2 4" xfId="13781"/>
    <cellStyle name="常规 5 2 3 2 3" xfId="26001"/>
    <cellStyle name="常规 5 2 3 3" xfId="15966"/>
    <cellStyle name="常规 5 2 3 3 2" xfId="26002"/>
    <cellStyle name="常规 5 2 3 3 2 2" xfId="17410"/>
    <cellStyle name="常规 5 2 3 3 2 3" xfId="19265"/>
    <cellStyle name="常规 5 2 3 3 3" xfId="26003"/>
    <cellStyle name="常规 5 2 3 3 3 2" xfId="19269"/>
    <cellStyle name="常规 5 2 3 3 3 2 2" xfId="26004"/>
    <cellStyle name="常规 5 2 3 3 3 2 3" xfId="26006"/>
    <cellStyle name="常规 5 2 3 3 3 2 3 2" xfId="26008"/>
    <cellStyle name="常规 5 2 3 3 3 3" xfId="19272"/>
    <cellStyle name="常规 5 2 3 3 3 4" xfId="11869"/>
    <cellStyle name="常规 5 2 3 3 4" xfId="26010"/>
    <cellStyle name="常规 5 2 3 4" xfId="12675"/>
    <cellStyle name="常规 5 2 3 4 2" xfId="26011"/>
    <cellStyle name="常规 5 2 3 4 2 2" xfId="19310"/>
    <cellStyle name="常规 5 2 3 4 2 3" xfId="19312"/>
    <cellStyle name="常规 5 2 3 4 2 3 2" xfId="26012"/>
    <cellStyle name="常规 5 2 3 4 3" xfId="26013"/>
    <cellStyle name="常规 5 2 3 4 4" xfId="26014"/>
    <cellStyle name="常规 5 2 3 5" xfId="12683"/>
    <cellStyle name="常规 5 2 4" xfId="7317"/>
    <cellStyle name="常规 5 2 4 2" xfId="15972"/>
    <cellStyle name="常规 5 2 4 2 2" xfId="26015"/>
    <cellStyle name="常规 5 2 4 2 2 2" xfId="14123"/>
    <cellStyle name="常规 5 2 4 2 2 2 2" xfId="26016"/>
    <cellStyle name="常规 5 2 4 2 2 2 3" xfId="5194"/>
    <cellStyle name="常规 5 2 4 2 2 2 3 2" xfId="1332"/>
    <cellStyle name="常规 5 2 4 2 2 3" xfId="14130"/>
    <cellStyle name="常规 5 2 4 2 2 4" xfId="14135"/>
    <cellStyle name="常规 5 2 4 2 3" xfId="26018"/>
    <cellStyle name="常规 5 2 4 3" xfId="14672"/>
    <cellStyle name="常规 5 2 4 3 2" xfId="26019"/>
    <cellStyle name="常规 5 2 4 3 2 2" xfId="26020"/>
    <cellStyle name="常规 5 2 4 3 2 3" xfId="26022"/>
    <cellStyle name="常规 5 2 4 3 3" xfId="26023"/>
    <cellStyle name="常规 5 2 4 3 3 2" xfId="26024"/>
    <cellStyle name="常规 5 2 4 3 3 2 2" xfId="26026"/>
    <cellStyle name="常规 5 2 4 3 3 2 3" xfId="26027"/>
    <cellStyle name="常规 5 2 4 3 3 2 3 2" xfId="25350"/>
    <cellStyle name="常规 5 2 4 3 3 3" xfId="26028"/>
    <cellStyle name="常规 5 2 4 3 3 4" xfId="26029"/>
    <cellStyle name="常规 5 2 4 3 4" xfId="26030"/>
    <cellStyle name="常规 5 2 4 4" xfId="12695"/>
    <cellStyle name="常规 5 2 4 4 2" xfId="26031"/>
    <cellStyle name="常规 5 2 4 4 2 2" xfId="26032"/>
    <cellStyle name="常规 5 2 4 4 2 3" xfId="26033"/>
    <cellStyle name="常规 5 2 4 4 2 3 2" xfId="5284"/>
    <cellStyle name="常规 5 2 4 4 3" xfId="26034"/>
    <cellStyle name="常规 5 2 4 4 4" xfId="26035"/>
    <cellStyle name="常规 5 2 4 5" xfId="12704"/>
    <cellStyle name="常规 5 2 5" xfId="16811"/>
    <cellStyle name="常规 5 2 5 2" xfId="15978"/>
    <cellStyle name="常规 5 2 5 2 2" xfId="26036"/>
    <cellStyle name="常规 5 2 5 2 2 2" xfId="26037"/>
    <cellStyle name="常规 5 2 5 2 2 2 2" xfId="26039"/>
    <cellStyle name="常规 5 2 5 2 2 2 3" xfId="26041"/>
    <cellStyle name="常规 5 2 5 2 2 2 3 2" xfId="12361"/>
    <cellStyle name="常规 5 2 5 2 2 3" xfId="26043"/>
    <cellStyle name="常规 5 2 5 2 2 4" xfId="26045"/>
    <cellStyle name="常规 5 2 5 2 3" xfId="26046"/>
    <cellStyle name="常规 5 2 5 3" xfId="15980"/>
    <cellStyle name="常规 5 2 5 3 2" xfId="26047"/>
    <cellStyle name="常规 5 2 5 3 2 2" xfId="26048"/>
    <cellStyle name="常规 5 2 5 3 2 3" xfId="26051"/>
    <cellStyle name="常规 5 2 5 3 3" xfId="26052"/>
    <cellStyle name="常规 5 2 5 3 3 2" xfId="2680"/>
    <cellStyle name="常规 5 2 5 3 3 2 2" xfId="16968"/>
    <cellStyle name="常规 5 2 5 3 3 2 3" xfId="16994"/>
    <cellStyle name="常规 5 2 5 3 3 2 3 2" xfId="16997"/>
    <cellStyle name="常规 5 2 5 3 3 3" xfId="24386"/>
    <cellStyle name="常规 5 2 5 3 3 4" xfId="26053"/>
    <cellStyle name="常规 5 2 5 3 4" xfId="16739"/>
    <cellStyle name="常规 5 2 5 4" xfId="8554"/>
    <cellStyle name="常规 5 2 5 4 2" xfId="22669"/>
    <cellStyle name="常规 5 2 5 4 2 2" xfId="26054"/>
    <cellStyle name="常规 5 2 5 4 2 3" xfId="26056"/>
    <cellStyle name="常规 5 2 5 4 2 3 2" xfId="26058"/>
    <cellStyle name="常规 5 2 5 4 3" xfId="22671"/>
    <cellStyle name="常规 5 2 5 4 4" xfId="16747"/>
    <cellStyle name="常规 5 2 5 5" xfId="8560"/>
    <cellStyle name="常规 5 2 6" xfId="16815"/>
    <cellStyle name="常规 5 2 6 2" xfId="26060"/>
    <cellStyle name="常规 5 2 6 2 2" xfId="26061"/>
    <cellStyle name="常规 5 2 6 2 3" xfId="26062"/>
    <cellStyle name="常规 5 2 6 3" xfId="26063"/>
    <cellStyle name="常规 5 2 6 3 2" xfId="26064"/>
    <cellStyle name="常规 5 2 6 3 2 2" xfId="26065"/>
    <cellStyle name="常规 5 2 6 3 2 3" xfId="26067"/>
    <cellStyle name="常规 5 2 6 3 2 3 2" xfId="18662"/>
    <cellStyle name="常规 5 2 6 3 3" xfId="26068"/>
    <cellStyle name="常规 5 2 6 3 4" xfId="26069"/>
    <cellStyle name="常规 5 2 6 4" xfId="26070"/>
    <cellStyle name="常规 5 2 7" xfId="26071"/>
    <cellStyle name="常规 5 2 7 2" xfId="26072"/>
    <cellStyle name="常规 5 2 7 2 2" xfId="22850"/>
    <cellStyle name="常规 5 2 7 2 3" xfId="22852"/>
    <cellStyle name="常规 5 2 7 2 3 2" xfId="24718"/>
    <cellStyle name="常规 5 2 7 3" xfId="26073"/>
    <cellStyle name="常规 5 2 7 4" xfId="26074"/>
    <cellStyle name="常规 5 2 8" xfId="26075"/>
    <cellStyle name="常规 5 3" xfId="26076"/>
    <cellStyle name="常规 5 3 2" xfId="16821"/>
    <cellStyle name="常规 5 3 2 2" xfId="26077"/>
    <cellStyle name="常规 5 3 2 2 2" xfId="26078"/>
    <cellStyle name="常规 5 3 2 2 2 2" xfId="26079"/>
    <cellStyle name="常规 5 3 2 2 2 2 2" xfId="26080"/>
    <cellStyle name="常规 5 3 2 2 2 2 2 2" xfId="15109"/>
    <cellStyle name="常规 5 3 2 2 2 2 2 3" xfId="26081"/>
    <cellStyle name="常规 5 3 2 2 2 2 2 3 2" xfId="26083"/>
    <cellStyle name="常规 5 3 2 2 2 2 3" xfId="26085"/>
    <cellStyle name="常规 5 3 2 2 2 2 4" xfId="26087"/>
    <cellStyle name="常规 5 3 2 2 2 3" xfId="4466"/>
    <cellStyle name="常规 5 3 2 2 3" xfId="26089"/>
    <cellStyle name="常规 5 3 2 2 3 2" xfId="26092"/>
    <cellStyle name="常规 5 3 2 2 3 2 2" xfId="26093"/>
    <cellStyle name="常规 5 3 2 2 3 2 3" xfId="10468"/>
    <cellStyle name="常规 5 3 2 2 3 3" xfId="26094"/>
    <cellStyle name="常规 5 3 2 2 3 3 2" xfId="26095"/>
    <cellStyle name="常规 5 3 2 2 3 3 2 2" xfId="26096"/>
    <cellStyle name="常规 5 3 2 2 3 3 2 3" xfId="26097"/>
    <cellStyle name="常规 5 3 2 2 3 3 2 3 2" xfId="26098"/>
    <cellStyle name="常规 5 3 2 2 3 3 3" xfId="10479"/>
    <cellStyle name="常规 5 3 2 2 3 3 4" xfId="10484"/>
    <cellStyle name="常规 5 3 2 2 3 4" xfId="26099"/>
    <cellStyle name="常规 5 3 2 2 4" xfId="26100"/>
    <cellStyle name="常规 5 3 2 2 4 2" xfId="24367"/>
    <cellStyle name="常规 5 3 2 2 4 2 2" xfId="24369"/>
    <cellStyle name="常规 5 3 2 2 4 2 3" xfId="10495"/>
    <cellStyle name="常规 5 3 2 2 4 2 3 2" xfId="26102"/>
    <cellStyle name="常规 5 3 2 2 4 3" xfId="26103"/>
    <cellStyle name="常规 5 3 2 2 4 4" xfId="26104"/>
    <cellStyle name="常规 5 3 2 2 5" xfId="26105"/>
    <cellStyle name="常规 5 3 2 3" xfId="26106"/>
    <cellStyle name="常规 5 3 2 3 2" xfId="26107"/>
    <cellStyle name="常规 5 3 2 3 2 2" xfId="26108"/>
    <cellStyle name="常规 5 3 2 3 2 2 2" xfId="15354"/>
    <cellStyle name="常规 5 3 2 3 2 2 3" xfId="15357"/>
    <cellStyle name="常规 5 3 2 3 2 3" xfId="26109"/>
    <cellStyle name="常规 5 3 2 3 2 3 2" xfId="13721"/>
    <cellStyle name="常规 5 3 2 3 2 3 2 2" xfId="2653"/>
    <cellStyle name="常规 5 3 2 3 2 3 2 3" xfId="26110"/>
    <cellStyle name="常规 5 3 2 3 2 3 2 3 2" xfId="22162"/>
    <cellStyle name="常规 5 3 2 3 2 3 3" xfId="13726"/>
    <cellStyle name="常规 5 3 2 3 2 3 4" xfId="26112"/>
    <cellStyle name="常规 5 3 2 3 2 4" xfId="26115"/>
    <cellStyle name="常规 5 3 2 3 3" xfId="26116"/>
    <cellStyle name="常规 5 3 2 3 3 2" xfId="26118"/>
    <cellStyle name="常规 5 3 2 3 3 2 2" xfId="26119"/>
    <cellStyle name="常规 5 3 2 3 3 2 3" xfId="10531"/>
    <cellStyle name="常规 5 3 2 3 3 2 3 2" xfId="5801"/>
    <cellStyle name="常规 5 3 2 3 3 3" xfId="26120"/>
    <cellStyle name="常规 5 3 2 3 3 4" xfId="26121"/>
    <cellStyle name="常规 5 3 2 3 4" xfId="26122"/>
    <cellStyle name="常规 5 3 2 4" xfId="26124"/>
    <cellStyle name="常规 5 3 2 4 2" xfId="26125"/>
    <cellStyle name="常规 5 3 2 4 2 2" xfId="26126"/>
    <cellStyle name="常规 5 3 2 4 2 3" xfId="26127"/>
    <cellStyle name="常规 5 3 2 4 3" xfId="26128"/>
    <cellStyle name="常规 5 3 2 4 3 2" xfId="26129"/>
    <cellStyle name="常规 5 3 2 4 3 2 2" xfId="26130"/>
    <cellStyle name="常规 5 3 2 4 3 2 3" xfId="10577"/>
    <cellStyle name="常规 5 3 2 4 3 2 3 2" xfId="26131"/>
    <cellStyle name="常规 5 3 2 4 3 3" xfId="26132"/>
    <cellStyle name="常规 5 3 2 4 3 4" xfId="26133"/>
    <cellStyle name="常规 5 3 2 4 4" xfId="26134"/>
    <cellStyle name="常规 5 3 2 5" xfId="26135"/>
    <cellStyle name="常规 5 3 2 5 2" xfId="26136"/>
    <cellStyle name="常规 5 3 2 5 2 2" xfId="15566"/>
    <cellStyle name="常规 5 3 2 5 2 3" xfId="14566"/>
    <cellStyle name="常规 5 3 2 5 2 3 2" xfId="7569"/>
    <cellStyle name="常规 5 3 2 5 3" xfId="26137"/>
    <cellStyle name="常规 5 3 2 5 4" xfId="26139"/>
    <cellStyle name="常规 5 3 2 6" xfId="26141"/>
    <cellStyle name="常规 5 3 3" xfId="11995"/>
    <cellStyle name="常规 5 3 3 2" xfId="26142"/>
    <cellStyle name="常规 5 3 3 2 2" xfId="26143"/>
    <cellStyle name="常规 5 3 3 2 2 2" xfId="18993"/>
    <cellStyle name="常规 5 3 3 2 2 2 2" xfId="26144"/>
    <cellStyle name="常规 5 3 3 2 2 2 3" xfId="26145"/>
    <cellStyle name="常规 5 3 3 2 2 2 3 2" xfId="14692"/>
    <cellStyle name="常规 5 3 3 2 2 3" xfId="18996"/>
    <cellStyle name="常规 5 3 3 2 2 4" xfId="18999"/>
    <cellStyle name="常规 5 3 3 2 3" xfId="26146"/>
    <cellStyle name="常规 5 3 3 3" xfId="26147"/>
    <cellStyle name="常规 5 3 3 3 2" xfId="26148"/>
    <cellStyle name="常规 5 3 3 3 2 2" xfId="26149"/>
    <cellStyle name="常规 5 3 3 3 2 3" xfId="26150"/>
    <cellStyle name="常规 5 3 3 3 3" xfId="26152"/>
    <cellStyle name="常规 5 3 3 3 3 2" xfId="26153"/>
    <cellStyle name="常规 5 3 3 3 3 2 2" xfId="24892"/>
    <cellStyle name="常规 5 3 3 3 3 2 3" xfId="24903"/>
    <cellStyle name="常规 5 3 3 3 3 2 3 2" xfId="5909"/>
    <cellStyle name="常规 5 3 3 3 3 3" xfId="26154"/>
    <cellStyle name="常规 5 3 3 3 3 4" xfId="26156"/>
    <cellStyle name="常规 5 3 3 3 4" xfId="26158"/>
    <cellStyle name="常规 5 3 3 4" xfId="26159"/>
    <cellStyle name="常规 5 3 3 4 2" xfId="26160"/>
    <cellStyle name="常规 5 3 3 4 2 2" xfId="26161"/>
    <cellStyle name="常规 5 3 3 4 2 3" xfId="26162"/>
    <cellStyle name="常规 5 3 3 4 2 3 2" xfId="25363"/>
    <cellStyle name="常规 5 3 3 4 3" xfId="26163"/>
    <cellStyle name="常规 5 3 3 4 4" xfId="26164"/>
    <cellStyle name="常规 5 3 3 5" xfId="17906"/>
    <cellStyle name="常规 5 3 4" xfId="11999"/>
    <cellStyle name="常规 5 3 4 2" xfId="26165"/>
    <cellStyle name="常规 5 3 4 2 2" xfId="26166"/>
    <cellStyle name="常规 5 3 4 2 2 2" xfId="26167"/>
    <cellStyle name="常规 5 3 4 2 2 2 2" xfId="26168"/>
    <cellStyle name="常规 5 3 4 2 2 2 3" xfId="26169"/>
    <cellStyle name="常规 5 3 4 2 2 2 3 2" xfId="20938"/>
    <cellStyle name="常规 5 3 4 2 2 3" xfId="26170"/>
    <cellStyle name="常规 5 3 4 2 2 4" xfId="26171"/>
    <cellStyle name="常规 5 3 4 2 3" xfId="26172"/>
    <cellStyle name="常规 5 3 4 3" xfId="26173"/>
    <cellStyle name="常规 5 3 4 3 2" xfId="26174"/>
    <cellStyle name="常规 5 3 4 3 2 2" xfId="26175"/>
    <cellStyle name="常规 5 3 4 3 2 3" xfId="26176"/>
    <cellStyle name="常规 5 3 4 3 3" xfId="26177"/>
    <cellStyle name="常规 5 3 4 3 3 2" xfId="26178"/>
    <cellStyle name="常规 5 3 4 3 3 2 2" xfId="26179"/>
    <cellStyle name="常规 5 3 4 3 3 2 3" xfId="26180"/>
    <cellStyle name="常规 5 3 4 3 3 2 3 2" xfId="4378"/>
    <cellStyle name="常规 5 3 4 3 3 3" xfId="26181"/>
    <cellStyle name="常规 5 3 4 3 3 4" xfId="26182"/>
    <cellStyle name="常规 5 3 4 3 4" xfId="26183"/>
    <cellStyle name="常规 5 3 4 4" xfId="26184"/>
    <cellStyle name="常规 5 3 4 4 2" xfId="26185"/>
    <cellStyle name="常规 5 3 4 4 2 2" xfId="26186"/>
    <cellStyle name="常规 5 3 4 4 2 3" xfId="26187"/>
    <cellStyle name="常规 5 3 4 4 2 3 2" xfId="5713"/>
    <cellStyle name="常规 5 3 4 4 3" xfId="26188"/>
    <cellStyle name="常规 5 3 4 4 4" xfId="26189"/>
    <cellStyle name="常规 5 3 4 5" xfId="26190"/>
    <cellStyle name="常规 5 3 5" xfId="16824"/>
    <cellStyle name="常规 5 3 5 2" xfId="26191"/>
    <cellStyle name="常规 5 3 5 2 2" xfId="26192"/>
    <cellStyle name="常规 5 3 5 2 2 2" xfId="26193"/>
    <cellStyle name="常规 5 3 5 2 2 2 2" xfId="26194"/>
    <cellStyle name="常规 5 3 5 2 2 2 3" xfId="26195"/>
    <cellStyle name="常规 5 3 5 2 2 2 3 2" xfId="26196"/>
    <cellStyle name="常规 5 3 5 2 2 3" xfId="26197"/>
    <cellStyle name="常规 5 3 5 2 2 4" xfId="23012"/>
    <cellStyle name="常规 5 3 5 2 3" xfId="26198"/>
    <cellStyle name="常规 5 3 5 3" xfId="26199"/>
    <cellStyle name="常规 5 3 5 3 2" xfId="26200"/>
    <cellStyle name="常规 5 3 5 3 2 2" xfId="26201"/>
    <cellStyle name="常规 5 3 5 3 2 3" xfId="19874"/>
    <cellStyle name="常规 5 3 5 3 3" xfId="26202"/>
    <cellStyle name="常规 5 3 5 3 3 2" xfId="25094"/>
    <cellStyle name="常规 5 3 5 3 3 2 2" xfId="26203"/>
    <cellStyle name="常规 5 3 5 3 3 2 3" xfId="26204"/>
    <cellStyle name="常规 5 3 5 3 3 2 3 2" xfId="26205"/>
    <cellStyle name="常规 5 3 5 3 3 3" xfId="26206"/>
    <cellStyle name="常规 5 3 5 3 3 4" xfId="26207"/>
    <cellStyle name="常规 5 3 5 3 4" xfId="26208"/>
    <cellStyle name="常规 5 3 5 4" xfId="26209"/>
    <cellStyle name="常规 5 3 5 4 2" xfId="26210"/>
    <cellStyle name="常规 5 3 5 4 2 2" xfId="10862"/>
    <cellStyle name="常规 5 3 5 4 2 3" xfId="10867"/>
    <cellStyle name="常规 5 3 5 4 2 3 2" xfId="26211"/>
    <cellStyle name="常规 5 3 5 4 3" xfId="26212"/>
    <cellStyle name="常规 5 3 5 4 4" xfId="26213"/>
    <cellStyle name="常规 5 3 5 5" xfId="26214"/>
    <cellStyle name="常规 5 3 6" xfId="16827"/>
    <cellStyle name="常规 5 3 6 2" xfId="21789"/>
    <cellStyle name="常规 5 3 6 2 2" xfId="26216"/>
    <cellStyle name="常规 5 3 6 2 3" xfId="26217"/>
    <cellStyle name="常规 5 3 6 3" xfId="21792"/>
    <cellStyle name="常规 5 3 6 3 2" xfId="26218"/>
    <cellStyle name="常规 5 3 6 3 2 2" xfId="26219"/>
    <cellStyle name="常规 5 3 6 3 2 3" xfId="26220"/>
    <cellStyle name="常规 5 3 6 3 2 3 2" xfId="26221"/>
    <cellStyle name="常规 5 3 6 3 3" xfId="26222"/>
    <cellStyle name="常规 5 3 6 3 4" xfId="26223"/>
    <cellStyle name="常规 5 3 6 4" xfId="26224"/>
    <cellStyle name="常规 5 3 7" xfId="26225"/>
    <cellStyle name="常规 5 3 7 2" xfId="21796"/>
    <cellStyle name="常规 5 3 7 2 2" xfId="26227"/>
    <cellStyle name="常规 5 3 7 2 3" xfId="26228"/>
    <cellStyle name="常规 5 3 7 2 3 2" xfId="25317"/>
    <cellStyle name="常规 5 3 7 3" xfId="21798"/>
    <cellStyle name="常规 5 3 7 4" xfId="26230"/>
    <cellStyle name="常规 5 3 8" xfId="26231"/>
    <cellStyle name="常规 5 4" xfId="6910"/>
    <cellStyle name="常规 5 4 2" xfId="16834"/>
    <cellStyle name="常规 5 4 2 2" xfId="26232"/>
    <cellStyle name="常规 5 4 2 2 2" xfId="26233"/>
    <cellStyle name="常规 5 4 2 2 2 2" xfId="23265"/>
    <cellStyle name="常规 5 4 2 2 2 2 2" xfId="22436"/>
    <cellStyle name="常规 5 4 2 2 2 2 3" xfId="22438"/>
    <cellStyle name="常规 5 4 2 2 2 3" xfId="26234"/>
    <cellStyle name="常规 5 4 2 2 2 3 2" xfId="26236"/>
    <cellStyle name="常规 5 4 2 2 2 3 2 2" xfId="26237"/>
    <cellStyle name="常规 5 4 2 2 2 3 2 3" xfId="26238"/>
    <cellStyle name="常规 5 4 2 2 2 3 2 3 2" xfId="11301"/>
    <cellStyle name="常规 5 4 2 2 2 3 3" xfId="26239"/>
    <cellStyle name="常规 5 4 2 2 2 3 4" xfId="26240"/>
    <cellStyle name="常规 5 4 2 2 2 4" xfId="26242"/>
    <cellStyle name="常规 5 4 2 2 3" xfId="26244"/>
    <cellStyle name="常规 5 4 2 2 3 2" xfId="26245"/>
    <cellStyle name="常规 5 4 2 2 3 2 2" xfId="26246"/>
    <cellStyle name="常规 5 4 2 2 3 2 3" xfId="10781"/>
    <cellStyle name="常规 5 4 2 2 3 2 3 2" xfId="10783"/>
    <cellStyle name="常规 5 4 2 2 3 3" xfId="26247"/>
    <cellStyle name="常规 5 4 2 2 3 4" xfId="26248"/>
    <cellStyle name="常规 5 4 2 2 4" xfId="26249"/>
    <cellStyle name="常规 5 4 2 3" xfId="26251"/>
    <cellStyle name="常规 5 4 2 3 2" xfId="26252"/>
    <cellStyle name="常规 5 4 2 3 2 2" xfId="26253"/>
    <cellStyle name="常规 5 4 2 3 2 2 2" xfId="26254"/>
    <cellStyle name="常规 5 4 2 3 2 2 2 2" xfId="26255"/>
    <cellStyle name="常规 5 4 2 3 2 2 2 3" xfId="26256"/>
    <cellStyle name="常规 5 4 2 3 2 2 2 3 2" xfId="22419"/>
    <cellStyle name="常规 5 4 2 3 2 2 3" xfId="26257"/>
    <cellStyle name="常规 5 4 2 3 2 2 4" xfId="26258"/>
    <cellStyle name="常规 5 4 2 3 2 3" xfId="26259"/>
    <cellStyle name="常规 5 4 2 3 3" xfId="26261"/>
    <cellStyle name="常规 5 4 2 3 3 2" xfId="26262"/>
    <cellStyle name="常规 5 4 2 3 3 2 2" xfId="26263"/>
    <cellStyle name="常规 5 4 2 3 3 2 3" xfId="10810"/>
    <cellStyle name="常规 5 4 2 3 3 3" xfId="26264"/>
    <cellStyle name="常规 5 4 2 3 3 3 2" xfId="10486"/>
    <cellStyle name="常规 5 4 2 3 3 3 2 2" xfId="26265"/>
    <cellStyle name="常规 5 4 2 3 3 3 2 3" xfId="26266"/>
    <cellStyle name="常规 5 4 2 3 3 3 2 3 2" xfId="1764"/>
    <cellStyle name="常规 5 4 2 3 3 3 3" xfId="18087"/>
    <cellStyle name="常规 5 4 2 3 3 3 4" xfId="18091"/>
    <cellStyle name="常规 5 4 2 3 3 4" xfId="24864"/>
    <cellStyle name="常规 5 4 2 3 4" xfId="26268"/>
    <cellStyle name="常规 5 4 2 3 4 2" xfId="26270"/>
    <cellStyle name="常规 5 4 2 3 4 2 2" xfId="26271"/>
    <cellStyle name="常规 5 4 2 3 4 2 3" xfId="26272"/>
    <cellStyle name="常规 5 4 2 3 4 2 3 2" xfId="26273"/>
    <cellStyle name="常规 5 4 2 3 4 3" xfId="26274"/>
    <cellStyle name="常规 5 4 2 3 4 4" xfId="24875"/>
    <cellStyle name="常规 5 4 2 3 5" xfId="26275"/>
    <cellStyle name="常规 5 4 2 4" xfId="25933"/>
    <cellStyle name="常规 5 4 2 4 2" xfId="25935"/>
    <cellStyle name="常规 5 4 2 4 2 2" xfId="21018"/>
    <cellStyle name="常规 5 4 2 4 2 3" xfId="21021"/>
    <cellStyle name="常规 5 4 2 4 3" xfId="25937"/>
    <cellStyle name="常规 5 4 2 4 3 2" xfId="26277"/>
    <cellStyle name="常规 5 4 2 4 3 2 2" xfId="26278"/>
    <cellStyle name="常规 5 4 2 4 3 2 3" xfId="10830"/>
    <cellStyle name="常规 5 4 2 4 3 2 3 2" xfId="16220"/>
    <cellStyle name="常规 5 4 2 4 3 3" xfId="26279"/>
    <cellStyle name="常规 5 4 2 4 3 4" xfId="24885"/>
    <cellStyle name="常规 5 4 2 4 4" xfId="25939"/>
    <cellStyle name="常规 5 4 2 5" xfId="4226"/>
    <cellStyle name="常规 5 4 2 5 2" xfId="26280"/>
    <cellStyle name="常规 5 4 2 5 2 2" xfId="26281"/>
    <cellStyle name="常规 5 4 2 5 2 3" xfId="233"/>
    <cellStyle name="常规 5 4 2 5 2 3 2" xfId="3805"/>
    <cellStyle name="常规 5 4 2 5 3" xfId="26282"/>
    <cellStyle name="常规 5 4 2 5 4" xfId="26283"/>
    <cellStyle name="常规 5 4 2 6" xfId="4242"/>
    <cellStyle name="常规 5 4 3" xfId="16837"/>
    <cellStyle name="常规 5 4 3 2" xfId="26285"/>
    <cellStyle name="常规 5 4 3 2 2" xfId="26286"/>
    <cellStyle name="常规 5 4 3 2 2 2" xfId="20700"/>
    <cellStyle name="常规 5 4 3 2 2 2 2" xfId="12926"/>
    <cellStyle name="常规 5 4 3 2 2 2 3" xfId="12929"/>
    <cellStyle name="常规 5 4 3 2 2 3" xfId="20702"/>
    <cellStyle name="常规 5 4 3 2 2 3 2" xfId="12945"/>
    <cellStyle name="常规 5 4 3 2 2 3 2 2" xfId="26287"/>
    <cellStyle name="常规 5 4 3 2 2 3 2 3" xfId="26288"/>
    <cellStyle name="常规 5 4 3 2 2 3 2 3 2" xfId="26289"/>
    <cellStyle name="常规 5 4 3 2 2 3 3" xfId="12948"/>
    <cellStyle name="常规 5 4 3 2 2 3 4" xfId="12951"/>
    <cellStyle name="常规 5 4 3 2 2 4" xfId="20704"/>
    <cellStyle name="常规 5 4 3 2 3" xfId="26290"/>
    <cellStyle name="常规 5 4 3 2 3 2" xfId="20711"/>
    <cellStyle name="常规 5 4 3 2 3 2 2" xfId="13037"/>
    <cellStyle name="常规 5 4 3 2 3 2 3" xfId="13044"/>
    <cellStyle name="常规 5 4 3 2 3 2 3 2" xfId="26291"/>
    <cellStyle name="常规 5 4 3 2 3 3" xfId="20713"/>
    <cellStyle name="常规 5 4 3 2 3 4" xfId="20716"/>
    <cellStyle name="常规 5 4 3 2 4" xfId="10192"/>
    <cellStyle name="常规 5 4 3 3" xfId="26294"/>
    <cellStyle name="常规 5 4 3 3 2" xfId="26295"/>
    <cellStyle name="常规 5 4 3 3 2 2" xfId="15061"/>
    <cellStyle name="常规 5 4 3 3 2 2 2" xfId="15063"/>
    <cellStyle name="常规 5 4 3 3 2 2 2 2" xfId="14706"/>
    <cellStyle name="常规 5 4 3 3 2 2 2 3" xfId="14709"/>
    <cellStyle name="常规 5 4 3 3 2 2 2 3 2" xfId="26296"/>
    <cellStyle name="常规 5 4 3 3 2 2 3" xfId="15065"/>
    <cellStyle name="常规 5 4 3 3 2 2 4" xfId="15067"/>
    <cellStyle name="常规 5 4 3 3 2 3" xfId="15072"/>
    <cellStyle name="常规 5 4 3 3 3" xfId="26297"/>
    <cellStyle name="常规 5 4 3 3 3 2" xfId="15223"/>
    <cellStyle name="常规 5 4 3 3 3 2 2" xfId="15225"/>
    <cellStyle name="常规 5 4 3 3 3 2 3" xfId="15227"/>
    <cellStyle name="常规 5 4 3 3 3 3" xfId="15230"/>
    <cellStyle name="常规 5 4 3 3 3 3 2" xfId="15232"/>
    <cellStyle name="常规 5 4 3 3 3 3 2 2" xfId="26298"/>
    <cellStyle name="常规 5 4 3 3 3 3 2 3" xfId="26299"/>
    <cellStyle name="常规 5 4 3 3 3 3 2 3 2" xfId="26300"/>
    <cellStyle name="常规 5 4 3 3 3 3 3" xfId="45"/>
    <cellStyle name="常规 5 4 3 3 3 3 4" xfId="15234"/>
    <cellStyle name="常规 5 4 3 3 3 4" xfId="15236"/>
    <cellStyle name="常规 5 4 3 3 4" xfId="10198"/>
    <cellStyle name="常规 5 4 3 3 4 2" xfId="15303"/>
    <cellStyle name="常规 5 4 3 3 4 2 2" xfId="15305"/>
    <cellStyle name="常规 5 4 3 3 4 2 3" xfId="15307"/>
    <cellStyle name="常规 5 4 3 3 4 2 3 2" xfId="26302"/>
    <cellStyle name="常规 5 4 3 3 4 3" xfId="15310"/>
    <cellStyle name="常规 5 4 3 3 4 4" xfId="15314"/>
    <cellStyle name="常规 5 4 3 3 5" xfId="10200"/>
    <cellStyle name="常规 5 4 3 4" xfId="25941"/>
    <cellStyle name="常规 5 4 3 4 2" xfId="23040"/>
    <cellStyle name="常规 5 4 3 4 2 2" xfId="12770"/>
    <cellStyle name="常规 5 4 3 4 2 2 2" xfId="15940"/>
    <cellStyle name="常规 5 4 3 4 2 2 3" xfId="15942"/>
    <cellStyle name="常规 5 4 3 4 2 3" xfId="12776"/>
    <cellStyle name="常规 5 4 3 4 2 3 2" xfId="15947"/>
    <cellStyle name="常规 5 4 3 4 2 3 2 2" xfId="26303"/>
    <cellStyle name="常规 5 4 3 4 2 3 2 3" xfId="26304"/>
    <cellStyle name="常规 5 4 3 4 2 3 2 3 2" xfId="459"/>
    <cellStyle name="常规 5 4 3 4 2 3 3" xfId="15950"/>
    <cellStyle name="常规 5 4 3 4 2 3 4" xfId="15952"/>
    <cellStyle name="常规 5 4 3 4 2 4" xfId="15956"/>
    <cellStyle name="常规 5 4 3 4 3" xfId="10205"/>
    <cellStyle name="常规 5 4 3 4 3 2" xfId="10210"/>
    <cellStyle name="常规 5 4 3 4 3 2 2" xfId="16071"/>
    <cellStyle name="常规 5 4 3 4 3 2 3" xfId="16073"/>
    <cellStyle name="常规 5 4 3 4 3 2 3 2" xfId="26305"/>
    <cellStyle name="常规 5 4 3 4 3 3" xfId="10215"/>
    <cellStyle name="常规 5 4 3 4 3 4" xfId="16082"/>
    <cellStyle name="常规 5 4 3 4 4" xfId="10220"/>
    <cellStyle name="常规 5 4 3 5" xfId="25943"/>
    <cellStyle name="常规 5 4 3 5 2" xfId="25945"/>
    <cellStyle name="常规 5 4 3 5 2 2" xfId="4097"/>
    <cellStyle name="常规 5 4 3 5 2 3" xfId="4125"/>
    <cellStyle name="常规 5 4 3 5 3" xfId="10225"/>
    <cellStyle name="常规 5 4 3 5 3 2" xfId="2706"/>
    <cellStyle name="常规 5 4 3 5 3 2 2" xfId="17164"/>
    <cellStyle name="常规 5 4 3 5 3 2 3" xfId="17168"/>
    <cellStyle name="常规 5 4 3 5 3 2 3 2" xfId="13391"/>
    <cellStyle name="常规 5 4 3 5 3 3" xfId="2710"/>
    <cellStyle name="常规 5 4 3 5 3 4" xfId="4979"/>
    <cellStyle name="常规 5 4 3 5 4" xfId="10228"/>
    <cellStyle name="常规 5 4 3 6" xfId="25947"/>
    <cellStyle name="常规 5 4 3 6 2" xfId="26306"/>
    <cellStyle name="常规 5 4 3 6 2 2" xfId="2797"/>
    <cellStyle name="常规 5 4 3 6 2 3" xfId="2983"/>
    <cellStyle name="常规 5 4 3 6 2 3 2" xfId="5013"/>
    <cellStyle name="常规 5 4 3 6 3" xfId="26307"/>
    <cellStyle name="常规 5 4 3 6 4" xfId="26308"/>
    <cellStyle name="常规 5 4 3 7" xfId="26310"/>
    <cellStyle name="常规 5 4 4" xfId="16840"/>
    <cellStyle name="常规 5 4 4 2" xfId="26311"/>
    <cellStyle name="常规 5 4 4 2 2" xfId="26312"/>
    <cellStyle name="常规 5 4 4 2 2 2" xfId="26313"/>
    <cellStyle name="常规 5 4 4 2 2 2 2" xfId="26315"/>
    <cellStyle name="常规 5 4 4 2 2 2 3" xfId="24711"/>
    <cellStyle name="常规 5 4 4 2 2 2 3 2" xfId="19378"/>
    <cellStyle name="常规 5 4 4 2 2 3" xfId="26317"/>
    <cellStyle name="常规 5 4 4 2 2 4" xfId="26320"/>
    <cellStyle name="常规 5 4 4 2 3" xfId="26322"/>
    <cellStyle name="常规 5 4 4 3" xfId="26323"/>
    <cellStyle name="常规 5 4 4 3 2" xfId="19433"/>
    <cellStyle name="常规 5 4 4 3 2 2" xfId="15463"/>
    <cellStyle name="常规 5 4 4 3 2 3" xfId="15468"/>
    <cellStyle name="常规 5 4 4 3 3" xfId="19435"/>
    <cellStyle name="常规 5 4 4 3 3 2" xfId="19597"/>
    <cellStyle name="常规 5 4 4 3 3 2 2" xfId="19600"/>
    <cellStyle name="常规 5 4 4 3 3 2 3" xfId="18758"/>
    <cellStyle name="常规 5 4 4 3 3 2 3 2" xfId="26324"/>
    <cellStyle name="常规 5 4 4 3 3 3" xfId="19602"/>
    <cellStyle name="常规 5 4 4 3 3 4" xfId="19606"/>
    <cellStyle name="常规 5 4 4 3 4" xfId="19437"/>
    <cellStyle name="常规 5 4 4 4" xfId="25950"/>
    <cellStyle name="常规 5 4 4 4 2" xfId="25952"/>
    <cellStyle name="常规 5 4 4 4 2 2" xfId="20183"/>
    <cellStyle name="常规 5 4 4 4 2 3" xfId="20191"/>
    <cellStyle name="常规 5 4 4 4 2 3 2" xfId="20196"/>
    <cellStyle name="常规 5 4 4 4 3" xfId="9599"/>
    <cellStyle name="常规 5 4 4 4 4" xfId="10235"/>
    <cellStyle name="常规 5 4 4 5" xfId="25954"/>
    <cellStyle name="常规 5 4 5" xfId="16843"/>
    <cellStyle name="常规 5 4 5 2" xfId="12010"/>
    <cellStyle name="常规 5 4 5 2 2" xfId="26325"/>
    <cellStyle name="常规 5 4 5 2 3" xfId="26326"/>
    <cellStyle name="常规 5 4 5 3" xfId="26327"/>
    <cellStyle name="常规 5 4 5 3 2" xfId="26328"/>
    <cellStyle name="常规 5 4 5 3 2 2" xfId="18190"/>
    <cellStyle name="常规 5 4 5 3 2 3" xfId="18193"/>
    <cellStyle name="常规 5 4 5 3 2 3 2" xfId="13891"/>
    <cellStyle name="常规 5 4 5 3 3" xfId="26329"/>
    <cellStyle name="常规 5 4 5 3 4" xfId="26330"/>
    <cellStyle name="常规 5 4 5 4" xfId="26332"/>
    <cellStyle name="常规 5 4 6" xfId="16846"/>
    <cellStyle name="常规 5 4 6 2" xfId="12020"/>
    <cellStyle name="常规 5 4 6 2 2" xfId="12024"/>
    <cellStyle name="常规 5 4 6 2 3" xfId="12036"/>
    <cellStyle name="常规 5 4 6 2 3 2" xfId="25611"/>
    <cellStyle name="常规 5 4 6 3" xfId="12039"/>
    <cellStyle name="常规 5 4 6 4" xfId="26333"/>
    <cellStyle name="常规 5 4 7" xfId="26334"/>
    <cellStyle name="常规 5 5" xfId="6915"/>
    <cellStyle name="常规 5 5 2" xfId="16857"/>
    <cellStyle name="常规 5 5 2 2" xfId="20528"/>
    <cellStyle name="常规 5 5 2 2 2" xfId="26336"/>
    <cellStyle name="常规 5 5 2 2 2 2" xfId="26337"/>
    <cellStyle name="常规 5 5 2 2 2 3" xfId="26338"/>
    <cellStyle name="常规 5 5 2 2 3" xfId="26339"/>
    <cellStyle name="常规 5 5 2 2 3 2" xfId="26340"/>
    <cellStyle name="常规 5 5 2 2 3 2 2" xfId="26341"/>
    <cellStyle name="常规 5 5 2 2 3 2 3" xfId="4535"/>
    <cellStyle name="常规 5 5 2 2 3 2 3 2" xfId="11049"/>
    <cellStyle name="常规 5 5 2 2 3 3" xfId="26343"/>
    <cellStyle name="常规 5 5 2 2 3 4" xfId="25559"/>
    <cellStyle name="常规 5 5 2 2 4" xfId="26344"/>
    <cellStyle name="常规 5 5 2 3" xfId="20530"/>
    <cellStyle name="常规 5 5 2 3 2" xfId="26346"/>
    <cellStyle name="常规 5 5 2 3 2 2" xfId="18265"/>
    <cellStyle name="常规 5 5 2 3 2 3" xfId="18269"/>
    <cellStyle name="常规 5 5 2 3 2 3 2" xfId="9779"/>
    <cellStyle name="常规 5 5 2 3 3" xfId="26347"/>
    <cellStyle name="常规 5 5 2 3 4" xfId="26348"/>
    <cellStyle name="常规 5 5 2 4" xfId="20533"/>
    <cellStyle name="常规 5 5 3" xfId="16861"/>
    <cellStyle name="常规 5 5 3 2" xfId="17962"/>
    <cellStyle name="常规 5 5 3 2 2" xfId="26350"/>
    <cellStyle name="常规 5 5 3 2 2 2" xfId="26351"/>
    <cellStyle name="常规 5 5 3 2 2 2 2" xfId="26352"/>
    <cellStyle name="常规 5 5 3 2 2 2 3" xfId="26353"/>
    <cellStyle name="常规 5 5 3 2 2 2 3 2" xfId="26354"/>
    <cellStyle name="常规 5 5 3 2 2 3" xfId="26356"/>
    <cellStyle name="常规 5 5 3 2 2 4" xfId="26357"/>
    <cellStyle name="常规 5 5 3 2 3" xfId="26358"/>
    <cellStyle name="常规 5 5 3 3" xfId="17965"/>
    <cellStyle name="常规 5 5 3 3 2" xfId="26359"/>
    <cellStyle name="常规 5 5 3 3 2 2" xfId="26360"/>
    <cellStyle name="常规 5 5 3 3 2 3" xfId="26361"/>
    <cellStyle name="常规 5 5 3 3 3" xfId="26362"/>
    <cellStyle name="常规 5 5 3 3 3 2" xfId="26363"/>
    <cellStyle name="常规 5 5 3 3 3 2 2" xfId="26364"/>
    <cellStyle name="常规 5 5 3 3 3 2 3" xfId="11152"/>
    <cellStyle name="常规 5 5 3 3 3 2 3 2" xfId="26365"/>
    <cellStyle name="常规 5 5 3 3 3 3" xfId="26366"/>
    <cellStyle name="常规 5 5 3 3 3 4" xfId="25447"/>
    <cellStyle name="常规 5 5 3 3 4" xfId="10460"/>
    <cellStyle name="常规 5 5 3 4" xfId="17969"/>
    <cellStyle name="常规 5 5 3 4 2" xfId="25973"/>
    <cellStyle name="常规 5 5 3 4 2 2" xfId="26367"/>
    <cellStyle name="常规 5 5 3 4 2 3" xfId="26368"/>
    <cellStyle name="常规 5 5 3 4 2 3 2" xfId="26369"/>
    <cellStyle name="常规 5 5 3 4 3" xfId="10241"/>
    <cellStyle name="常规 5 5 3 4 4" xfId="10245"/>
    <cellStyle name="常规 5 5 3 5" xfId="25976"/>
    <cellStyle name="常规 5 5 4" xfId="16865"/>
    <cellStyle name="常规 5 5 4 2" xfId="26370"/>
    <cellStyle name="常规 5 5 4 2 2" xfId="26371"/>
    <cellStyle name="常规 5 5 4 2 2 2" xfId="26372"/>
    <cellStyle name="常规 5 5 4 2 2 3" xfId="26373"/>
    <cellStyle name="常规 5 5 4 2 3" xfId="26374"/>
    <cellStyle name="常规 5 5 4 2 3 2" xfId="26376"/>
    <cellStyle name="常规 5 5 4 2 3 2 2" xfId="26378"/>
    <cellStyle name="常规 5 5 4 2 3 2 3" xfId="5654"/>
    <cellStyle name="常规 5 5 4 2 3 2 3 2" xfId="26379"/>
    <cellStyle name="常规 5 5 4 2 3 3" xfId="26380"/>
    <cellStyle name="常规 5 5 4 2 3 4" xfId="26382"/>
    <cellStyle name="常规 5 5 4 2 4" xfId="9554"/>
    <cellStyle name="常规 5 5 4 3" xfId="26383"/>
    <cellStyle name="常规 5 5 4 3 2" xfId="26384"/>
    <cellStyle name="常规 5 5 4 3 2 2" xfId="26385"/>
    <cellStyle name="常规 5 5 4 3 2 3" xfId="26386"/>
    <cellStyle name="常规 5 5 4 3 2 3 2" xfId="26387"/>
    <cellStyle name="常规 5 5 4 3 3" xfId="26388"/>
    <cellStyle name="常规 5 5 4 3 4" xfId="26389"/>
    <cellStyle name="常规 5 5 4 4" xfId="26390"/>
    <cellStyle name="常规 5 5 5" xfId="16869"/>
    <cellStyle name="常规 5 5 5 2" xfId="12059"/>
    <cellStyle name="常规 5 5 5 2 2" xfId="26391"/>
    <cellStyle name="常规 5 5 5 2 3" xfId="26392"/>
    <cellStyle name="常规 5 5 5 3" xfId="26393"/>
    <cellStyle name="常规 5 5 5 3 2" xfId="26394"/>
    <cellStyle name="常规 5 5 5 3 2 2" xfId="26395"/>
    <cellStyle name="常规 5 5 5 3 2 3" xfId="26396"/>
    <cellStyle name="常规 5 5 5 3 2 3 2" xfId="18946"/>
    <cellStyle name="常规 5 5 5 3 3" xfId="26397"/>
    <cellStyle name="常规 5 5 5 3 4" xfId="26398"/>
    <cellStyle name="常规 5 5 5 4" xfId="26400"/>
    <cellStyle name="常规 5 5 6" xfId="16873"/>
    <cellStyle name="常规 5 5 6 2" xfId="12070"/>
    <cellStyle name="常规 5 5 6 2 2" xfId="26401"/>
    <cellStyle name="常规 5 5 6 2 3" xfId="26402"/>
    <cellStyle name="常规 5 5 6 2 3 2" xfId="26090"/>
    <cellStyle name="常规 5 5 6 3" xfId="12072"/>
    <cellStyle name="常规 5 5 6 4" xfId="26404"/>
    <cellStyle name="常规 5 5 7" xfId="9279"/>
    <cellStyle name="常规 5 6" xfId="26405"/>
    <cellStyle name="常规 5 6 2" xfId="16881"/>
    <cellStyle name="常规 5 6 2 2" xfId="26407"/>
    <cellStyle name="常规 5 6 2 2 2" xfId="26408"/>
    <cellStyle name="常规 5 6 2 2 2 2" xfId="7902"/>
    <cellStyle name="常规 5 6 2 2 2 3" xfId="26409"/>
    <cellStyle name="常规 5 6 2 2 2 3 2" xfId="26410"/>
    <cellStyle name="常规 5 6 2 2 3" xfId="26411"/>
    <cellStyle name="常规 5 6 2 2 4" xfId="26412"/>
    <cellStyle name="常规 5 6 2 3" xfId="26414"/>
    <cellStyle name="常规 5 6 3" xfId="16884"/>
    <cellStyle name="常规 5 6 3 2" xfId="26415"/>
    <cellStyle name="常规 5 6 3 2 2" xfId="7923"/>
    <cellStyle name="常规 5 6 3 2 3" xfId="7930"/>
    <cellStyle name="常规 5 6 3 3" xfId="26416"/>
    <cellStyle name="常规 5 6 3 3 2" xfId="26417"/>
    <cellStyle name="常规 5 6 3 3 2 2" xfId="11849"/>
    <cellStyle name="常规 5 6 3 3 2 3" xfId="24122"/>
    <cellStyle name="常规 5 6 3 3 2 3 2" xfId="5118"/>
    <cellStyle name="常规 5 6 3 3 3" xfId="26418"/>
    <cellStyle name="常规 5 6 3 3 4" xfId="10769"/>
    <cellStyle name="常规 5 6 3 4" xfId="25986"/>
    <cellStyle name="常规 5 6 4" xfId="16887"/>
    <cellStyle name="常规 5 6 4 2" xfId="26419"/>
    <cellStyle name="常规 5 6 4 2 2" xfId="13102"/>
    <cellStyle name="常规 5 6 4 2 3" xfId="13105"/>
    <cellStyle name="常规 5 6 4 2 3 2" xfId="26420"/>
    <cellStyle name="常规 5 6 4 3" xfId="26421"/>
    <cellStyle name="常规 5 6 4 4" xfId="26423"/>
    <cellStyle name="常规 5 6 5" xfId="16890"/>
    <cellStyle name="常规 5 7" xfId="26425"/>
    <cellStyle name="常规 5 7 2" xfId="16902"/>
    <cellStyle name="常规 5 7 2 2" xfId="26427"/>
    <cellStyle name="常规 5 7 2 2 2" xfId="26428"/>
    <cellStyle name="常规 5 7 2 2 2 2" xfId="26429"/>
    <cellStyle name="常规 5 7 2 2 2 3" xfId="26430"/>
    <cellStyle name="常规 5 7 2 2 2 3 2" xfId="26431"/>
    <cellStyle name="常规 5 7 2 2 3" xfId="26432"/>
    <cellStyle name="常规 5 7 2 2 4" xfId="26433"/>
    <cellStyle name="常规 5 7 2 3" xfId="26435"/>
    <cellStyle name="常规 5 7 3" xfId="16905"/>
    <cellStyle name="常规 5 7 3 2" xfId="16103"/>
    <cellStyle name="常规 5 7 3 2 2" xfId="916"/>
    <cellStyle name="常规 5 7 3 2 3" xfId="1292"/>
    <cellStyle name="常规 5 7 3 3" xfId="16105"/>
    <cellStyle name="常规 5 7 3 3 2" xfId="26436"/>
    <cellStyle name="常规 5 7 3 3 2 2" xfId="26438"/>
    <cellStyle name="常规 5 7 3 3 2 3" xfId="26440"/>
    <cellStyle name="常规 5 7 3 3 2 3 2" xfId="26442"/>
    <cellStyle name="常规 5 7 3 3 3" xfId="26444"/>
    <cellStyle name="常规 5 7 3 3 4" xfId="26446"/>
    <cellStyle name="常规 5 7 3 4" xfId="16107"/>
    <cellStyle name="常规 5 7 4" xfId="16909"/>
    <cellStyle name="常规 5 7 4 2" xfId="26449"/>
    <cellStyle name="常规 5 7 4 2 2" xfId="2259"/>
    <cellStyle name="常规 5 7 4 2 3" xfId="2619"/>
    <cellStyle name="常规 5 7 4 2 3 2" xfId="2634"/>
    <cellStyle name="常规 5 7 4 3" xfId="26450"/>
    <cellStyle name="常规 5 7 4 4" xfId="26452"/>
    <cellStyle name="常规 5 7 5" xfId="16913"/>
    <cellStyle name="常规 5 8" xfId="26454"/>
    <cellStyle name="常规 5 8 2" xfId="26455"/>
    <cellStyle name="常规 5 8 2 2" xfId="26456"/>
    <cellStyle name="常规 5 8 2 3" xfId="7995"/>
    <cellStyle name="常规 5 8 3" xfId="26457"/>
    <cellStyle name="常规 5 8 3 2" xfId="26458"/>
    <cellStyle name="常规 5 8 3 2 2" xfId="26459"/>
    <cellStyle name="常规 5 8 3 2 3" xfId="26460"/>
    <cellStyle name="常规 5 8 3 2 3 2" xfId="26462"/>
    <cellStyle name="常规 5 8 3 3" xfId="6306"/>
    <cellStyle name="常规 5 8 3 4" xfId="6315"/>
    <cellStyle name="常规 5 8 4" xfId="26464"/>
    <cellStyle name="常规 5 9" xfId="26465"/>
    <cellStyle name="常规 5 9 2" xfId="26467"/>
    <cellStyle name="常规 5 9 2 2" xfId="26469"/>
    <cellStyle name="常规 5 9 2 3" xfId="26470"/>
    <cellStyle name="常规 5 9 2 3 2" xfId="26471"/>
    <cellStyle name="常规 5 9 3" xfId="26472"/>
    <cellStyle name="常规 5 9 4" xfId="26474"/>
    <cellStyle name="常规 6" xfId="20480"/>
    <cellStyle name="常规 6 10" xfId="26049"/>
    <cellStyle name="常规 6 2" xfId="11336"/>
    <cellStyle name="常规 6 2 2" xfId="26475"/>
    <cellStyle name="常规 6 2 2 2" xfId="9498"/>
    <cellStyle name="常规 6 2 2 2 2" xfId="26477"/>
    <cellStyle name="常规 6 2 2 2 2 2" xfId="4194"/>
    <cellStyle name="常规 6 2 2 2 2 2 2" xfId="26479"/>
    <cellStyle name="常规 6 2 2 2 2 2 2 2" xfId="3063"/>
    <cellStyle name="常规 6 2 2 2 2 2 2 3" xfId="4176"/>
    <cellStyle name="常规 6 2 2 2 2 2 2 3 2" xfId="4187"/>
    <cellStyle name="常规 6 2 2 2 2 2 3" xfId="26480"/>
    <cellStyle name="常规 6 2 2 2 2 2 4" xfId="26481"/>
    <cellStyle name="常规 6 2 2 2 2 3" xfId="13511"/>
    <cellStyle name="常规 6 2 2 2 3" xfId="12793"/>
    <cellStyle name="常规 6 2 2 2 3 2" xfId="12796"/>
    <cellStyle name="常规 6 2 2 2 3 2 2" xfId="26482"/>
    <cellStyle name="常规 6 2 2 2 3 2 3" xfId="26484"/>
    <cellStyle name="常规 6 2 2 2 3 3" xfId="7398"/>
    <cellStyle name="常规 6 2 2 2 3 3 2" xfId="26486"/>
    <cellStyle name="常规 6 2 2 2 3 3 2 2" xfId="3385"/>
    <cellStyle name="常规 6 2 2 2 3 3 2 3" xfId="4102"/>
    <cellStyle name="常规 6 2 2 2 3 3 2 3 2" xfId="4464"/>
    <cellStyle name="常规 6 2 2 2 3 3 3" xfId="26489"/>
    <cellStyle name="常规 6 2 2 2 3 3 4" xfId="26491"/>
    <cellStyle name="常规 6 2 2 2 3 4" xfId="3939"/>
    <cellStyle name="常规 6 2 2 2 4" xfId="12811"/>
    <cellStyle name="常规 6 2 2 2 4 2" xfId="77"/>
    <cellStyle name="常规 6 2 2 2 4 2 2" xfId="26493"/>
    <cellStyle name="常规 6 2 2 2 4 2 3" xfId="26494"/>
    <cellStyle name="常规 6 2 2 2 4 2 3 2" xfId="3600"/>
    <cellStyle name="常规 6 2 2 2 4 3" xfId="12813"/>
    <cellStyle name="常规 6 2 2 2 4 4" xfId="11445"/>
    <cellStyle name="常规 6 2 2 2 5" xfId="12817"/>
    <cellStyle name="常规 6 2 2 3" xfId="26495"/>
    <cellStyle name="常规 6 2 2 3 2" xfId="26497"/>
    <cellStyle name="常规 6 2 2 3 2 2" xfId="26498"/>
    <cellStyle name="常规 6 2 2 3 2 2 2" xfId="26499"/>
    <cellStyle name="常规 6 2 2 3 2 2 3" xfId="26500"/>
    <cellStyle name="常规 6 2 2 3 2 3" xfId="26501"/>
    <cellStyle name="常规 6 2 2 3 2 3 2" xfId="26502"/>
    <cellStyle name="常规 6 2 2 3 2 3 2 2" xfId="22510"/>
    <cellStyle name="常规 6 2 2 3 2 3 2 3" xfId="22512"/>
    <cellStyle name="常规 6 2 2 3 2 3 2 3 2" xfId="13514"/>
    <cellStyle name="常规 6 2 2 3 2 3 3" xfId="26503"/>
    <cellStyle name="常规 6 2 2 3 2 3 4" xfId="26504"/>
    <cellStyle name="常规 6 2 2 3 2 4" xfId="26505"/>
    <cellStyle name="常规 6 2 2 3 3" xfId="7407"/>
    <cellStyle name="常规 6 2 2 3 3 2" xfId="26506"/>
    <cellStyle name="常规 6 2 2 3 3 2 2" xfId="26507"/>
    <cellStyle name="常规 6 2 2 3 3 2 3" xfId="26508"/>
    <cellStyle name="常规 6 2 2 3 3 2 3 2" xfId="20482"/>
    <cellStyle name="常规 6 2 2 3 3 3" xfId="26509"/>
    <cellStyle name="常规 6 2 2 3 3 4" xfId="26510"/>
    <cellStyle name="常规 6 2 2 3 4" xfId="6986"/>
    <cellStyle name="常规 6 2 2 4" xfId="26511"/>
    <cellStyle name="常规 6 2 2 4 2" xfId="26512"/>
    <cellStyle name="常规 6 2 2 4 2 2" xfId="26513"/>
    <cellStyle name="常规 6 2 2 4 2 3" xfId="26514"/>
    <cellStyle name="常规 6 2 2 4 3" xfId="2901"/>
    <cellStyle name="常规 6 2 2 4 3 2" xfId="26515"/>
    <cellStyle name="常规 6 2 2 4 3 2 2" xfId="26516"/>
    <cellStyle name="常规 6 2 2 4 3 2 3" xfId="2922"/>
    <cellStyle name="常规 6 2 2 4 3 2 3 2" xfId="7277"/>
    <cellStyle name="常规 6 2 2 4 3 3" xfId="26517"/>
    <cellStyle name="常规 6 2 2 4 3 4" xfId="26518"/>
    <cellStyle name="常规 6 2 2 4 4" xfId="1904"/>
    <cellStyle name="常规 6 2 2 5" xfId="26519"/>
    <cellStyle name="常规 6 2 2 5 2" xfId="26520"/>
    <cellStyle name="常规 6 2 2 5 2 2" xfId="26521"/>
    <cellStyle name="常规 6 2 2 5 2 3" xfId="26522"/>
    <cellStyle name="常规 6 2 2 5 2 3 2" xfId="13114"/>
    <cellStyle name="常规 6 2 2 5 3" xfId="12420"/>
    <cellStyle name="常规 6 2 2 5 4" xfId="12940"/>
    <cellStyle name="常规 6 2 2 6" xfId="26523"/>
    <cellStyle name="常规 6 2 3" xfId="26524"/>
    <cellStyle name="常规 6 2 3 2" xfId="26526"/>
    <cellStyle name="常规 6 2 3 2 2" xfId="26527"/>
    <cellStyle name="常规 6 2 3 2 2 2" xfId="4240"/>
    <cellStyle name="常规 6 2 3 2 2 2 2" xfId="15362"/>
    <cellStyle name="常规 6 2 3 2 2 2 3" xfId="15364"/>
    <cellStyle name="常规 6 2 3 2 2 2 3 2" xfId="2307"/>
    <cellStyle name="常规 6 2 3 2 2 3" xfId="11199"/>
    <cellStyle name="常规 6 2 3 2 2 4" xfId="11212"/>
    <cellStyle name="常规 6 2 3 2 3" xfId="13011"/>
    <cellStyle name="常规 6 2 3 3" xfId="26528"/>
    <cellStyle name="常规 6 2 3 3 2" xfId="26529"/>
    <cellStyle name="常规 6 2 3 3 2 2" xfId="26530"/>
    <cellStyle name="常规 6 2 3 3 2 3" xfId="11376"/>
    <cellStyle name="常规 6 2 3 3 3" xfId="13023"/>
    <cellStyle name="常规 6 2 3 3 3 2" xfId="26532"/>
    <cellStyle name="常规 6 2 3 3 3 2 2" xfId="26533"/>
    <cellStyle name="常规 6 2 3 3 3 2 3" xfId="26534"/>
    <cellStyle name="常规 6 2 3 3 3 2 3 2" xfId="26535"/>
    <cellStyle name="常规 6 2 3 3 3 3" xfId="11396"/>
    <cellStyle name="常规 6 2 3 3 3 4" xfId="11398"/>
    <cellStyle name="常规 6 2 3 3 4" xfId="13025"/>
    <cellStyle name="常规 6 2 3 4" xfId="26536"/>
    <cellStyle name="常规 6 2 3 4 2" xfId="26537"/>
    <cellStyle name="常规 6 2 3 4 2 2" xfId="3858"/>
    <cellStyle name="常规 6 2 3 4 2 3" xfId="3881"/>
    <cellStyle name="常规 6 2 3 4 2 3 2" xfId="3887"/>
    <cellStyle name="常规 6 2 3 4 3" xfId="3087"/>
    <cellStyle name="常规 6 2 3 4 4" xfId="3134"/>
    <cellStyle name="常规 6 2 3 5" xfId="23591"/>
    <cellStyle name="常规 6 2 4" xfId="26538"/>
    <cellStyle name="常规 6 2 4 2" xfId="26540"/>
    <cellStyle name="常规 6 2 4 2 2" xfId="15383"/>
    <cellStyle name="常规 6 2 4 2 2 2" xfId="13778"/>
    <cellStyle name="常规 6 2 4 2 2 2 2" xfId="19789"/>
    <cellStyle name="常规 6 2 4 2 2 2 3" xfId="19792"/>
    <cellStyle name="常规 6 2 4 2 2 2 3 2" xfId="449"/>
    <cellStyle name="常规 6 2 4 2 2 3" xfId="13783"/>
    <cellStyle name="常规 6 2 4 2 2 4" xfId="13786"/>
    <cellStyle name="常规 6 2 4 2 3" xfId="26542"/>
    <cellStyle name="常规 6 2 4 3" xfId="7095"/>
    <cellStyle name="常规 6 2 4 3 2" xfId="7101"/>
    <cellStyle name="常规 6 2 4 3 2 2" xfId="11741"/>
    <cellStyle name="常规 6 2 4 3 2 3" xfId="11806"/>
    <cellStyle name="常规 6 2 4 3 3" xfId="3303"/>
    <cellStyle name="常规 6 2 4 3 3 2" xfId="11866"/>
    <cellStyle name="常规 6 2 4 3 3 2 2" xfId="11872"/>
    <cellStyle name="常规 6 2 4 3 3 2 3" xfId="11877"/>
    <cellStyle name="常规 6 2 4 3 3 2 3 2" xfId="11880"/>
    <cellStyle name="常规 6 2 4 3 3 3" xfId="11892"/>
    <cellStyle name="常规 6 2 4 3 3 4" xfId="11899"/>
    <cellStyle name="常规 6 2 4 3 4" xfId="11903"/>
    <cellStyle name="常规 6 2 4 4" xfId="4819"/>
    <cellStyle name="常规 6 2 4 4 2" xfId="4564"/>
    <cellStyle name="常规 6 2 4 4 2 2" xfId="2608"/>
    <cellStyle name="常规 6 2 4 4 2 3" xfId="2918"/>
    <cellStyle name="常规 6 2 4 4 2 3 2" xfId="4589"/>
    <cellStyle name="常规 6 2 4 4 3" xfId="3359"/>
    <cellStyle name="常规 6 2 4 4 4" xfId="3398"/>
    <cellStyle name="常规 6 2 4 5" xfId="11984"/>
    <cellStyle name="常规 6 2 5" xfId="26543"/>
    <cellStyle name="常规 6 2 5 2" xfId="26545"/>
    <cellStyle name="常规 6 2 5 2 2" xfId="7354"/>
    <cellStyle name="常规 6 2 5 2 2 2" xfId="14137"/>
    <cellStyle name="常规 6 2 5 2 2 2 2" xfId="14617"/>
    <cellStyle name="常规 6 2 5 2 2 2 3" xfId="3623"/>
    <cellStyle name="常规 6 2 5 2 2 2 3 2" xfId="2665"/>
    <cellStyle name="常规 6 2 5 2 2 3" xfId="10424"/>
    <cellStyle name="常规 6 2 5 2 2 4" xfId="18304"/>
    <cellStyle name="常规 6 2 5 2 3" xfId="26546"/>
    <cellStyle name="常规 6 2 5 3" xfId="7104"/>
    <cellStyle name="常规 6 2 5 3 2" xfId="7360"/>
    <cellStyle name="常规 6 2 5 3 2 2" xfId="12261"/>
    <cellStyle name="常规 6 2 5 3 2 3" xfId="8894"/>
    <cellStyle name="常规 6 2 5 3 3" xfId="12270"/>
    <cellStyle name="常规 6 2 5 3 3 2" xfId="12272"/>
    <cellStyle name="常规 6 2 5 3 3 2 2" xfId="12277"/>
    <cellStyle name="常规 6 2 5 3 3 2 3" xfId="12279"/>
    <cellStyle name="常规 6 2 5 3 3 2 3 2" xfId="11776"/>
    <cellStyle name="常规 6 2 5 3 3 3" xfId="12282"/>
    <cellStyle name="常规 6 2 5 3 3 4" xfId="18368"/>
    <cellStyle name="常规 6 2 5 3 4" xfId="12287"/>
    <cellStyle name="常规 6 2 5 4" xfId="5534"/>
    <cellStyle name="常规 6 2 5 4 2" xfId="5222"/>
    <cellStyle name="常规 6 2 5 4 2 2" xfId="5227"/>
    <cellStyle name="常规 6 2 5 4 2 3" xfId="5246"/>
    <cellStyle name="常规 6 2 5 4 2 3 2" xfId="5252"/>
    <cellStyle name="常规 6 2 5 4 3" xfId="3614"/>
    <cellStyle name="常规 6 2 5 4 4" xfId="3643"/>
    <cellStyle name="常规 6 2 5 5" xfId="12289"/>
    <cellStyle name="常规 6 2 6" xfId="26547"/>
    <cellStyle name="常规 6 2 6 2" xfId="26548"/>
    <cellStyle name="常规 6 2 6 2 2" xfId="7375"/>
    <cellStyle name="常规 6 2 6 2 3" xfId="26549"/>
    <cellStyle name="常规 6 2 6 3" xfId="7536"/>
    <cellStyle name="常规 6 2 6 3 2" xfId="7540"/>
    <cellStyle name="常规 6 2 6 3 2 2" xfId="12313"/>
    <cellStyle name="常规 6 2 6 3 2 3" xfId="12336"/>
    <cellStyle name="常规 6 2 6 3 2 3 2" xfId="12339"/>
    <cellStyle name="常规 6 2 6 3 3" xfId="100"/>
    <cellStyle name="常规 6 2 6 3 4" xfId="12385"/>
    <cellStyle name="常规 6 2 6 4" xfId="7543"/>
    <cellStyle name="常规 6 2 7" xfId="26550"/>
    <cellStyle name="常规 6 2 7 2" xfId="26551"/>
    <cellStyle name="常规 6 2 7 2 2" xfId="23435"/>
    <cellStyle name="常规 6 2 7 2 3" xfId="23437"/>
    <cellStyle name="常规 6 2 7 2 3 2" xfId="3793"/>
    <cellStyle name="常规 6 2 7 3" xfId="7552"/>
    <cellStyle name="常规 6 2 7 4" xfId="7556"/>
    <cellStyle name="常规 6 2 8" xfId="13479"/>
    <cellStyle name="常规 6 3" xfId="26552"/>
    <cellStyle name="常规 6 3 2" xfId="8049"/>
    <cellStyle name="常规 6 3 2 2" xfId="26553"/>
    <cellStyle name="常规 6 3 2 2 2" xfId="26555"/>
    <cellStyle name="常规 6 3 2 2 2 2" xfId="4434"/>
    <cellStyle name="常规 6 3 2 2 2 2 2" xfId="23061"/>
    <cellStyle name="常规 6 3 2 2 2 2 2 2" xfId="1350"/>
    <cellStyle name="常规 6 3 2 2 2 2 2 3" xfId="26556"/>
    <cellStyle name="常规 6 3 2 2 2 2 2 3 2" xfId="18821"/>
    <cellStyle name="常规 6 3 2 2 2 2 3" xfId="23063"/>
    <cellStyle name="常规 6 3 2 2 2 2 4" xfId="26557"/>
    <cellStyle name="常规 6 3 2 2 2 3" xfId="21170"/>
    <cellStyle name="常规 6 3 2 2 3" xfId="26558"/>
    <cellStyle name="常规 6 3 2 2 3 2" xfId="21180"/>
    <cellStyle name="常规 6 3 2 2 3 2 2" xfId="22637"/>
    <cellStyle name="常规 6 3 2 2 3 2 3" xfId="22639"/>
    <cellStyle name="常规 6 3 2 2 3 3" xfId="21182"/>
    <cellStyle name="常规 6 3 2 2 3 3 2" xfId="22648"/>
    <cellStyle name="常规 6 3 2 2 3 3 2 2" xfId="26559"/>
    <cellStyle name="常规 6 3 2 2 3 3 2 3" xfId="26560"/>
    <cellStyle name="常规 6 3 2 2 3 3 2 3 2" xfId="25651"/>
    <cellStyle name="常规 6 3 2 2 3 3 3" xfId="22650"/>
    <cellStyle name="常规 6 3 2 2 3 3 4" xfId="24720"/>
    <cellStyle name="常规 6 3 2 2 3 4" xfId="21184"/>
    <cellStyle name="常规 6 3 2 2 4" xfId="18985"/>
    <cellStyle name="常规 6 3 2 2 4 2" xfId="20844"/>
    <cellStyle name="常规 6 3 2 2 4 2 2" xfId="20443"/>
    <cellStyle name="常规 6 3 2 2 4 2 3" xfId="20446"/>
    <cellStyle name="常规 6 3 2 2 4 2 3 2" xfId="11721"/>
    <cellStyle name="常规 6 3 2 2 4 3" xfId="21189"/>
    <cellStyle name="常规 6 3 2 2 4 4" xfId="21191"/>
    <cellStyle name="常规 6 3 2 2 5" xfId="18988"/>
    <cellStyle name="常规 6 3 2 3" xfId="18934"/>
    <cellStyle name="常规 6 3 2 3 2" xfId="26561"/>
    <cellStyle name="常规 6 3 2 3 2 2" xfId="26562"/>
    <cellStyle name="常规 6 3 2 3 2 2 2" xfId="26563"/>
    <cellStyle name="常规 6 3 2 3 2 2 3" xfId="26564"/>
    <cellStyle name="常规 6 3 2 3 2 3" xfId="15968"/>
    <cellStyle name="常规 6 3 2 3 2 3 2" xfId="26565"/>
    <cellStyle name="常规 6 3 2 3 2 3 2 2" xfId="26566"/>
    <cellStyle name="常规 6 3 2 3 2 3 2 3" xfId="26568"/>
    <cellStyle name="常规 6 3 2 3 2 3 2 3 2" xfId="25983"/>
    <cellStyle name="常规 6 3 2 3 2 3 3" xfId="26570"/>
    <cellStyle name="常规 6 3 2 3 2 3 4" xfId="26571"/>
    <cellStyle name="常规 6 3 2 3 2 4" xfId="15970"/>
    <cellStyle name="常规 6 3 2 3 3" xfId="26572"/>
    <cellStyle name="常规 6 3 2 3 3 2" xfId="26573"/>
    <cellStyle name="常规 6 3 2 3 3 2 2" xfId="10096"/>
    <cellStyle name="常规 6 3 2 3 3 2 3" xfId="22390"/>
    <cellStyle name="常规 6 3 2 3 3 2 3 2" xfId="5593"/>
    <cellStyle name="常规 6 3 2 3 3 3" xfId="15974"/>
    <cellStyle name="常规 6 3 2 3 3 4" xfId="15976"/>
    <cellStyle name="常规 6 3 2 3 4" xfId="26574"/>
    <cellStyle name="常规 6 3 2 4" xfId="18937"/>
    <cellStyle name="常规 6 3 2 4 2" xfId="26575"/>
    <cellStyle name="常规 6 3 2 4 2 2" xfId="26576"/>
    <cellStyle name="常规 6 3 2 4 2 3" xfId="26577"/>
    <cellStyle name="常规 6 3 2 4 3" xfId="26578"/>
    <cellStyle name="常规 6 3 2 4 3 2" xfId="26579"/>
    <cellStyle name="常规 6 3 2 4 3 2 2" xfId="23739"/>
    <cellStyle name="常规 6 3 2 4 3 2 3" xfId="23741"/>
    <cellStyle name="常规 6 3 2 4 3 2 3 2" xfId="26580"/>
    <cellStyle name="常规 6 3 2 4 3 3" xfId="26581"/>
    <cellStyle name="常规 6 3 2 4 3 4" xfId="26582"/>
    <cellStyle name="常规 6 3 2 4 4" xfId="26583"/>
    <cellStyle name="常规 6 3 2 5" xfId="13609"/>
    <cellStyle name="常规 6 3 2 5 2" xfId="26584"/>
    <cellStyle name="常规 6 3 2 5 2 2" xfId="16387"/>
    <cellStyle name="常规 6 3 2 5 2 3" xfId="26585"/>
    <cellStyle name="常规 6 3 2 5 2 3 2" xfId="26586"/>
    <cellStyle name="常规 6 3 2 5 3" xfId="26587"/>
    <cellStyle name="常规 6 3 2 5 4" xfId="26588"/>
    <cellStyle name="常规 6 3 2 6" xfId="13615"/>
    <cellStyle name="常规 6 3 3" xfId="25827"/>
    <cellStyle name="常规 6 3 3 2" xfId="26589"/>
    <cellStyle name="常规 6 3 3 2 2" xfId="26590"/>
    <cellStyle name="常规 6 3 3 2 2 2" xfId="4480"/>
    <cellStyle name="常规 6 3 3 2 2 2 2" xfId="26591"/>
    <cellStyle name="常规 6 3 3 2 2 2 3" xfId="26592"/>
    <cellStyle name="常规 6 3 3 2 2 2 3 2" xfId="26593"/>
    <cellStyle name="常规 6 3 3 2 2 3" xfId="21455"/>
    <cellStyle name="常规 6 3 3 2 2 4" xfId="21458"/>
    <cellStyle name="常规 6 3 3 2 3" xfId="26594"/>
    <cellStyle name="常规 6 3 3 3" xfId="18939"/>
    <cellStyle name="常规 6 3 3 3 2" xfId="26595"/>
    <cellStyle name="常规 6 3 3 3 2 2" xfId="20553"/>
    <cellStyle name="常规 6 3 3 3 2 3" xfId="26596"/>
    <cellStyle name="常规 6 3 3 3 3" xfId="26597"/>
    <cellStyle name="常规 6 3 3 3 3 2" xfId="26598"/>
    <cellStyle name="常规 6 3 3 3 3 2 2" xfId="26309"/>
    <cellStyle name="常规 6 3 3 3 3 2 3" xfId="26599"/>
    <cellStyle name="常规 6 3 3 3 3 2 3 2" xfId="6331"/>
    <cellStyle name="常规 6 3 3 3 3 3" xfId="26600"/>
    <cellStyle name="常规 6 3 3 3 3 4" xfId="26601"/>
    <cellStyle name="常规 6 3 3 3 4" xfId="25617"/>
    <cellStyle name="常规 6 3 3 4" xfId="18941"/>
    <cellStyle name="常规 6 3 3 4 2" xfId="26602"/>
    <cellStyle name="常规 6 3 3 4 2 2" xfId="26603"/>
    <cellStyle name="常规 6 3 3 4 2 3" xfId="26605"/>
    <cellStyle name="常规 6 3 3 4 2 3 2" xfId="26606"/>
    <cellStyle name="常规 6 3 3 4 3" xfId="26607"/>
    <cellStyle name="常规 6 3 3 4 4" xfId="26608"/>
    <cellStyle name="常规 6 3 3 5" xfId="13651"/>
    <cellStyle name="常规 6 3 4" xfId="26609"/>
    <cellStyle name="常规 6 3 4 2" xfId="26611"/>
    <cellStyle name="常规 6 3 4 2 2" xfId="26613"/>
    <cellStyle name="常规 6 3 4 2 2 2" xfId="19001"/>
    <cellStyle name="常规 6 3 4 2 2 2 2" xfId="17976"/>
    <cellStyle name="常规 6 3 4 2 2 2 3" xfId="17979"/>
    <cellStyle name="常规 6 3 4 2 2 2 3 2" xfId="26614"/>
    <cellStyle name="常规 6 3 4 2 2 3" xfId="19004"/>
    <cellStyle name="常规 6 3 4 2 2 4" xfId="19007"/>
    <cellStyle name="常规 6 3 4 2 3" xfId="26615"/>
    <cellStyle name="常规 6 3 4 3" xfId="18943"/>
    <cellStyle name="常规 6 3 4 3 2" xfId="26616"/>
    <cellStyle name="常规 6 3 4 3 2 2" xfId="26617"/>
    <cellStyle name="常规 6 3 4 3 2 3" xfId="26618"/>
    <cellStyle name="常规 6 3 4 3 3" xfId="26619"/>
    <cellStyle name="常规 6 3 4 3 3 2" xfId="26620"/>
    <cellStyle name="常规 6 3 4 3 3 2 2" xfId="26621"/>
    <cellStyle name="常规 6 3 4 3 3 2 3" xfId="26623"/>
    <cellStyle name="常规 6 3 4 3 3 2 3 2" xfId="2497"/>
    <cellStyle name="常规 6 3 4 3 3 3" xfId="26624"/>
    <cellStyle name="常规 6 3 4 3 3 4" xfId="26625"/>
    <cellStyle name="常规 6 3 4 3 4" xfId="26626"/>
    <cellStyle name="常规 6 3 4 4" xfId="18947"/>
    <cellStyle name="常规 6 3 4 4 2" xfId="26627"/>
    <cellStyle name="常规 6 3 4 4 2 2" xfId="26628"/>
    <cellStyle name="常规 6 3 4 4 2 3" xfId="26629"/>
    <cellStyle name="常规 6 3 4 4 2 3 2" xfId="26630"/>
    <cellStyle name="常规 6 3 4 4 3" xfId="26631"/>
    <cellStyle name="常规 6 3 4 4 4" xfId="26632"/>
    <cellStyle name="常规 6 3 4 5" xfId="13678"/>
    <cellStyle name="常规 6 3 5" xfId="12115"/>
    <cellStyle name="常规 6 3 5 2" xfId="26633"/>
    <cellStyle name="常规 6 3 5 2 2" xfId="7401"/>
    <cellStyle name="常规 6 3 5 2 2 2" xfId="15747"/>
    <cellStyle name="常规 6 3 5 2 2 2 2" xfId="3390"/>
    <cellStyle name="常规 6 3 5 2 2 2 3" xfId="11970"/>
    <cellStyle name="常规 6 3 5 2 2 2 3 2" xfId="26634"/>
    <cellStyle name="常规 6 3 5 2 2 3" xfId="10707"/>
    <cellStyle name="常规 6 3 5 2 2 4" xfId="26635"/>
    <cellStyle name="常规 6 3 5 2 3" xfId="26636"/>
    <cellStyle name="常规 6 3 5 3" xfId="18950"/>
    <cellStyle name="常规 6 3 5 3 2" xfId="26637"/>
    <cellStyle name="常规 6 3 5 3 2 2" xfId="26638"/>
    <cellStyle name="常规 6 3 5 3 2 3" xfId="26639"/>
    <cellStyle name="常规 6 3 5 3 3" xfId="26640"/>
    <cellStyle name="常规 6 3 5 3 3 2" xfId="26641"/>
    <cellStyle name="常规 6 3 5 3 3 2 2" xfId="12301"/>
    <cellStyle name="常规 6 3 5 3 3 2 3" xfId="20559"/>
    <cellStyle name="常规 6 3 5 3 3 2 3 2" xfId="26642"/>
    <cellStyle name="常规 6 3 5 3 3 3" xfId="26645"/>
    <cellStyle name="常规 6 3 5 3 3 4" xfId="26646"/>
    <cellStyle name="常规 6 3 5 3 4" xfId="26647"/>
    <cellStyle name="常规 6 3 5 4" xfId="18952"/>
    <cellStyle name="常规 6 3 5 4 2" xfId="26648"/>
    <cellStyle name="常规 6 3 5 4 2 2" xfId="26649"/>
    <cellStyle name="常规 6 3 5 4 2 3" xfId="19876"/>
    <cellStyle name="常规 6 3 5 4 2 3 2" xfId="26650"/>
    <cellStyle name="常规 6 3 5 4 3" xfId="26651"/>
    <cellStyle name="常规 6 3 5 4 4" xfId="26652"/>
    <cellStyle name="常规 6 3 5 5" xfId="13712"/>
    <cellStyle name="常规 6 3 6" xfId="11092"/>
    <cellStyle name="常规 6 3 6 2" xfId="12118"/>
    <cellStyle name="常规 6 3 6 2 2" xfId="26653"/>
    <cellStyle name="常规 6 3 6 2 3" xfId="26654"/>
    <cellStyle name="常规 6 3 6 3" xfId="18957"/>
    <cellStyle name="常规 6 3 6 3 2" xfId="26655"/>
    <cellStyle name="常规 6 3 6 3 2 2" xfId="26656"/>
    <cellStyle name="常规 6 3 6 3 2 3" xfId="26657"/>
    <cellStyle name="常规 6 3 6 3 2 3 2" xfId="26658"/>
    <cellStyle name="常规 6 3 6 3 3" xfId="26659"/>
    <cellStyle name="常规 6 3 6 3 4" xfId="26660"/>
    <cellStyle name="常规 6 3 6 4" xfId="18962"/>
    <cellStyle name="常规 6 3 7" xfId="26661"/>
    <cellStyle name="常规 6 3 7 2" xfId="26663"/>
    <cellStyle name="常规 6 3 7 2 2" xfId="26664"/>
    <cellStyle name="常规 6 3 7 2 3" xfId="26665"/>
    <cellStyle name="常规 6 3 7 2 3 2" xfId="26667"/>
    <cellStyle name="常规 6 3 7 3" xfId="26668"/>
    <cellStyle name="常规 6 3 7 4" xfId="26669"/>
    <cellStyle name="常规 6 3 8" xfId="13489"/>
    <cellStyle name="常规 6 4" xfId="26670"/>
    <cellStyle name="常规 6 4 2" xfId="8054"/>
    <cellStyle name="常规 6 4 2 2" xfId="26671"/>
    <cellStyle name="常规 6 4 2 2 2" xfId="17214"/>
    <cellStyle name="常规 6 4 2 2 2 2" xfId="12823"/>
    <cellStyle name="常规 6 4 2 2 2 2 2" xfId="26672"/>
    <cellStyle name="常规 6 4 2 2 2 2 3" xfId="26673"/>
    <cellStyle name="常规 6 4 2 2 2 3" xfId="12846"/>
    <cellStyle name="常规 6 4 2 2 2 3 2" xfId="26674"/>
    <cellStyle name="常规 6 4 2 2 2 3 2 2" xfId="2326"/>
    <cellStyle name="常规 6 4 2 2 2 3 2 3" xfId="14667"/>
    <cellStyle name="常规 6 4 2 2 2 3 2 3 2" xfId="7650"/>
    <cellStyle name="常规 6 4 2 2 2 3 3" xfId="26675"/>
    <cellStyle name="常规 6 4 2 2 2 3 4" xfId="25552"/>
    <cellStyle name="常规 6 4 2 2 2 4" xfId="12860"/>
    <cellStyle name="常规 6 4 2 2 3" xfId="26676"/>
    <cellStyle name="常规 6 4 2 2 3 2" xfId="12915"/>
    <cellStyle name="常规 6 4 2 2 3 2 2" xfId="26677"/>
    <cellStyle name="常规 6 4 2 2 3 2 3" xfId="26678"/>
    <cellStyle name="常规 6 4 2 2 3 2 3 2" xfId="26679"/>
    <cellStyle name="常规 6 4 2 2 3 3" xfId="9474"/>
    <cellStyle name="常规 6 4 2 2 3 4" xfId="9478"/>
    <cellStyle name="常规 6 4 2 2 4" xfId="25635"/>
    <cellStyle name="常规 6 4 2 3" xfId="19118"/>
    <cellStyle name="常规 6 4 2 3 2" xfId="18409"/>
    <cellStyle name="常规 6 4 2 3 2 2" xfId="26681"/>
    <cellStyle name="常规 6 4 2 3 2 2 2" xfId="26682"/>
    <cellStyle name="常规 6 4 2 3 2 2 2 2" xfId="26683"/>
    <cellStyle name="常规 6 4 2 3 2 2 2 3" xfId="14714"/>
    <cellStyle name="常规 6 4 2 3 2 2 2 3 2" xfId="7996"/>
    <cellStyle name="常规 6 4 2 3 2 2 3" xfId="26684"/>
    <cellStyle name="常规 6 4 2 3 2 2 4" xfId="26685"/>
    <cellStyle name="常规 6 4 2 3 2 3" xfId="26686"/>
    <cellStyle name="常规 6 4 2 3 3" xfId="26687"/>
    <cellStyle name="常规 6 4 2 3 3 2" xfId="26688"/>
    <cellStyle name="常规 6 4 2 3 3 2 2" xfId="10356"/>
    <cellStyle name="常规 6 4 2 3 3 2 3" xfId="26689"/>
    <cellStyle name="常规 6 4 2 3 3 3" xfId="26690"/>
    <cellStyle name="常规 6 4 2 3 3 3 2" xfId="26691"/>
    <cellStyle name="常规 6 4 2 3 3 3 2 2" xfId="20087"/>
    <cellStyle name="常规 6 4 2 3 3 3 2 3" xfId="20089"/>
    <cellStyle name="常规 6 4 2 3 3 3 2 3 2" xfId="26692"/>
    <cellStyle name="常规 6 4 2 3 3 3 3" xfId="26693"/>
    <cellStyle name="常规 6 4 2 3 3 3 4" xfId="25346"/>
    <cellStyle name="常规 6 4 2 3 3 4" xfId="26694"/>
    <cellStyle name="常规 6 4 2 3 4" xfId="19754"/>
    <cellStyle name="常规 6 4 2 3 4 2" xfId="13034"/>
    <cellStyle name="常规 6 4 2 3 4 2 2" xfId="26695"/>
    <cellStyle name="常规 6 4 2 3 4 2 3" xfId="26696"/>
    <cellStyle name="常规 6 4 2 3 4 2 3 2" xfId="26697"/>
    <cellStyle name="常规 6 4 2 3 4 3" xfId="13041"/>
    <cellStyle name="常规 6 4 2 3 4 4" xfId="13048"/>
    <cellStyle name="常规 6 4 2 3 5" xfId="19760"/>
    <cellStyle name="常规 6 4 2 4" xfId="19121"/>
    <cellStyle name="常规 6 4 2 4 2" xfId="18424"/>
    <cellStyle name="常规 6 4 2 4 2 2" xfId="3281"/>
    <cellStyle name="常规 6 4 2 4 2 3" xfId="26699"/>
    <cellStyle name="常规 6 4 2 4 3" xfId="26000"/>
    <cellStyle name="常规 6 4 2 4 3 2" xfId="960"/>
    <cellStyle name="常规 6 4 2 4 3 2 2" xfId="26700"/>
    <cellStyle name="常规 6 4 2 4 3 2 3" xfId="5587"/>
    <cellStyle name="常规 6 4 2 4 3 2 3 2" xfId="9835"/>
    <cellStyle name="常规 6 4 2 4 3 3" xfId="25059"/>
    <cellStyle name="常规 6 4 2 4 3 4" xfId="26701"/>
    <cellStyle name="常规 6 4 2 4 4" xfId="26702"/>
    <cellStyle name="常规 6 4 2 5" xfId="13775"/>
    <cellStyle name="常规 6 4 2 5 2" xfId="26703"/>
    <cellStyle name="常规 6 4 2 5 2 2" xfId="3566"/>
    <cellStyle name="常规 6 4 2 5 2 3" xfId="3223"/>
    <cellStyle name="常规 6 4 2 5 2 3 2" xfId="5017"/>
    <cellStyle name="常规 6 4 2 5 3" xfId="26704"/>
    <cellStyle name="常规 6 4 2 5 4" xfId="26705"/>
    <cellStyle name="常规 6 4 2 6" xfId="13780"/>
    <cellStyle name="常规 6 4 3" xfId="26706"/>
    <cellStyle name="常规 6 4 3 2" xfId="26708"/>
    <cellStyle name="常规 6 4 3 2 2" xfId="7505"/>
    <cellStyle name="常规 6 4 3 2 2 2" xfId="26710"/>
    <cellStyle name="常规 6 4 3 2 2 2 2" xfId="26712"/>
    <cellStyle name="常规 6 4 3 2 2 2 3" xfId="19834"/>
    <cellStyle name="常规 6 4 3 2 2 3" xfId="26714"/>
    <cellStyle name="常规 6 4 3 2 2 3 2" xfId="26715"/>
    <cellStyle name="常规 6 4 3 2 2 3 2 2" xfId="17712"/>
    <cellStyle name="常规 6 4 3 2 2 3 2 3" xfId="17716"/>
    <cellStyle name="常规 6 4 3 2 2 3 2 3 2" xfId="26717"/>
    <cellStyle name="常规 6 4 3 2 2 3 3" xfId="19839"/>
    <cellStyle name="常规 6 4 3 2 2 3 4" xfId="19842"/>
    <cellStyle name="常规 6 4 3 2 2 4" xfId="26718"/>
    <cellStyle name="常规 6 4 3 2 3" xfId="17290"/>
    <cellStyle name="常规 6 4 3 2 3 2" xfId="26719"/>
    <cellStyle name="常规 6 4 3 2 3 2 2" xfId="26720"/>
    <cellStyle name="常规 6 4 3 2 3 2 3" xfId="26722"/>
    <cellStyle name="常规 6 4 3 2 3 2 3 2" xfId="26724"/>
    <cellStyle name="常规 6 4 3 2 3 3" xfId="26726"/>
    <cellStyle name="常规 6 4 3 2 3 4" xfId="26727"/>
    <cellStyle name="常规 6 4 3 2 4" xfId="19374"/>
    <cellStyle name="常规 6 4 3 3" xfId="19123"/>
    <cellStyle name="常规 6 4 3 3 2" xfId="19381"/>
    <cellStyle name="常规 6 4 3 3 2 2" xfId="26728"/>
    <cellStyle name="常规 6 4 3 3 2 2 2" xfId="26730"/>
    <cellStyle name="常规 6 4 3 3 2 2 2 2" xfId="26732"/>
    <cellStyle name="常规 6 4 3 3 2 2 2 3" xfId="26734"/>
    <cellStyle name="常规 6 4 3 3 2 2 2 3 2" xfId="26736"/>
    <cellStyle name="常规 6 4 3 3 2 2 3" xfId="26737"/>
    <cellStyle name="常规 6 4 3 3 2 2 4" xfId="26739"/>
    <cellStyle name="常规 6 4 3 3 2 3" xfId="26741"/>
    <cellStyle name="常规 6 4 3 3 3" xfId="19383"/>
    <cellStyle name="常规 6 4 3 3 3 2" xfId="26742"/>
    <cellStyle name="常规 6 4 3 3 3 2 2" xfId="26743"/>
    <cellStyle name="常规 6 4 3 3 3 2 3" xfId="18109"/>
    <cellStyle name="常规 6 4 3 3 3 3" xfId="26745"/>
    <cellStyle name="常规 6 4 3 3 3 3 2" xfId="26746"/>
    <cellStyle name="常规 6 4 3 3 3 3 2 2" xfId="18595"/>
    <cellStyle name="常规 6 4 3 3 3 3 2 3" xfId="26747"/>
    <cellStyle name="常规 6 4 3 3 3 3 2 3 2" xfId="26748"/>
    <cellStyle name="常规 6 4 3 3 3 3 3" xfId="18127"/>
    <cellStyle name="常规 6 4 3 3 3 3 4" xfId="19418"/>
    <cellStyle name="常规 6 4 3 3 3 4" xfId="26749"/>
    <cellStyle name="常规 6 4 3 3 4" xfId="19385"/>
    <cellStyle name="常规 6 4 3 3 4 2" xfId="26750"/>
    <cellStyle name="常规 6 4 3 3 4 2 2" xfId="26751"/>
    <cellStyle name="常规 6 4 3 3 4 2 3" xfId="26753"/>
    <cellStyle name="常规 6 4 3 3 4 2 3 2" xfId="24714"/>
    <cellStyle name="常规 6 4 3 3 4 3" xfId="26754"/>
    <cellStyle name="常规 6 4 3 3 4 4" xfId="26755"/>
    <cellStyle name="常规 6 4 3 3 5" xfId="26756"/>
    <cellStyle name="常规 6 4 3 4" xfId="19126"/>
    <cellStyle name="常规 6 4 3 4 2" xfId="19391"/>
    <cellStyle name="常规 6 4 3 4 2 2" xfId="26757"/>
    <cellStyle name="常规 6 4 3 4 2 2 2" xfId="26759"/>
    <cellStyle name="常规 6 4 3 4 2 2 3" xfId="5783"/>
    <cellStyle name="常规 6 4 3 4 2 3" xfId="26761"/>
    <cellStyle name="常规 6 4 3 4 2 3 2" xfId="26762"/>
    <cellStyle name="常规 6 4 3 4 2 3 2 2" xfId="12087"/>
    <cellStyle name="常规 6 4 3 4 2 3 2 3" xfId="12194"/>
    <cellStyle name="常规 6 4 3 4 2 3 2 3 2" xfId="12196"/>
    <cellStyle name="常规 6 4 3 4 2 3 3" xfId="5842"/>
    <cellStyle name="常规 6 4 3 4 2 3 4" xfId="5858"/>
    <cellStyle name="常规 6 4 3 4 2 4" xfId="26763"/>
    <cellStyle name="常规 6 4 3 4 3" xfId="19393"/>
    <cellStyle name="常规 6 4 3 4 3 2" xfId="26764"/>
    <cellStyle name="常规 6 4 3 4 3 2 2" xfId="26765"/>
    <cellStyle name="常规 6 4 3 4 3 2 3" xfId="5883"/>
    <cellStyle name="常规 6 4 3 4 3 2 3 2" xfId="26767"/>
    <cellStyle name="常规 6 4 3 4 3 3" xfId="26768"/>
    <cellStyle name="常规 6 4 3 4 3 4" xfId="26769"/>
    <cellStyle name="常规 6 4 3 4 4" xfId="19395"/>
    <cellStyle name="常规 6 4 3 5" xfId="13792"/>
    <cellStyle name="常规 6 4 3 5 2" xfId="19401"/>
    <cellStyle name="常规 6 4 3 5 2 2" xfId="26770"/>
    <cellStyle name="常规 6 4 3 5 2 3" xfId="4837"/>
    <cellStyle name="常规 6 4 3 5 3" xfId="19403"/>
    <cellStyle name="常规 6 4 3 5 3 2" xfId="26772"/>
    <cellStyle name="常规 6 4 3 5 3 2 2" xfId="26773"/>
    <cellStyle name="常规 6 4 3 5 3 2 3" xfId="26775"/>
    <cellStyle name="常规 6 4 3 5 3 2 3 2" xfId="26776"/>
    <cellStyle name="常规 6 4 3 5 3 3" xfId="5424"/>
    <cellStyle name="常规 6 4 3 5 3 4" xfId="5548"/>
    <cellStyle name="常规 6 4 3 5 4" xfId="26778"/>
    <cellStyle name="常规 6 4 3 6" xfId="13795"/>
    <cellStyle name="常规 6 4 3 6 2" xfId="26779"/>
    <cellStyle name="常规 6 4 3 6 2 2" xfId="26780"/>
    <cellStyle name="常规 6 4 3 6 2 3" xfId="3200"/>
    <cellStyle name="常规 6 4 3 6 2 3 2" xfId="5556"/>
    <cellStyle name="常规 6 4 3 6 3" xfId="26781"/>
    <cellStyle name="常规 6 4 3 6 4" xfId="26622"/>
    <cellStyle name="常规 6 4 3 7" xfId="13798"/>
    <cellStyle name="常规 6 4 4" xfId="26782"/>
    <cellStyle name="常规 6 4 4 2" xfId="26784"/>
    <cellStyle name="常规 6 4 4 2 2" xfId="1959"/>
    <cellStyle name="常规 6 4 4 2 2 2" xfId="26785"/>
    <cellStyle name="常规 6 4 4 2 2 2 2" xfId="26788"/>
    <cellStyle name="常规 6 4 4 2 2 2 3" xfId="24759"/>
    <cellStyle name="常规 6 4 4 2 2 2 3 2" xfId="26789"/>
    <cellStyle name="常规 6 4 4 2 2 3" xfId="26790"/>
    <cellStyle name="常规 6 4 4 2 2 4" xfId="26791"/>
    <cellStyle name="常规 6 4 4 2 3" xfId="12768"/>
    <cellStyle name="常规 6 4 4 3" xfId="14578"/>
    <cellStyle name="常规 6 4 4 3 2" xfId="9960"/>
    <cellStyle name="常规 6 4 4 3 2 2" xfId="26793"/>
    <cellStyle name="常规 6 4 4 3 2 3" xfId="26794"/>
    <cellStyle name="常规 6 4 4 3 3" xfId="9967"/>
    <cellStyle name="常规 6 4 4 3 3 2" xfId="26795"/>
    <cellStyle name="常规 6 4 4 3 3 2 2" xfId="26796"/>
    <cellStyle name="常规 6 4 4 3 3 2 3" xfId="26797"/>
    <cellStyle name="常规 6 4 4 3 3 2 3 2" xfId="26798"/>
    <cellStyle name="常规 6 4 4 3 3 3" xfId="26799"/>
    <cellStyle name="常规 6 4 4 3 3 4" xfId="26800"/>
    <cellStyle name="常规 6 4 4 3 4" xfId="10208"/>
    <cellStyle name="常规 6 4 4 4" xfId="19128"/>
    <cellStyle name="常规 6 4 4 4 2" xfId="26801"/>
    <cellStyle name="常规 6 4 4 4 2 2" xfId="15958"/>
    <cellStyle name="常规 6 4 4 4 2 3" xfId="26802"/>
    <cellStyle name="常规 6 4 4 4 2 3 2" xfId="15124"/>
    <cellStyle name="常规 6 4 4 4 3" xfId="26803"/>
    <cellStyle name="常规 6 4 4 4 4" xfId="26804"/>
    <cellStyle name="常规 6 4 4 5" xfId="13808"/>
    <cellStyle name="常规 6 4 5" xfId="26805"/>
    <cellStyle name="常规 6 4 5 2" xfId="12103"/>
    <cellStyle name="常规 6 4 5 2 2" xfId="2996"/>
    <cellStyle name="常规 6 4 5 2 3" xfId="26807"/>
    <cellStyle name="常规 6 4 5 3" xfId="19133"/>
    <cellStyle name="常规 6 4 5 3 2" xfId="26808"/>
    <cellStyle name="常规 6 4 5 3 2 2" xfId="15470"/>
    <cellStyle name="常规 6 4 5 3 2 3" xfId="15474"/>
    <cellStyle name="常规 6 4 5 3 2 3 2" xfId="26809"/>
    <cellStyle name="常规 6 4 5 3 3" xfId="26810"/>
    <cellStyle name="常规 6 4 5 3 4" xfId="26811"/>
    <cellStyle name="常规 6 4 5 4" xfId="19136"/>
    <cellStyle name="常规 6 4 6" xfId="26812"/>
    <cellStyle name="常规 6 4 6 2" xfId="12110"/>
    <cellStyle name="常规 6 4 6 2 2" xfId="3060"/>
    <cellStyle name="常规 6 4 6 2 3" xfId="4180"/>
    <cellStyle name="常规 6 4 6 2 3 2" xfId="26806"/>
    <cellStyle name="常规 6 4 6 3" xfId="12121"/>
    <cellStyle name="常规 6 4 6 4" xfId="19140"/>
    <cellStyle name="常规 6 4 7" xfId="26814"/>
    <cellStyle name="常规 6 5" xfId="26816"/>
    <cellStyle name="常规 6 5 2" xfId="26817"/>
    <cellStyle name="常规 6 5 2 2" xfId="17402"/>
    <cellStyle name="常规 6 5 2 2 2" xfId="26819"/>
    <cellStyle name="常规 6 5 2 2 2 2" xfId="20837"/>
    <cellStyle name="常规 6 5 2 2 2 3" xfId="26820"/>
    <cellStyle name="常规 6 5 2 2 3" xfId="26821"/>
    <cellStyle name="常规 6 5 2 2 3 2" xfId="26822"/>
    <cellStyle name="常规 6 5 2 2 3 2 2" xfId="26823"/>
    <cellStyle name="常规 6 5 2 2 3 2 3" xfId="26825"/>
    <cellStyle name="常规 6 5 2 2 3 2 3 2" xfId="8971"/>
    <cellStyle name="常规 6 5 2 2 3 3" xfId="26827"/>
    <cellStyle name="常规 6 5 2 2 3 4" xfId="25586"/>
    <cellStyle name="常规 6 5 2 2 4" xfId="26828"/>
    <cellStyle name="常规 6 5 2 3" xfId="17406"/>
    <cellStyle name="常规 6 5 2 3 2" xfId="26830"/>
    <cellStyle name="常规 6 5 2 3 2 2" xfId="2574"/>
    <cellStyle name="常规 6 5 2 3 2 3" xfId="26831"/>
    <cellStyle name="常规 6 5 2 3 2 3 2" xfId="5337"/>
    <cellStyle name="常规 6 5 2 3 3" xfId="26832"/>
    <cellStyle name="常规 6 5 2 3 4" xfId="26833"/>
    <cellStyle name="常规 6 5 2 4" xfId="17411"/>
    <cellStyle name="常规 6 5 3" xfId="26834"/>
    <cellStyle name="常规 6 5 3 2" xfId="26836"/>
    <cellStyle name="常规 6 5 3 2 2" xfId="26837"/>
    <cellStyle name="常规 6 5 3 2 2 2" xfId="26838"/>
    <cellStyle name="常规 6 5 3 2 2 2 2" xfId="26839"/>
    <cellStyle name="常规 6 5 3 2 2 2 3" xfId="26841"/>
    <cellStyle name="常规 6 5 3 2 2 2 3 2" xfId="26842"/>
    <cellStyle name="常规 6 5 3 2 2 3" xfId="26843"/>
    <cellStyle name="常规 6 5 3 2 2 4" xfId="26844"/>
    <cellStyle name="常规 6 5 3 2 3" xfId="26845"/>
    <cellStyle name="常规 6 5 3 3" xfId="19267"/>
    <cellStyle name="常规 6 5 3 3 2" xfId="26846"/>
    <cellStyle name="常规 6 5 3 3 2 2" xfId="26847"/>
    <cellStyle name="常规 6 5 3 3 2 3" xfId="26849"/>
    <cellStyle name="常规 6 5 3 3 3" xfId="26850"/>
    <cellStyle name="常规 6 5 3 3 3 2" xfId="26851"/>
    <cellStyle name="常规 6 5 3 3 3 2 2" xfId="13271"/>
    <cellStyle name="常规 6 5 3 3 3 2 3" xfId="26852"/>
    <cellStyle name="常规 6 5 3 3 3 2 3 2" xfId="870"/>
    <cellStyle name="常规 6 5 3 3 3 3" xfId="26854"/>
    <cellStyle name="常规 6 5 3 3 3 4" xfId="26855"/>
    <cellStyle name="常规 6 5 3 3 4" xfId="26856"/>
    <cellStyle name="常规 6 5 3 4" xfId="19270"/>
    <cellStyle name="常规 6 5 3 4 2" xfId="26005"/>
    <cellStyle name="常规 6 5 3 4 2 2" xfId="26857"/>
    <cellStyle name="常规 6 5 3 4 2 3" xfId="26860"/>
    <cellStyle name="常规 6 5 3 4 2 3 2" xfId="24145"/>
    <cellStyle name="常规 6 5 3 4 3" xfId="26007"/>
    <cellStyle name="常规 6 5 3 4 4" xfId="26862"/>
    <cellStyle name="常规 6 5 3 5" xfId="19273"/>
    <cellStyle name="常规 6 5 4" xfId="26863"/>
    <cellStyle name="常规 6 5 4 2" xfId="26864"/>
    <cellStyle name="常规 6 5 4 2 2" xfId="26865"/>
    <cellStyle name="常规 6 5 4 2 2 2" xfId="26866"/>
    <cellStyle name="常规 6 5 4 2 2 3" xfId="26867"/>
    <cellStyle name="常规 6 5 4 2 3" xfId="26868"/>
    <cellStyle name="常规 6 5 4 2 3 2" xfId="26869"/>
    <cellStyle name="常规 6 5 4 2 3 2 2" xfId="26871"/>
    <cellStyle name="常规 6 5 4 2 3 2 3" xfId="10515"/>
    <cellStyle name="常规 6 5 4 2 3 2 3 2" xfId="10527"/>
    <cellStyle name="常规 6 5 4 2 3 3" xfId="26873"/>
    <cellStyle name="常规 6 5 4 2 3 4" xfId="26875"/>
    <cellStyle name="常规 6 5 4 2 4" xfId="26877"/>
    <cellStyle name="常规 6 5 4 3" xfId="19275"/>
    <cellStyle name="常规 6 5 4 3 2" xfId="26878"/>
    <cellStyle name="常规 6 5 4 3 2 2" xfId="10019"/>
    <cellStyle name="常规 6 5 4 3 2 3" xfId="26879"/>
    <cellStyle name="常规 6 5 4 3 2 3 2" xfId="12970"/>
    <cellStyle name="常规 6 5 4 3 3" xfId="26880"/>
    <cellStyle name="常规 6 5 4 3 4" xfId="26881"/>
    <cellStyle name="常规 6 5 4 4" xfId="19277"/>
    <cellStyle name="常规 6 5 5" xfId="26882"/>
    <cellStyle name="常规 6 5 5 2" xfId="12156"/>
    <cellStyle name="常规 6 5 5 2 2" xfId="820"/>
    <cellStyle name="常规 6 5 5 2 3" xfId="2583"/>
    <cellStyle name="常规 6 5 5 3" xfId="9363"/>
    <cellStyle name="常规 6 5 5 3 2" xfId="3245"/>
    <cellStyle name="常规 6 5 5 3 2 2" xfId="26883"/>
    <cellStyle name="常规 6 5 5 3 2 3" xfId="26884"/>
    <cellStyle name="常规 6 5 5 3 2 3 2" xfId="26885"/>
    <cellStyle name="常规 6 5 5 3 3" xfId="18493"/>
    <cellStyle name="常规 6 5 5 3 4" xfId="18495"/>
    <cellStyle name="常规 6 5 5 4" xfId="19281"/>
    <cellStyle name="常规 6 5 6" xfId="26886"/>
    <cellStyle name="常规 6 5 6 2" xfId="12160"/>
    <cellStyle name="常规 6 5 6 2 2" xfId="2889"/>
    <cellStyle name="常规 6 5 6 2 3" xfId="2899"/>
    <cellStyle name="常规 6 5 6 2 3 2" xfId="26887"/>
    <cellStyle name="常规 6 5 6 3" xfId="10085"/>
    <cellStyle name="常规 6 5 6 4" xfId="19150"/>
    <cellStyle name="常规 6 5 7" xfId="26889"/>
    <cellStyle name="常规 6 6" xfId="26890"/>
    <cellStyle name="常规 6 6 2" xfId="26891"/>
    <cellStyle name="常规 6 6 2 2" xfId="26892"/>
    <cellStyle name="常规 6 6 2 2 2" xfId="26893"/>
    <cellStyle name="常规 6 6 2 2 2 2" xfId="26894"/>
    <cellStyle name="常规 6 6 2 2 2 3" xfId="26895"/>
    <cellStyle name="常规 6 6 2 2 2 3 2" xfId="26896"/>
    <cellStyle name="常规 6 6 2 2 3" xfId="26898"/>
    <cellStyle name="常规 6 6 2 2 4" xfId="13486"/>
    <cellStyle name="常规 6 6 2 3" xfId="19308"/>
    <cellStyle name="常规 6 6 3" xfId="26899"/>
    <cellStyle name="常规 6 6 3 2" xfId="26900"/>
    <cellStyle name="常规 6 6 3 2 2" xfId="26901"/>
    <cellStyle name="常规 6 6 3 2 3" xfId="26902"/>
    <cellStyle name="常规 6 6 3 3" xfId="19314"/>
    <cellStyle name="常规 6 6 3 3 2" xfId="26903"/>
    <cellStyle name="常规 6 6 3 3 2 2" xfId="26904"/>
    <cellStyle name="常规 6 6 3 3 2 3" xfId="26905"/>
    <cellStyle name="常规 6 6 3 3 2 3 2" xfId="14459"/>
    <cellStyle name="常规 6 6 3 3 3" xfId="26906"/>
    <cellStyle name="常规 6 6 3 3 4" xfId="26907"/>
    <cellStyle name="常规 6 6 3 4" xfId="19316"/>
    <cellStyle name="常规 6 6 4" xfId="26908"/>
    <cellStyle name="常规 6 6 4 2" xfId="26909"/>
    <cellStyle name="常规 6 6 4 2 2" xfId="26910"/>
    <cellStyle name="常规 6 6 4 2 3" xfId="26911"/>
    <cellStyle name="常规 6 6 4 2 3 2" xfId="26912"/>
    <cellStyle name="常规 6 6 4 3" xfId="19321"/>
    <cellStyle name="常规 6 6 4 4" xfId="19324"/>
    <cellStyle name="常规 6 6 5" xfId="26914"/>
    <cellStyle name="常规 6 7" xfId="26915"/>
    <cellStyle name="常规 6 7 2" xfId="26917"/>
    <cellStyle name="常规 6 7 2 2" xfId="26918"/>
    <cellStyle name="常规 6 7 2 2 2" xfId="26919"/>
    <cellStyle name="常规 6 7 2 2 2 2" xfId="26920"/>
    <cellStyle name="常规 6 7 2 2 2 3" xfId="26921"/>
    <cellStyle name="常规 6 7 2 2 2 3 2" xfId="26922"/>
    <cellStyle name="常规 6 7 2 2 3" xfId="26923"/>
    <cellStyle name="常规 6 7 2 2 4" xfId="26924"/>
    <cellStyle name="常规 6 7 2 3" xfId="26925"/>
    <cellStyle name="常规 6 7 3" xfId="26926"/>
    <cellStyle name="常规 6 7 3 2" xfId="26927"/>
    <cellStyle name="常规 6 7 3 2 2" xfId="26929"/>
    <cellStyle name="常规 6 7 3 2 3" xfId="26930"/>
    <cellStyle name="常规 6 7 3 3" xfId="26931"/>
    <cellStyle name="常规 6 7 3 3 2" xfId="26932"/>
    <cellStyle name="常规 6 7 3 3 2 2" xfId="26934"/>
    <cellStyle name="常规 6 7 3 3 2 3" xfId="26936"/>
    <cellStyle name="常规 6 7 3 3 2 3 2" xfId="26938"/>
    <cellStyle name="常规 6 7 3 3 3" xfId="26940"/>
    <cellStyle name="常规 6 7 3 3 4" xfId="26942"/>
    <cellStyle name="常规 6 7 3 4" xfId="26944"/>
    <cellStyle name="常规 6 7 4" xfId="26945"/>
    <cellStyle name="常规 6 7 4 2" xfId="18806"/>
    <cellStyle name="常规 6 7 4 2 2" xfId="18808"/>
    <cellStyle name="常规 6 7 4 2 3" xfId="18810"/>
    <cellStyle name="常规 6 7 4 2 3 2" xfId="1472"/>
    <cellStyle name="常规 6 7 4 3" xfId="18815"/>
    <cellStyle name="常规 6 7 4 4" xfId="26946"/>
    <cellStyle name="常规 6 7 5" xfId="26948"/>
    <cellStyle name="常规 6 8" xfId="26949"/>
    <cellStyle name="常规 6 8 2" xfId="26951"/>
    <cellStyle name="常规 6 8 2 2" xfId="26953"/>
    <cellStyle name="常规 6 8 2 3" xfId="26954"/>
    <cellStyle name="常规 6 8 3" xfId="26955"/>
    <cellStyle name="常规 6 8 3 2" xfId="26956"/>
    <cellStyle name="常规 6 8 3 2 2" xfId="26957"/>
    <cellStyle name="常规 6 8 3 2 3" xfId="26958"/>
    <cellStyle name="常规 6 8 3 2 3 2" xfId="12837"/>
    <cellStyle name="常规 6 8 3 3" xfId="26959"/>
    <cellStyle name="常规 6 8 3 4" xfId="26960"/>
    <cellStyle name="常规 6 8 4" xfId="26961"/>
    <cellStyle name="常规 6 9" xfId="26962"/>
    <cellStyle name="常规 6 9 2" xfId="26963"/>
    <cellStyle name="常规 6 9 2 2" xfId="8160"/>
    <cellStyle name="常规 6 9 2 3" xfId="8165"/>
    <cellStyle name="常规 6 9 2 3 2" xfId="14110"/>
    <cellStyle name="常规 6 9 3" xfId="26964"/>
    <cellStyle name="常规 6 9 4" xfId="26965"/>
    <cellStyle name="常规 7" xfId="20483"/>
    <cellStyle name="常规 7 10" xfId="24416"/>
    <cellStyle name="常规 7 2" xfId="18240"/>
    <cellStyle name="常规 7 2 2" xfId="26966"/>
    <cellStyle name="常规 7 2 2 2" xfId="26967"/>
    <cellStyle name="常规 7 2 2 2 2" xfId="26968"/>
    <cellStyle name="常规 7 2 2 2 2 2" xfId="26969"/>
    <cellStyle name="常规 7 2 2 2 2 2 2" xfId="21598"/>
    <cellStyle name="常规 7 2 2 2 2 2 3" xfId="21602"/>
    <cellStyle name="常规 7 2 2 2 2 3" xfId="26970"/>
    <cellStyle name="常规 7 2 2 2 3" xfId="3481"/>
    <cellStyle name="常规 7 2 2 2 3 2" xfId="3492"/>
    <cellStyle name="常规 7 2 2 2 3 3" xfId="3513"/>
    <cellStyle name="常规 7 2 2 2 4" xfId="632"/>
    <cellStyle name="常规 7 2 2 3" xfId="26971"/>
    <cellStyle name="常规 7 2 2 3 2" xfId="26972"/>
    <cellStyle name="常规 7 2 2 3 2 2" xfId="17151"/>
    <cellStyle name="常规 7 2 2 3 2 3" xfId="17154"/>
    <cellStyle name="常规 7 2 2 3 3" xfId="3682"/>
    <cellStyle name="常规 7 2 2 4" xfId="26567"/>
    <cellStyle name="常规 7 2 2 4 2" xfId="26973"/>
    <cellStyle name="常规 7 2 2 4 3" xfId="3772"/>
    <cellStyle name="常规 7 2 2 5" xfId="26569"/>
    <cellStyle name="常规 7 2 3" xfId="26974"/>
    <cellStyle name="常规 7 2 3 2" xfId="26975"/>
    <cellStyle name="常规 7 2 3 2 2" xfId="26976"/>
    <cellStyle name="常规 7 2 3 2 2 2" xfId="13519"/>
    <cellStyle name="常规 7 2 3 2 2 3" xfId="13524"/>
    <cellStyle name="常规 7 2 3 2 3" xfId="26977"/>
    <cellStyle name="常规 7 2 3 3" xfId="26979"/>
    <cellStyle name="常规 7 2 3 3 2" xfId="26981"/>
    <cellStyle name="常规 7 2 3 3 3" xfId="26983"/>
    <cellStyle name="常规 7 2 3 4" xfId="26986"/>
    <cellStyle name="常规 7 2 4" xfId="26988"/>
    <cellStyle name="常规 7 2 4 2" xfId="26989"/>
    <cellStyle name="常规 7 2 4 2 2" xfId="26990"/>
    <cellStyle name="常规 7 2 4 2 2 2" xfId="26991"/>
    <cellStyle name="常规 7 2 4 2 2 3" xfId="26992"/>
    <cellStyle name="常规 7 2 4 2 3" xfId="26993"/>
    <cellStyle name="常规 7 2 4 3" xfId="26995"/>
    <cellStyle name="常规 7 2 4 3 2" xfId="26997"/>
    <cellStyle name="常规 7 2 4 3 3" xfId="26999"/>
    <cellStyle name="常规 7 2 4 4" xfId="27001"/>
    <cellStyle name="常规 7 2 5" xfId="27003"/>
    <cellStyle name="常规 7 2 5 2" xfId="27005"/>
    <cellStyle name="常规 7 2 5 2 2" xfId="27006"/>
    <cellStyle name="常规 7 2 5 2 3" xfId="27007"/>
    <cellStyle name="常规 7 2 5 3" xfId="27009"/>
    <cellStyle name="常规 7 2 6" xfId="27011"/>
    <cellStyle name="常规 7 2 6 2" xfId="17795"/>
    <cellStyle name="常规 7 2 6 3" xfId="17800"/>
    <cellStyle name="常规 7 2 7" xfId="27013"/>
    <cellStyle name="常规 7 3" xfId="18244"/>
    <cellStyle name="常规 7 3 2" xfId="8077"/>
    <cellStyle name="常规 7 3 2 2" xfId="27014"/>
    <cellStyle name="常规 7 3 2 2 2" xfId="19295"/>
    <cellStyle name="常规 7 3 2 2 2 2" xfId="27015"/>
    <cellStyle name="常规 7 3 2 2 2 2 2" xfId="25807"/>
    <cellStyle name="常规 7 3 2 2 2 2 3" xfId="25816"/>
    <cellStyle name="常规 7 3 2 2 2 3" xfId="27016"/>
    <cellStyle name="常规 7 3 2 2 3" xfId="4312"/>
    <cellStyle name="常规 7 3 2 2 3 2" xfId="4321"/>
    <cellStyle name="常规 7 3 2 2 3 3" xfId="4395"/>
    <cellStyle name="常规 7 3 2 2 4" xfId="69"/>
    <cellStyle name="常规 7 3 2 3" xfId="13847"/>
    <cellStyle name="常规 7 3 2 3 2" xfId="19299"/>
    <cellStyle name="常规 7 3 2 3 2 2" xfId="18649"/>
    <cellStyle name="常规 7 3 2 3 2 3" xfId="18676"/>
    <cellStyle name="常规 7 3 2 3 3" xfId="2420"/>
    <cellStyle name="常规 7 3 2 4" xfId="13852"/>
    <cellStyle name="常规 7 3 2 4 2" xfId="19303"/>
    <cellStyle name="常规 7 3 2 4 3" xfId="2535"/>
    <cellStyle name="常规 7 3 2 5" xfId="13857"/>
    <cellStyle name="常规 7 3 3" xfId="27017"/>
    <cellStyle name="常规 7 3 3 2" xfId="27018"/>
    <cellStyle name="常规 7 3 3 2 2" xfId="27019"/>
    <cellStyle name="常规 7 3 3 2 2 2" xfId="27020"/>
    <cellStyle name="常规 7 3 3 2 2 3" xfId="27021"/>
    <cellStyle name="常规 7 3 3 2 3" xfId="27022"/>
    <cellStyle name="常规 7 3 3 3" xfId="13878"/>
    <cellStyle name="常规 7 3 3 3 2" xfId="27024"/>
    <cellStyle name="常规 7 3 3 3 3" xfId="27026"/>
    <cellStyle name="常规 7 3 3 4" xfId="13884"/>
    <cellStyle name="常规 7 3 4" xfId="27028"/>
    <cellStyle name="常规 7 3 4 2" xfId="27029"/>
    <cellStyle name="常规 7 3 4 2 2" xfId="27030"/>
    <cellStyle name="常规 7 3 4 2 2 2" xfId="27031"/>
    <cellStyle name="常规 7 3 4 2 2 3" xfId="27032"/>
    <cellStyle name="常规 7 3 4 2 3" xfId="27033"/>
    <cellStyle name="常规 7 3 4 3" xfId="13896"/>
    <cellStyle name="常规 7 3 4 3 2" xfId="27034"/>
    <cellStyle name="常规 7 3 4 3 3" xfId="27035"/>
    <cellStyle name="常规 7 3 4 4" xfId="13902"/>
    <cellStyle name="常规 7 3 5" xfId="27037"/>
    <cellStyle name="常规 7 3 5 2" xfId="27038"/>
    <cellStyle name="常规 7 3 5 2 2" xfId="27039"/>
    <cellStyle name="常规 7 3 5 2 3" xfId="27040"/>
    <cellStyle name="常规 7 3 5 3" xfId="13927"/>
    <cellStyle name="常规 7 3 6" xfId="27041"/>
    <cellStyle name="常规 7 3 6 2" xfId="27043"/>
    <cellStyle name="常规 7 3 6 3" xfId="13949"/>
    <cellStyle name="常规 7 3 7" xfId="27044"/>
    <cellStyle name="常规 7 4" xfId="7296"/>
    <cellStyle name="常规 7 4 2" xfId="18301"/>
    <cellStyle name="常规 7 4 2 2" xfId="27046"/>
    <cellStyle name="常规 7 4 2 2 2" xfId="14602"/>
    <cellStyle name="常规 7 4 2 2 2 2" xfId="15167"/>
    <cellStyle name="常规 7 4 2 2 2 2 2" xfId="12775"/>
    <cellStyle name="常规 7 4 2 2 2 2 3" xfId="15955"/>
    <cellStyle name="常规 7 4 2 2 2 3" xfId="13313"/>
    <cellStyle name="常规 7 4 2 2 3" xfId="4943"/>
    <cellStyle name="常规 7 4 2 2 3 2" xfId="4946"/>
    <cellStyle name="常规 7 4 2 2 3 3" xfId="4967"/>
    <cellStyle name="常规 7 4 2 2 4" xfId="1419"/>
    <cellStyle name="常规 7 4 2 3" xfId="14116"/>
    <cellStyle name="常规 7 4 2 3 2" xfId="5395"/>
    <cellStyle name="常规 7 4 2 3 2 2" xfId="27047"/>
    <cellStyle name="常规 7 4 2 3 2 3" xfId="27050"/>
    <cellStyle name="常规 7 4 2 3 3" xfId="5169"/>
    <cellStyle name="常规 7 4 2 4" xfId="14122"/>
    <cellStyle name="常规 7 4 2 4 2" xfId="26017"/>
    <cellStyle name="常规 7 4 2 4 3" xfId="5195"/>
    <cellStyle name="常规 7 4 2 5" xfId="14129"/>
    <cellStyle name="常规 7 4 3" xfId="18311"/>
    <cellStyle name="常规 7 4 3 2" xfId="25045"/>
    <cellStyle name="常规 7 4 3 2 2" xfId="27053"/>
    <cellStyle name="常规 7 4 3 2 2 2" xfId="27054"/>
    <cellStyle name="常规 7 4 3 2 2 3" xfId="27055"/>
    <cellStyle name="常规 7 4 3 2 3" xfId="27056"/>
    <cellStyle name="常规 7 4 3 3" xfId="14146"/>
    <cellStyle name="常规 7 4 3 3 2" xfId="27057"/>
    <cellStyle name="常规 7 4 3 3 3" xfId="27059"/>
    <cellStyle name="常规 7 4 3 4" xfId="14152"/>
    <cellStyle name="常规 7 4 4" xfId="18318"/>
    <cellStyle name="常规 7 4 4 2" xfId="25053"/>
    <cellStyle name="常规 7 4 4 2 2" xfId="27062"/>
    <cellStyle name="常规 7 4 4 2 2 2" xfId="27063"/>
    <cellStyle name="常规 7 4 4 2 2 3" xfId="27064"/>
    <cellStyle name="常规 7 4 4 2 3" xfId="27065"/>
    <cellStyle name="常规 7 4 4 3" xfId="14177"/>
    <cellStyle name="常规 7 4 4 3 2" xfId="27066"/>
    <cellStyle name="常规 7 4 4 3 3" xfId="27067"/>
    <cellStyle name="常规 7 4 4 4" xfId="14183"/>
    <cellStyle name="常规 7 4 5" xfId="18326"/>
    <cellStyle name="常规 7 4 5 2" xfId="12205"/>
    <cellStyle name="常规 7 4 5 2 2" xfId="8251"/>
    <cellStyle name="常规 7 4 5 2 3" xfId="20886"/>
    <cellStyle name="常规 7 4 5 3" xfId="14201"/>
    <cellStyle name="常规 7 4 6" xfId="18334"/>
    <cellStyle name="常规 7 4 6 2" xfId="14220"/>
    <cellStyle name="常规 7 4 6 3" xfId="14226"/>
    <cellStyle name="常规 7 4 7" xfId="20827"/>
    <cellStyle name="常规 7 5" xfId="6476"/>
    <cellStyle name="常规 7 5 2" xfId="27068"/>
    <cellStyle name="常规 7 5 2 2" xfId="25061"/>
    <cellStyle name="常规 7 5 2 2 2" xfId="27069"/>
    <cellStyle name="常规 7 5 2 2 2 2" xfId="27070"/>
    <cellStyle name="常规 7 5 2 2 2 3" xfId="27071"/>
    <cellStyle name="常规 7 5 2 2 3" xfId="3316"/>
    <cellStyle name="常规 7 5 2 3" xfId="27072"/>
    <cellStyle name="常规 7 5 2 3 2" xfId="27073"/>
    <cellStyle name="常规 7 5 2 3 3" xfId="3394"/>
    <cellStyle name="常规 7 5 2 4" xfId="26021"/>
    <cellStyle name="常规 7 5 3" xfId="27074"/>
    <cellStyle name="常规 7 5 3 2" xfId="25070"/>
    <cellStyle name="常规 7 5 3 2 2" xfId="27075"/>
    <cellStyle name="常规 7 5 3 2 3" xfId="27076"/>
    <cellStyle name="常规 7 5 3 3" xfId="27077"/>
    <cellStyle name="常规 7 5 4" xfId="27079"/>
    <cellStyle name="常规 7 5 4 2" xfId="14530"/>
    <cellStyle name="常规 7 5 4 3" xfId="685"/>
    <cellStyle name="常规 7 5 5" xfId="27080"/>
    <cellStyle name="常规 7 6" xfId="18248"/>
    <cellStyle name="常规 7 6 2" xfId="27081"/>
    <cellStyle name="常规 7 6 2 2" xfId="27082"/>
    <cellStyle name="常规 7 6 2 2 2" xfId="27083"/>
    <cellStyle name="常规 7 6 2 2 3" xfId="27084"/>
    <cellStyle name="常规 7 6 2 3" xfId="27085"/>
    <cellStyle name="常规 7 6 3" xfId="27086"/>
    <cellStyle name="常规 7 6 3 2" xfId="25077"/>
    <cellStyle name="常规 7 6 3 3" xfId="27087"/>
    <cellStyle name="常规 7 6 4" xfId="27088"/>
    <cellStyle name="常规 7 7" xfId="18253"/>
    <cellStyle name="常规 7 7 2" xfId="27089"/>
    <cellStyle name="常规 7 7 2 2" xfId="27091"/>
    <cellStyle name="常规 7 7 2 2 2" xfId="27092"/>
    <cellStyle name="常规 7 7 2 2 3" xfId="27093"/>
    <cellStyle name="常规 7 7 2 3" xfId="27094"/>
    <cellStyle name="常规 7 7 3" xfId="27095"/>
    <cellStyle name="常规 7 7 3 2" xfId="27096"/>
    <cellStyle name="常规 7 7 3 3" xfId="20541"/>
    <cellStyle name="常规 7 7 4" xfId="27097"/>
    <cellStyle name="常规 7 8" xfId="27098"/>
    <cellStyle name="常规 7 8 2" xfId="27099"/>
    <cellStyle name="常规 7 8 2 2" xfId="27100"/>
    <cellStyle name="常规 7 8 2 3" xfId="27101"/>
    <cellStyle name="常规 7 8 3" xfId="27102"/>
    <cellStyle name="常规 7 9" xfId="27103"/>
    <cellStyle name="常规 7 9 2" xfId="4477"/>
    <cellStyle name="常规 7 9 3" xfId="20894"/>
    <cellStyle name="常规 8" xfId="20485"/>
    <cellStyle name="常规 8 10" xfId="13597"/>
    <cellStyle name="常规 8 2" xfId="18622"/>
    <cellStyle name="常规 8 2 2" xfId="18626"/>
    <cellStyle name="常规 8 2 2 2" xfId="27104"/>
    <cellStyle name="常规 8 2 2 2 2" xfId="4614"/>
    <cellStyle name="常规 8 2 2 2 2 2" xfId="15937"/>
    <cellStyle name="常规 8 2 2 2 2 2 2" xfId="27105"/>
    <cellStyle name="常规 8 2 2 2 2 2 3" xfId="27106"/>
    <cellStyle name="常规 8 2 2 2 2 3" xfId="11670"/>
    <cellStyle name="常规 8 2 2 2 3" xfId="11746"/>
    <cellStyle name="常规 8 2 2 2 3 2" xfId="11752"/>
    <cellStyle name="常规 8 2 2 2 3 3" xfId="11697"/>
    <cellStyle name="常规 8 2 2 2 4" xfId="19498"/>
    <cellStyle name="常规 8 2 2 3" xfId="27107"/>
    <cellStyle name="常规 8 2 2 3 2" xfId="27108"/>
    <cellStyle name="常规 8 2 2 3 2 2" xfId="16067"/>
    <cellStyle name="常规 8 2 2 3 2 3" xfId="16069"/>
    <cellStyle name="常规 8 2 2 3 3" xfId="27109"/>
    <cellStyle name="常规 8 2 2 4" xfId="27110"/>
    <cellStyle name="常规 8 2 2 4 2" xfId="27111"/>
    <cellStyle name="常规 8 2 2 4 3" xfId="27112"/>
    <cellStyle name="常规 8 2 2 5" xfId="27113"/>
    <cellStyle name="常规 8 2 3" xfId="18630"/>
    <cellStyle name="常规 8 2 3 2" xfId="27114"/>
    <cellStyle name="常规 8 2 3 2 2" xfId="27115"/>
    <cellStyle name="常规 8 2 3 2 2 2" xfId="16935"/>
    <cellStyle name="常规 8 2 3 2 2 3" xfId="16937"/>
    <cellStyle name="常规 8 2 3 2 3" xfId="27116"/>
    <cellStyle name="常规 8 2 3 3" xfId="27117"/>
    <cellStyle name="常规 8 2 3 3 2" xfId="27119"/>
    <cellStyle name="常规 8 2 3 3 3" xfId="27121"/>
    <cellStyle name="常规 8 2 3 4" xfId="27123"/>
    <cellStyle name="常规 8 2 4" xfId="18634"/>
    <cellStyle name="常规 8 2 4 2" xfId="27125"/>
    <cellStyle name="常规 8 2 4 2 2" xfId="27126"/>
    <cellStyle name="常规 8 2 4 2 2 2" xfId="17620"/>
    <cellStyle name="常规 8 2 4 2 2 3" xfId="17622"/>
    <cellStyle name="常规 8 2 4 2 3" xfId="27128"/>
    <cellStyle name="常规 8 2 4 3" xfId="27129"/>
    <cellStyle name="常规 8 2 4 3 2" xfId="27131"/>
    <cellStyle name="常规 8 2 4 3 3" xfId="27133"/>
    <cellStyle name="常规 8 2 4 4" xfId="24766"/>
    <cellStyle name="常规 8 2 5" xfId="18639"/>
    <cellStyle name="常规 8 2 5 2" xfId="27135"/>
    <cellStyle name="常规 8 2 5 2 2" xfId="27136"/>
    <cellStyle name="常规 8 2 5 2 3" xfId="27137"/>
    <cellStyle name="常规 8 2 5 3" xfId="9855"/>
    <cellStyle name="常规 8 2 6" xfId="18645"/>
    <cellStyle name="常规 8 2 6 2" xfId="27138"/>
    <cellStyle name="常规 8 2 6 3" xfId="2466"/>
    <cellStyle name="常规 8 2 7" xfId="16007"/>
    <cellStyle name="常规 8 3" xfId="18650"/>
    <cellStyle name="常规 8 3 2" xfId="18655"/>
    <cellStyle name="常规 8 3 2 2" xfId="25832"/>
    <cellStyle name="常规 8 3 2 2 2" xfId="27139"/>
    <cellStyle name="常规 8 3 2 2 2 2" xfId="19209"/>
    <cellStyle name="常规 8 3 2 2 2 2 2" xfId="27140"/>
    <cellStyle name="常规 8 3 2 2 2 2 3" xfId="27141"/>
    <cellStyle name="常规 8 3 2 2 2 3" xfId="19212"/>
    <cellStyle name="常规 8 3 2 2 3" xfId="27142"/>
    <cellStyle name="常规 8 3 2 2 3 2" xfId="19231"/>
    <cellStyle name="常规 8 3 2 2 3 3" xfId="2623"/>
    <cellStyle name="常规 8 3 2 2 4" xfId="7899"/>
    <cellStyle name="常规 8 3 2 3" xfId="14886"/>
    <cellStyle name="常规 8 3 2 3 2" xfId="27143"/>
    <cellStyle name="常规 8 3 2 3 2 2" xfId="20294"/>
    <cellStyle name="常规 8 3 2 3 2 3" xfId="20297"/>
    <cellStyle name="常规 8 3 2 3 3" xfId="27144"/>
    <cellStyle name="常规 8 3 2 4" xfId="14891"/>
    <cellStyle name="常规 8 3 2 4 2" xfId="27145"/>
    <cellStyle name="常规 8 3 2 4 3" xfId="9891"/>
    <cellStyle name="常规 8 3 2 5" xfId="14369"/>
    <cellStyle name="常规 8 3 3" xfId="18659"/>
    <cellStyle name="常规 8 3 3 2" xfId="27146"/>
    <cellStyle name="常规 8 3 3 2 2" xfId="27147"/>
    <cellStyle name="常规 8 3 3 2 2 2" xfId="20819"/>
    <cellStyle name="常规 8 3 3 2 2 3" xfId="5817"/>
    <cellStyle name="常规 8 3 3 2 3" xfId="27148"/>
    <cellStyle name="常规 8 3 3 3" xfId="6820"/>
    <cellStyle name="常规 8 3 3 3 2" xfId="27149"/>
    <cellStyle name="常规 8 3 3 3 3" xfId="27151"/>
    <cellStyle name="常规 8 3 3 4" xfId="6827"/>
    <cellStyle name="常规 8 3 4" xfId="18664"/>
    <cellStyle name="常规 8 3 4 2" xfId="14903"/>
    <cellStyle name="常规 8 3 4 2 2" xfId="9446"/>
    <cellStyle name="常规 8 3 4 2 2 2" xfId="21174"/>
    <cellStyle name="常规 8 3 4 2 2 3" xfId="21176"/>
    <cellStyle name="常规 8 3 4 2 3" xfId="12524"/>
    <cellStyle name="常规 8 3 4 3" xfId="14909"/>
    <cellStyle name="常规 8 3 4 3 2" xfId="20106"/>
    <cellStyle name="常规 8 3 4 3 3" xfId="20108"/>
    <cellStyle name="常规 8 3 4 4" xfId="14916"/>
    <cellStyle name="常规 8 3 5" xfId="18668"/>
    <cellStyle name="常规 8 3 5 2" xfId="14926"/>
    <cellStyle name="常规 8 3 5 2 2" xfId="27153"/>
    <cellStyle name="常规 8 3 5 2 3" xfId="27154"/>
    <cellStyle name="常规 8 3 5 3" xfId="7088"/>
    <cellStyle name="常规 8 3 6" xfId="18672"/>
    <cellStyle name="常规 8 3 6 2" xfId="761"/>
    <cellStyle name="常规 8 3 6 3" xfId="2555"/>
    <cellStyle name="常规 8 3 7" xfId="16014"/>
    <cellStyle name="常规 8 4" xfId="18677"/>
    <cellStyle name="常规 8 4 2" xfId="10109"/>
    <cellStyle name="常规 8 4 2 2" xfId="25092"/>
    <cellStyle name="常规 8 4 2 2 2" xfId="27155"/>
    <cellStyle name="常规 8 4 2 2 2 2" xfId="10550"/>
    <cellStyle name="常规 8 4 2 2 2 2 2" xfId="27156"/>
    <cellStyle name="常规 8 4 2 2 2 2 3" xfId="27157"/>
    <cellStyle name="常规 8 4 2 2 2 3" xfId="10560"/>
    <cellStyle name="常规 8 4 2 2 3" xfId="27158"/>
    <cellStyle name="常规 8 4 2 2 3 2" xfId="14398"/>
    <cellStyle name="常规 8 4 2 2 3 3" xfId="14404"/>
    <cellStyle name="常规 8 4 2 2 4" xfId="27159"/>
    <cellStyle name="常规 8 4 2 3" xfId="27160"/>
    <cellStyle name="常规 8 4 2 3 2" xfId="27161"/>
    <cellStyle name="常规 8 4 2 3 2 2" xfId="8689"/>
    <cellStyle name="常规 8 4 2 3 2 3" xfId="21659"/>
    <cellStyle name="常规 8 4 2 3 3" xfId="27162"/>
    <cellStyle name="常规 8 4 2 4" xfId="26038"/>
    <cellStyle name="常规 8 4 2 4 2" xfId="26040"/>
    <cellStyle name="常规 8 4 2 4 3" xfId="26042"/>
    <cellStyle name="常规 8 4 2 5" xfId="26044"/>
    <cellStyle name="常规 8 4 3" xfId="27163"/>
    <cellStyle name="常规 8 4 3 2" xfId="27164"/>
    <cellStyle name="常规 8 4 3 2 2" xfId="27165"/>
    <cellStyle name="常规 8 4 3 2 2 2" xfId="13315"/>
    <cellStyle name="常规 8 4 3 2 2 3" xfId="992"/>
    <cellStyle name="常规 8 4 3 2 3" xfId="27166"/>
    <cellStyle name="常规 8 4 3 3" xfId="24261"/>
    <cellStyle name="常规 8 4 3 3 2" xfId="24264"/>
    <cellStyle name="常规 8 4 3 3 3" xfId="24273"/>
    <cellStyle name="常规 8 4 3 4" xfId="24294"/>
    <cellStyle name="常规 8 4 4" xfId="12571"/>
    <cellStyle name="常规 8 4 4 2" xfId="27167"/>
    <cellStyle name="常规 8 4 4 2 2" xfId="27168"/>
    <cellStyle name="常规 8 4 4 2 2 2" xfId="12896"/>
    <cellStyle name="常规 8 4 4 2 2 3" xfId="27169"/>
    <cellStyle name="常规 8 4 4 2 3" xfId="27170"/>
    <cellStyle name="常规 8 4 4 3" xfId="24342"/>
    <cellStyle name="常规 8 4 4 3 2" xfId="24345"/>
    <cellStyle name="常规 8 4 4 3 3" xfId="24349"/>
    <cellStyle name="常规 8 4 4 4" xfId="24351"/>
    <cellStyle name="常规 8 4 5" xfId="12576"/>
    <cellStyle name="常规 8 4 5 2" xfId="27171"/>
    <cellStyle name="常规 8 4 5 2 2" xfId="27172"/>
    <cellStyle name="常规 8 4 5 2 3" xfId="27173"/>
    <cellStyle name="常规 8 4 5 3" xfId="1073"/>
    <cellStyle name="常规 8 4 6" xfId="27174"/>
    <cellStyle name="常规 8 4 6 2" xfId="27176"/>
    <cellStyle name="常规 8 4 6 3" xfId="24376"/>
    <cellStyle name="常规 8 4 7" xfId="27177"/>
    <cellStyle name="常规 8 5" xfId="18682"/>
    <cellStyle name="常规 8 5 2" xfId="27178"/>
    <cellStyle name="常规 8 5 2 2" xfId="27180"/>
    <cellStyle name="常规 8 5 2 2 2" xfId="27182"/>
    <cellStyle name="常规 8 5 2 2 2 2" xfId="10817"/>
    <cellStyle name="常规 8 5 2 2 2 3" xfId="27183"/>
    <cellStyle name="常规 8 5 2 2 3" xfId="27184"/>
    <cellStyle name="常规 8 5 2 3" xfId="27186"/>
    <cellStyle name="常规 8 5 2 3 2" xfId="27188"/>
    <cellStyle name="常规 8 5 2 3 3" xfId="27189"/>
    <cellStyle name="常规 8 5 2 4" xfId="26050"/>
    <cellStyle name="常规 8 5 3" xfId="27190"/>
    <cellStyle name="常规 8 5 3 2" xfId="25106"/>
    <cellStyle name="常规 8 5 3 2 2" xfId="27192"/>
    <cellStyle name="常规 8 5 3 2 3" xfId="27193"/>
    <cellStyle name="常规 8 5 3 3" xfId="1122"/>
    <cellStyle name="常规 8 5 4" xfId="12586"/>
    <cellStyle name="常规 8 5 4 2" xfId="12592"/>
    <cellStyle name="常规 8 5 4 3" xfId="1145"/>
    <cellStyle name="常规 8 5 5" xfId="12598"/>
    <cellStyle name="常规 8 6" xfId="18686"/>
    <cellStyle name="常规 8 6 2" xfId="27194"/>
    <cellStyle name="常规 8 6 2 2" xfId="27195"/>
    <cellStyle name="常规 8 6 2 2 2" xfId="27197"/>
    <cellStyle name="常规 8 6 2 2 3" xfId="27199"/>
    <cellStyle name="常规 8 6 2 3" xfId="27201"/>
    <cellStyle name="常规 8 6 3" xfId="27203"/>
    <cellStyle name="常规 8 6 3 2" xfId="27204"/>
    <cellStyle name="常规 8 6 3 3" xfId="24419"/>
    <cellStyle name="常规 8 6 4" xfId="24299"/>
    <cellStyle name="常规 8 7" xfId="18688"/>
    <cellStyle name="常规 8 7 2" xfId="27205"/>
    <cellStyle name="常规 8 7 2 2" xfId="27206"/>
    <cellStyle name="常规 8 7 2 2 2" xfId="6351"/>
    <cellStyle name="常规 8 7 2 2 3" xfId="17025"/>
    <cellStyle name="常规 8 7 2 3" xfId="27208"/>
    <cellStyle name="常规 8 7 3" xfId="27210"/>
    <cellStyle name="常规 8 7 3 2" xfId="27211"/>
    <cellStyle name="常规 8 7 3 3" xfId="24461"/>
    <cellStyle name="常规 8 7 4" xfId="27212"/>
    <cellStyle name="常规 8 8" xfId="18691"/>
    <cellStyle name="常规 8 8 2" xfId="27213"/>
    <cellStyle name="常规 8 8 2 2" xfId="27214"/>
    <cellStyle name="常规 8 8 2 3" xfId="27216"/>
    <cellStyle name="常规 8 8 3" xfId="27218"/>
    <cellStyle name="常规 8 9" xfId="18694"/>
    <cellStyle name="常规 8 9 2" xfId="27219"/>
    <cellStyle name="常规 8 9 3" xfId="27220"/>
    <cellStyle name="常规 9" xfId="20487"/>
    <cellStyle name="常规 9 10" xfId="18184"/>
    <cellStyle name="常规 9 2" xfId="27221"/>
    <cellStyle name="常规 9 2 2" xfId="27222"/>
    <cellStyle name="常规 9 2 2 2" xfId="27223"/>
    <cellStyle name="常规 9 2 2 2 2" xfId="27225"/>
    <cellStyle name="常规 9 2 2 2 2 2" xfId="27227"/>
    <cellStyle name="常规 9 2 2 2 2 2 2" xfId="27229"/>
    <cellStyle name="常规 9 2 2 2 2 2 2 2" xfId="27230"/>
    <cellStyle name="常规 9 2 2 2 2 2 2 3" xfId="27231"/>
    <cellStyle name="常规 9 2 2 2 2 2 2 3 2" xfId="27232"/>
    <cellStyle name="常规 9 2 2 2 2 2 3" xfId="27233"/>
    <cellStyle name="常规 9 2 2 2 2 2 4" xfId="24452"/>
    <cellStyle name="常规 9 2 2 2 2 3" xfId="27234"/>
    <cellStyle name="常规 9 2 2 2 3" xfId="27237"/>
    <cellStyle name="常规 9 2 2 2 3 2" xfId="27239"/>
    <cellStyle name="常规 9 2 2 2 3 2 2" xfId="19218"/>
    <cellStyle name="常规 9 2 2 2 3 2 3" xfId="19221"/>
    <cellStyle name="常规 9 2 2 2 3 3" xfId="27240"/>
    <cellStyle name="常规 9 2 2 2 3 3 2" xfId="2856"/>
    <cellStyle name="常规 9 2 2 2 3 3 2 2" xfId="2861"/>
    <cellStyle name="常规 9 2 2 2 3 3 2 3" xfId="2866"/>
    <cellStyle name="常规 9 2 2 2 3 3 2 3 2" xfId="27241"/>
    <cellStyle name="常规 9 2 2 2 3 3 3" xfId="2871"/>
    <cellStyle name="常规 9 2 2 2 3 3 4" xfId="2905"/>
    <cellStyle name="常规 9 2 2 2 3 4" xfId="27242"/>
    <cellStyle name="常规 9 2 2 2 4" xfId="27243"/>
    <cellStyle name="常规 9 2 2 2 4 2" xfId="19285"/>
    <cellStyle name="常规 9 2 2 2 4 2 2" xfId="27244"/>
    <cellStyle name="常规 9 2 2 2 4 2 3" xfId="27246"/>
    <cellStyle name="常规 9 2 2 2 4 2 3 2" xfId="27247"/>
    <cellStyle name="常规 9 2 2 2 4 3" xfId="2760"/>
    <cellStyle name="常规 9 2 2 2 4 4" xfId="27248"/>
    <cellStyle name="常规 9 2 2 2 5" xfId="27249"/>
    <cellStyle name="常规 9 2 2 3" xfId="27250"/>
    <cellStyle name="常规 9 2 2 3 2" xfId="27252"/>
    <cellStyle name="常规 9 2 2 3 2 2" xfId="12246"/>
    <cellStyle name="常规 9 2 2 3 2 2 2" xfId="27254"/>
    <cellStyle name="常规 9 2 2 3 2 2 3" xfId="27255"/>
    <cellStyle name="常规 9 2 2 3 2 3" xfId="27256"/>
    <cellStyle name="常规 9 2 2 3 2 3 2" xfId="27257"/>
    <cellStyle name="常规 9 2 2 3 2 3 2 2" xfId="27258"/>
    <cellStyle name="常规 9 2 2 3 2 3 2 3" xfId="27259"/>
    <cellStyle name="常规 9 2 2 3 2 3 2 3 2" xfId="27260"/>
    <cellStyle name="常规 9 2 2 3 2 3 3" xfId="27261"/>
    <cellStyle name="常规 9 2 2 3 2 3 4" xfId="27262"/>
    <cellStyle name="常规 9 2 2 3 2 4" xfId="27263"/>
    <cellStyle name="常规 9 2 2 3 3" xfId="27264"/>
    <cellStyle name="常规 9 2 2 3 3 2" xfId="12255"/>
    <cellStyle name="常规 9 2 2 3 3 2 2" xfId="27266"/>
    <cellStyle name="常规 9 2 2 3 3 2 3" xfId="27268"/>
    <cellStyle name="常规 9 2 2 3 3 2 3 2" xfId="1039"/>
    <cellStyle name="常规 9 2 2 3 3 3" xfId="27270"/>
    <cellStyle name="常规 9 2 2 3 3 4" xfId="27271"/>
    <cellStyle name="常规 9 2 2 3 4" xfId="27272"/>
    <cellStyle name="常规 9 2 2 4" xfId="27273"/>
    <cellStyle name="常规 9 2 2 4 2" xfId="27275"/>
    <cellStyle name="常规 9 2 2 4 2 2" xfId="27276"/>
    <cellStyle name="常规 9 2 2 4 2 3" xfId="27277"/>
    <cellStyle name="常规 9 2 2 4 3" xfId="27278"/>
    <cellStyle name="常规 9 2 2 4 3 2" xfId="27279"/>
    <cellStyle name="常规 9 2 2 4 3 2 2" xfId="27280"/>
    <cellStyle name="常规 9 2 2 4 3 2 3" xfId="10324"/>
    <cellStyle name="常规 9 2 2 4 3 2 3 2" xfId="1813"/>
    <cellStyle name="常规 9 2 2 4 3 3" xfId="27282"/>
    <cellStyle name="常规 9 2 2 4 3 4" xfId="27283"/>
    <cellStyle name="常规 9 2 2 4 4" xfId="27284"/>
    <cellStyle name="常规 9 2 2 5" xfId="27285"/>
    <cellStyle name="常规 9 2 2 5 2" xfId="21022"/>
    <cellStyle name="常规 9 2 2 5 2 2" xfId="16323"/>
    <cellStyle name="常规 9 2 2 5 2 3" xfId="16333"/>
    <cellStyle name="常规 9 2 2 5 2 3 2" xfId="16336"/>
    <cellStyle name="常规 9 2 2 5 3" xfId="21024"/>
    <cellStyle name="常规 9 2 2 5 4" xfId="21026"/>
    <cellStyle name="常规 9 2 2 6" xfId="27286"/>
    <cellStyle name="常规 9 2 3" xfId="27287"/>
    <cellStyle name="常规 9 2 3 2" xfId="27288"/>
    <cellStyle name="常规 9 2 3 2 2" xfId="27290"/>
    <cellStyle name="常规 9 2 3 2 2 2" xfId="27292"/>
    <cellStyle name="常规 9 2 3 2 2 2 2" xfId="27293"/>
    <cellStyle name="常规 9 2 3 2 2 2 3" xfId="27294"/>
    <cellStyle name="常规 9 2 3 2 2 2 3 2" xfId="27295"/>
    <cellStyle name="常规 9 2 3 2 2 3" xfId="27296"/>
    <cellStyle name="常规 9 2 3 2 2 4" xfId="27297"/>
    <cellStyle name="常规 9 2 3 2 3" xfId="27298"/>
    <cellStyle name="常规 9 2 3 3" xfId="27300"/>
    <cellStyle name="常规 9 2 3 3 2" xfId="27303"/>
    <cellStyle name="常规 9 2 3 3 2 2" xfId="27305"/>
    <cellStyle name="常规 9 2 3 3 2 3" xfId="27307"/>
    <cellStyle name="常规 9 2 3 3 3" xfId="27309"/>
    <cellStyle name="常规 9 2 3 3 3 2" xfId="27311"/>
    <cellStyle name="常规 9 2 3 3 3 2 2" xfId="27313"/>
    <cellStyle name="常规 9 2 3 3 3 2 3" xfId="27315"/>
    <cellStyle name="常规 9 2 3 3 3 2 3 2" xfId="15836"/>
    <cellStyle name="常规 9 2 3 3 3 3" xfId="27317"/>
    <cellStyle name="常规 9 2 3 3 3 4" xfId="27319"/>
    <cellStyle name="常规 9 2 3 3 4" xfId="27320"/>
    <cellStyle name="常规 9 2 3 4" xfId="27322"/>
    <cellStyle name="常规 9 2 3 4 2" xfId="27324"/>
    <cellStyle name="常规 9 2 3 4 2 2" xfId="27326"/>
    <cellStyle name="常规 9 2 3 4 2 3" xfId="27327"/>
    <cellStyle name="常规 9 2 3 4 2 3 2" xfId="27328"/>
    <cellStyle name="常规 9 2 3 4 3" xfId="27329"/>
    <cellStyle name="常规 9 2 3 4 4" xfId="27331"/>
    <cellStyle name="常规 9 2 3 5" xfId="4803"/>
    <cellStyle name="常规 9 2 4" xfId="27332"/>
    <cellStyle name="常规 9 2 4 2" xfId="27333"/>
    <cellStyle name="常规 9 2 4 2 2" xfId="27335"/>
    <cellStyle name="常规 9 2 4 2 2 2" xfId="27338"/>
    <cellStyle name="常规 9 2 4 2 2 2 2" xfId="21901"/>
    <cellStyle name="常规 9 2 4 2 2 2 3" xfId="21903"/>
    <cellStyle name="常规 9 2 4 2 2 2 3 2" xfId="21813"/>
    <cellStyle name="常规 9 2 4 2 2 3" xfId="27339"/>
    <cellStyle name="常规 9 2 4 2 2 4" xfId="27340"/>
    <cellStyle name="常规 9 2 4 2 3" xfId="27341"/>
    <cellStyle name="常规 9 2 4 3" xfId="27343"/>
    <cellStyle name="常规 9 2 4 3 2" xfId="27346"/>
    <cellStyle name="常规 9 2 4 3 2 2" xfId="20421"/>
    <cellStyle name="常规 9 2 4 3 2 3" xfId="20433"/>
    <cellStyle name="常规 9 2 4 3 3" xfId="27348"/>
    <cellStyle name="常规 9 2 4 3 3 2" xfId="27350"/>
    <cellStyle name="常规 9 2 4 3 3 2 2" xfId="22930"/>
    <cellStyle name="常规 9 2 4 3 3 2 3" xfId="22933"/>
    <cellStyle name="常规 9 2 4 3 3 2 3 2" xfId="27351"/>
    <cellStyle name="常规 9 2 4 3 3 3" xfId="27352"/>
    <cellStyle name="常规 9 2 4 3 3 4" xfId="27353"/>
    <cellStyle name="常规 9 2 4 3 4" xfId="27354"/>
    <cellStyle name="常规 9 2 4 4" xfId="24778"/>
    <cellStyle name="常规 9 2 4 4 2" xfId="27355"/>
    <cellStyle name="常规 9 2 4 4 2 2" xfId="7454"/>
    <cellStyle name="常规 9 2 4 4 2 3" xfId="21682"/>
    <cellStyle name="常规 9 2 4 4 2 3 2" xfId="23356"/>
    <cellStyle name="常规 9 2 4 4 3" xfId="27357"/>
    <cellStyle name="常规 9 2 4 4 4" xfId="27359"/>
    <cellStyle name="常规 9 2 4 5" xfId="4871"/>
    <cellStyle name="常规 9 2 5" xfId="27360"/>
    <cellStyle name="常规 9 2 5 2" xfId="27361"/>
    <cellStyle name="常规 9 2 5 2 2" xfId="27363"/>
    <cellStyle name="常规 9 2 5 2 2 2" xfId="27364"/>
    <cellStyle name="常规 9 2 5 2 2 2 2" xfId="27365"/>
    <cellStyle name="常规 9 2 5 2 2 2 3" xfId="27366"/>
    <cellStyle name="常规 9 2 5 2 2 2 3 2" xfId="27367"/>
    <cellStyle name="常规 9 2 5 2 2 3" xfId="27368"/>
    <cellStyle name="常规 9 2 5 2 2 4" xfId="27369"/>
    <cellStyle name="常规 9 2 5 2 3" xfId="27370"/>
    <cellStyle name="常规 9 2 5 3" xfId="27371"/>
    <cellStyle name="常规 9 2 5 3 2" xfId="27373"/>
    <cellStyle name="常规 9 2 5 3 2 2" xfId="27375"/>
    <cellStyle name="常规 9 2 5 3 2 3" xfId="27376"/>
    <cellStyle name="常规 9 2 5 3 3" xfId="27377"/>
    <cellStyle name="常规 9 2 5 3 3 2" xfId="27378"/>
    <cellStyle name="常规 9 2 5 3 3 2 2" xfId="27379"/>
    <cellStyle name="常规 9 2 5 3 3 2 3" xfId="27380"/>
    <cellStyle name="常规 9 2 5 3 3 2 3 2" xfId="16949"/>
    <cellStyle name="常规 9 2 5 3 3 3" xfId="27381"/>
    <cellStyle name="常规 9 2 5 3 3 4" xfId="27382"/>
    <cellStyle name="常规 9 2 5 3 4" xfId="27383"/>
    <cellStyle name="常规 9 2 5 4" xfId="24782"/>
    <cellStyle name="常规 9 2 5 4 2" xfId="24785"/>
    <cellStyle name="常规 9 2 5 4 2 2" xfId="27384"/>
    <cellStyle name="常规 9 2 5 4 2 3" xfId="27385"/>
    <cellStyle name="常规 9 2 5 4 2 3 2" xfId="27386"/>
    <cellStyle name="常规 9 2 5 4 3" xfId="24787"/>
    <cellStyle name="常规 9 2 5 4 4" xfId="27387"/>
    <cellStyle name="常规 9 2 5 5" xfId="1598"/>
    <cellStyle name="常规 9 2 6" xfId="27389"/>
    <cellStyle name="常规 9 2 6 2" xfId="27390"/>
    <cellStyle name="常规 9 2 6 2 2" xfId="27391"/>
    <cellStyle name="常规 9 2 6 2 3" xfId="27392"/>
    <cellStyle name="常规 9 2 6 3" xfId="27393"/>
    <cellStyle name="常规 9 2 6 3 2" xfId="13438"/>
    <cellStyle name="常规 9 2 6 3 2 2" xfId="13440"/>
    <cellStyle name="常规 9 2 6 3 2 3" xfId="13442"/>
    <cellStyle name="常规 9 2 6 3 2 3 2" xfId="27395"/>
    <cellStyle name="常规 9 2 6 3 3" xfId="13449"/>
    <cellStyle name="常规 9 2 6 3 4" xfId="12439"/>
    <cellStyle name="常规 9 2 6 4" xfId="27396"/>
    <cellStyle name="常规 9 2 7" xfId="27398"/>
    <cellStyle name="常规 9 2 7 2" xfId="27399"/>
    <cellStyle name="常规 9 2 7 2 2" xfId="13196"/>
    <cellStyle name="常规 9 2 7 2 3" xfId="13198"/>
    <cellStyle name="常规 9 2 7 2 3 2" xfId="27400"/>
    <cellStyle name="常规 9 2 7 3" xfId="27401"/>
    <cellStyle name="常规 9 2 7 4" xfId="27402"/>
    <cellStyle name="常规 9 2 8" xfId="27403"/>
    <cellStyle name="常规 9 3" xfId="2429"/>
    <cellStyle name="常规 9 3 2" xfId="3506"/>
    <cellStyle name="常规 9 3 2 2" xfId="3382"/>
    <cellStyle name="常规 9 3 2 2 2" xfId="27404"/>
    <cellStyle name="常规 9 3 2 2 2 2" xfId="19060"/>
    <cellStyle name="常规 9 3 2 2 2 2 2" xfId="14650"/>
    <cellStyle name="常规 9 3 2 2 2 2 2 2" xfId="27405"/>
    <cellStyle name="常规 9 3 2 2 2 2 2 3" xfId="27406"/>
    <cellStyle name="常规 9 3 2 2 2 2 2 3 2" xfId="21889"/>
    <cellStyle name="常规 9 3 2 2 2 2 3" xfId="14653"/>
    <cellStyle name="常规 9 3 2 2 2 2 4" xfId="14656"/>
    <cellStyle name="常规 9 3 2 2 2 3" xfId="19062"/>
    <cellStyle name="常规 9 3 2 2 3" xfId="27407"/>
    <cellStyle name="常规 9 3 2 2 3 2" xfId="8330"/>
    <cellStyle name="常规 9 3 2 2 3 2 2" xfId="8334"/>
    <cellStyle name="常规 9 3 2 2 3 2 3" xfId="6658"/>
    <cellStyle name="常规 9 3 2 2 3 3" xfId="8338"/>
    <cellStyle name="常规 9 3 2 2 3 3 2" xfId="8760"/>
    <cellStyle name="常规 9 3 2 2 3 3 2 2" xfId="8765"/>
    <cellStyle name="常规 9 3 2 2 3 3 2 3" xfId="8775"/>
    <cellStyle name="常规 9 3 2 2 3 3 2 3 2" xfId="25778"/>
    <cellStyle name="常规 9 3 2 2 3 3 3" xfId="8780"/>
    <cellStyle name="常规 9 3 2 2 3 3 4" xfId="9221"/>
    <cellStyle name="常规 9 3 2 2 3 4" xfId="8787"/>
    <cellStyle name="常规 9 3 2 2 4" xfId="6160"/>
    <cellStyle name="常规 9 3 2 2 4 2" xfId="6164"/>
    <cellStyle name="常规 9 3 2 2 4 2 2" xfId="27408"/>
    <cellStyle name="常规 9 3 2 2 4 2 3" xfId="27409"/>
    <cellStyle name="常规 9 3 2 2 4 2 3 2" xfId="13237"/>
    <cellStyle name="常规 9 3 2 2 4 3" xfId="6167"/>
    <cellStyle name="常规 9 3 2 2 4 4" xfId="8810"/>
    <cellStyle name="常规 9 3 2 2 5" xfId="6173"/>
    <cellStyle name="常规 9 3 2 3" xfId="865"/>
    <cellStyle name="常规 9 3 2 3 2" xfId="27411"/>
    <cellStyle name="常规 9 3 2 3 2 2" xfId="27412"/>
    <cellStyle name="常规 9 3 2 3 2 2 2" xfId="7371"/>
    <cellStyle name="常规 9 3 2 3 2 2 3" xfId="7378"/>
    <cellStyle name="常规 9 3 2 3 2 3" xfId="27413"/>
    <cellStyle name="常规 9 3 2 3 2 3 2" xfId="1892"/>
    <cellStyle name="常规 9 3 2 3 2 3 2 2" xfId="27414"/>
    <cellStyle name="常规 9 3 2 3 2 3 2 3" xfId="27415"/>
    <cellStyle name="常规 9 3 2 3 2 3 2 3 2" xfId="25844"/>
    <cellStyle name="常规 9 3 2 3 2 3 3" xfId="1933"/>
    <cellStyle name="常规 9 3 2 3 2 3 4" xfId="13188"/>
    <cellStyle name="常规 9 3 2 3 2 4" xfId="27417"/>
    <cellStyle name="常规 9 3 2 3 3" xfId="27418"/>
    <cellStyle name="常规 9 3 2 3 3 2" xfId="5950"/>
    <cellStyle name="常规 9 3 2 3 3 2 2" xfId="27419"/>
    <cellStyle name="常规 9 3 2 3 3 2 3" xfId="27421"/>
    <cellStyle name="常规 9 3 2 3 3 2 3 2" xfId="7439"/>
    <cellStyle name="常规 9 3 2 3 3 3" xfId="27422"/>
    <cellStyle name="常规 9 3 2 3 3 4" xfId="26680"/>
    <cellStyle name="常规 9 3 2 3 4" xfId="2205"/>
    <cellStyle name="常规 9 3 2 4" xfId="15162"/>
    <cellStyle name="常规 9 3 2 4 2" xfId="12761"/>
    <cellStyle name="常规 9 3 2 4 2 2" xfId="15789"/>
    <cellStyle name="常规 9 3 2 4 2 3" xfId="15791"/>
    <cellStyle name="常规 9 3 2 4 3" xfId="9975"/>
    <cellStyle name="常规 9 3 2 4 3 2" xfId="8374"/>
    <cellStyle name="常规 9 3 2 4 3 2 2" xfId="27423"/>
    <cellStyle name="常规 9 3 2 4 3 2 3" xfId="27425"/>
    <cellStyle name="常规 9 3 2 4 3 2 3 2" xfId="27426"/>
    <cellStyle name="常规 9 3 2 4 3 3" xfId="8845"/>
    <cellStyle name="常规 9 3 2 4 3 4" xfId="8853"/>
    <cellStyle name="常规 9 3 2 4 4" xfId="9979"/>
    <cellStyle name="常规 9 3 2 5" xfId="15166"/>
    <cellStyle name="常规 9 3 2 5 2" xfId="12774"/>
    <cellStyle name="常规 9 3 2 5 2 2" xfId="15946"/>
    <cellStyle name="常规 9 3 2 5 2 3" xfId="15949"/>
    <cellStyle name="常规 9 3 2 5 2 3 2" xfId="27427"/>
    <cellStyle name="常规 9 3 2 5 3" xfId="15954"/>
    <cellStyle name="常规 9 3 2 5 4" xfId="15960"/>
    <cellStyle name="常规 9 3 2 6" xfId="13312"/>
    <cellStyle name="常规 9 3 3" xfId="4515"/>
    <cellStyle name="常规 9 3 3 2" xfId="6669"/>
    <cellStyle name="常规 9 3 3 2 2" xfId="27428"/>
    <cellStyle name="常规 9 3 3 2 2 2" xfId="19216"/>
    <cellStyle name="常规 9 3 3 2 2 2 2" xfId="27429"/>
    <cellStyle name="常规 9 3 3 2 2 2 3" xfId="27430"/>
    <cellStyle name="常规 9 3 3 2 2 2 3 2" xfId="16894"/>
    <cellStyle name="常规 9 3 3 2 2 3" xfId="19219"/>
    <cellStyle name="常规 9 3 3 2 2 4" xfId="19222"/>
    <cellStyle name="常规 9 3 3 2 3" xfId="19730"/>
    <cellStyle name="常规 9 3 3 3" xfId="15171"/>
    <cellStyle name="常规 9 3 3 3 2" xfId="20005"/>
    <cellStyle name="常规 9 3 3 3 2 2" xfId="27431"/>
    <cellStyle name="常规 9 3 3 3 2 3" xfId="27245"/>
    <cellStyle name="常规 9 3 3 3 3" xfId="20008"/>
    <cellStyle name="常规 9 3 3 3 3 2" xfId="3680"/>
    <cellStyle name="常规 9 3 3 3 3 2 2" xfId="27432"/>
    <cellStyle name="常规 9 3 3 3 3 2 3" xfId="27433"/>
    <cellStyle name="常规 9 3 3 3 3 2 3 2" xfId="98"/>
    <cellStyle name="常规 9 3 3 3 3 3" xfId="27434"/>
    <cellStyle name="常规 9 3 3 3 3 4" xfId="27435"/>
    <cellStyle name="常规 9 3 3 3 4" xfId="20011"/>
    <cellStyle name="常规 9 3 3 4" xfId="15175"/>
    <cellStyle name="常规 9 3 3 4 2" xfId="16713"/>
    <cellStyle name="常规 9 3 3 4 2 2" xfId="16716"/>
    <cellStyle name="常规 9 3 3 4 2 3" xfId="16718"/>
    <cellStyle name="常规 9 3 3 4 2 3 2" xfId="27436"/>
    <cellStyle name="常规 9 3 3 4 3" xfId="16721"/>
    <cellStyle name="常规 9 3 3 4 4" xfId="16724"/>
    <cellStyle name="常规 9 3 3 5" xfId="4947"/>
    <cellStyle name="常规 9 3 4" xfId="27437"/>
    <cellStyle name="常规 9 3 4 2" xfId="27438"/>
    <cellStyle name="常规 9 3 4 2 2" xfId="27439"/>
    <cellStyle name="常规 9 3 4 2 2 2" xfId="5822"/>
    <cellStyle name="常规 9 3 4 2 2 2 2" xfId="27440"/>
    <cellStyle name="常规 9 3 4 2 2 2 3" xfId="27441"/>
    <cellStyle name="常规 9 3 4 2 2 2 3 2" xfId="27442"/>
    <cellStyle name="常规 9 3 4 2 2 3" xfId="27267"/>
    <cellStyle name="常规 9 3 4 2 2 4" xfId="27269"/>
    <cellStyle name="常规 9 3 4 2 3" xfId="27443"/>
    <cellStyle name="常规 9 3 4 3" xfId="15181"/>
    <cellStyle name="常规 9 3 4 3 2" xfId="27444"/>
    <cellStyle name="常规 9 3 4 3 2 2" xfId="18689"/>
    <cellStyle name="常规 9 3 4 3 2 3" xfId="18692"/>
    <cellStyle name="常规 9 3 4 3 3" xfId="27446"/>
    <cellStyle name="常规 9 3 4 3 3 2" xfId="8293"/>
    <cellStyle name="常规 9 3 4 3 3 2 2" xfId="27447"/>
    <cellStyle name="常规 9 3 4 3 3 2 3" xfId="27449"/>
    <cellStyle name="常规 9 3 4 3 3 2 3 2" xfId="1600"/>
    <cellStyle name="常规 9 3 4 3 3 3" xfId="27451"/>
    <cellStyle name="常规 9 3 4 3 3 4" xfId="27453"/>
    <cellStyle name="常规 9 3 4 3 4" xfId="27455"/>
    <cellStyle name="常规 9 3 4 4" xfId="15185"/>
    <cellStyle name="常规 9 3 4 4 2" xfId="17576"/>
    <cellStyle name="常规 9 3 4 4 2 2" xfId="7952"/>
    <cellStyle name="常规 9 3 4 4 2 3" xfId="17578"/>
    <cellStyle name="常规 9 3 4 4 2 3 2" xfId="27456"/>
    <cellStyle name="常规 9 3 4 4 3" xfId="17582"/>
    <cellStyle name="常规 9 3 4 4 4" xfId="17587"/>
    <cellStyle name="常规 9 3 4 5" xfId="1429"/>
    <cellStyle name="常规 9 3 5" xfId="27457"/>
    <cellStyle name="常规 9 3 5 2" xfId="27459"/>
    <cellStyle name="常规 9 3 5 2 2" xfId="17231"/>
    <cellStyle name="常规 9 3 5 2 2 2" xfId="27460"/>
    <cellStyle name="常规 9 3 5 2 2 2 2" xfId="27461"/>
    <cellStyle name="常规 9 3 5 2 2 2 3" xfId="22319"/>
    <cellStyle name="常规 9 3 5 2 2 2 3 2" xfId="27462"/>
    <cellStyle name="常规 9 3 5 2 2 3" xfId="27281"/>
    <cellStyle name="常规 9 3 5 2 2 4" xfId="10323"/>
    <cellStyle name="常规 9 3 5 2 3" xfId="17234"/>
    <cellStyle name="常规 9 3 5 3" xfId="15193"/>
    <cellStyle name="常规 9 3 5 3 2" xfId="27463"/>
    <cellStyle name="常规 9 3 5 3 2 2" xfId="22655"/>
    <cellStyle name="常规 9 3 5 3 2 3" xfId="22657"/>
    <cellStyle name="常规 9 3 5 3 3" xfId="27464"/>
    <cellStyle name="常规 9 3 5 3 3 2" xfId="8562"/>
    <cellStyle name="常规 9 3 5 3 3 2 2" xfId="27465"/>
    <cellStyle name="常规 9 3 5 3 3 2 3" xfId="27466"/>
    <cellStyle name="常规 9 3 5 3 3 2 3 2" xfId="27467"/>
    <cellStyle name="常规 9 3 5 3 3 3" xfId="22661"/>
    <cellStyle name="常规 9 3 5 3 3 4" xfId="403"/>
    <cellStyle name="常规 9 3 5 3 4" xfId="27468"/>
    <cellStyle name="常规 9 3 5 4" xfId="15197"/>
    <cellStyle name="常规 9 3 5 4 2" xfId="17915"/>
    <cellStyle name="常规 9 3 5 4 2 2" xfId="17918"/>
    <cellStyle name="常规 9 3 5 4 2 3" xfId="17921"/>
    <cellStyle name="常规 9 3 5 4 2 3 2" xfId="27469"/>
    <cellStyle name="常规 9 3 5 4 3" xfId="17924"/>
    <cellStyle name="常规 9 3 5 4 4" xfId="17931"/>
    <cellStyle name="常规 9 3 5 5" xfId="5050"/>
    <cellStyle name="常规 9 3 6" xfId="5692"/>
    <cellStyle name="常规 9 3 6 2" xfId="27470"/>
    <cellStyle name="常规 9 3 6 2 2" xfId="27471"/>
    <cellStyle name="常规 9 3 6 2 3" xfId="27472"/>
    <cellStyle name="常规 9 3 6 3" xfId="15203"/>
    <cellStyle name="常规 9 3 6 3 2" xfId="14018"/>
    <cellStyle name="常规 9 3 6 3 2 2" xfId="27473"/>
    <cellStyle name="常规 9 3 6 3 2 3" xfId="27474"/>
    <cellStyle name="常规 9 3 6 3 2 3 2" xfId="27475"/>
    <cellStyle name="常规 9 3 6 3 3" xfId="14020"/>
    <cellStyle name="常规 9 3 6 3 4" xfId="14023"/>
    <cellStyle name="常规 9 3 6 4" xfId="15206"/>
    <cellStyle name="常规 9 3 7" xfId="5698"/>
    <cellStyle name="常规 9 3 7 2" xfId="27476"/>
    <cellStyle name="常规 9 3 7 2 2" xfId="3501"/>
    <cellStyle name="常规 9 3 7 2 3" xfId="27477"/>
    <cellStyle name="常规 9 3 7 2 3 2" xfId="8623"/>
    <cellStyle name="常规 9 3 7 3" xfId="27478"/>
    <cellStyle name="常规 9 3 7 4" xfId="27480"/>
    <cellStyle name="常规 9 3 8" xfId="27482"/>
    <cellStyle name="常规 9 4" xfId="2438"/>
    <cellStyle name="常规 9 4 2" xfId="4521"/>
    <cellStyle name="常规 9 4 2 2" xfId="25127"/>
    <cellStyle name="常规 9 4 2 2 2" xfId="27483"/>
    <cellStyle name="常规 9 4 2 2 2 2" xfId="14055"/>
    <cellStyle name="常规 9 4 2 2 2 2 2" xfId="19345"/>
    <cellStyle name="常规 9 4 2 2 2 2 3" xfId="19347"/>
    <cellStyle name="常规 9 4 2 2 2 3" xfId="27484"/>
    <cellStyle name="常规 9 4 2 2 2 3 2" xfId="10785"/>
    <cellStyle name="常规 9 4 2 2 2 3 2 2" xfId="27485"/>
    <cellStyle name="常规 9 4 2 2 2 3 2 3" xfId="27486"/>
    <cellStyle name="常规 9 4 2 2 2 3 2 3 2" xfId="27487"/>
    <cellStyle name="常规 9 4 2 2 2 3 3" xfId="27488"/>
    <cellStyle name="常规 9 4 2 2 2 3 4" xfId="27489"/>
    <cellStyle name="常规 9 4 2 2 2 4" xfId="27490"/>
    <cellStyle name="常规 9 4 2 2 3" xfId="27491"/>
    <cellStyle name="常规 9 4 2 2 3 2" xfId="14066"/>
    <cellStyle name="常规 9 4 2 2 3 2 2" xfId="27492"/>
    <cellStyle name="常规 9 4 2 2 3 2 3" xfId="27493"/>
    <cellStyle name="常规 9 4 2 2 3 2 3 2" xfId="6497"/>
    <cellStyle name="常规 9 4 2 2 3 3" xfId="27494"/>
    <cellStyle name="常规 9 4 2 2 3 4" xfId="27495"/>
    <cellStyle name="常规 9 4 2 2 4" xfId="930"/>
    <cellStyle name="常规 9 4 2 3" xfId="27496"/>
    <cellStyle name="常规 9 4 2 3 2" xfId="27497"/>
    <cellStyle name="常规 9 4 2 3 2 2" xfId="19491"/>
    <cellStyle name="常规 9 4 2 3 2 2 2" xfId="27498"/>
    <cellStyle name="常规 9 4 2 3 2 2 2 2" xfId="17614"/>
    <cellStyle name="常规 9 4 2 3 2 2 2 3" xfId="17616"/>
    <cellStyle name="常规 9 4 2 3 2 2 2 3 2" xfId="27499"/>
    <cellStyle name="常规 9 4 2 3 2 2 3" xfId="27500"/>
    <cellStyle name="常规 9 4 2 3 2 2 4" xfId="27127"/>
    <cellStyle name="常规 9 4 2 3 2 3" xfId="27501"/>
    <cellStyle name="常规 9 4 2 3 3" xfId="27502"/>
    <cellStyle name="常规 9 4 2 3 3 2" xfId="19493"/>
    <cellStyle name="常规 9 4 2 3 3 2 2" xfId="27503"/>
    <cellStyle name="常规 9 4 2 3 3 2 3" xfId="27504"/>
    <cellStyle name="常规 9 4 2 3 3 3" xfId="27505"/>
    <cellStyle name="常规 9 4 2 3 3 3 2" xfId="9218"/>
    <cellStyle name="常规 9 4 2 3 3 3 2 2" xfId="9502"/>
    <cellStyle name="常规 9 4 2 3 3 3 2 3" xfId="27506"/>
    <cellStyle name="常规 9 4 2 3 3 3 2 3 2" xfId="27507"/>
    <cellStyle name="常规 9 4 2 3 3 3 3" xfId="27509"/>
    <cellStyle name="常规 9 4 2 3 3 3 4" xfId="9860"/>
    <cellStyle name="常规 9 4 2 3 3 4" xfId="27510"/>
    <cellStyle name="常规 9 4 2 3 4" xfId="1306"/>
    <cellStyle name="常规 9 4 2 3 4 2" xfId="19495"/>
    <cellStyle name="常规 9 4 2 3 4 2 2" xfId="27511"/>
    <cellStyle name="常规 9 4 2 3 4 2 3" xfId="27512"/>
    <cellStyle name="常规 9 4 2 3 4 2 3 2" xfId="1353"/>
    <cellStyle name="常规 9 4 2 3 4 3" xfId="27513"/>
    <cellStyle name="常规 9 4 2 3 4 4" xfId="25336"/>
    <cellStyle name="常规 9 4 2 3 5" xfId="1410"/>
    <cellStyle name="常规 9 4 2 4" xfId="27514"/>
    <cellStyle name="常规 9 4 2 4 2" xfId="20081"/>
    <cellStyle name="常规 9 4 2 4 2 2" xfId="20083"/>
    <cellStyle name="常规 9 4 2 4 2 3" xfId="20085"/>
    <cellStyle name="常规 9 4 2 4 3" xfId="20093"/>
    <cellStyle name="常规 9 4 2 4 3 2" xfId="20095"/>
    <cellStyle name="常规 9 4 2 4 3 2 2" xfId="27515"/>
    <cellStyle name="常规 9 4 2 4 3 2 3" xfId="27516"/>
    <cellStyle name="常规 9 4 2 4 3 2 3 2" xfId="21450"/>
    <cellStyle name="常规 9 4 2 4 3 3" xfId="9520"/>
    <cellStyle name="常规 9 4 2 4 3 4" xfId="9527"/>
    <cellStyle name="常规 9 4 2 4 4" xfId="20099"/>
    <cellStyle name="常规 9 4 2 5" xfId="27048"/>
    <cellStyle name="常规 9 4 2 5 2" xfId="20192"/>
    <cellStyle name="常规 9 4 2 5 2 2" xfId="20197"/>
    <cellStyle name="常规 9 4 2 5 2 3" xfId="20200"/>
    <cellStyle name="常规 9 4 2 5 2 3 2" xfId="27517"/>
    <cellStyle name="常规 9 4 2 5 3" xfId="20204"/>
    <cellStyle name="常规 9 4 2 5 4" xfId="20208"/>
    <cellStyle name="常规 9 4 2 6" xfId="27051"/>
    <cellStyle name="常规 9 4 3" xfId="1314"/>
    <cellStyle name="常规 9 4 3 2" xfId="27518"/>
    <cellStyle name="常规 9 4 3 2 2" xfId="27519"/>
    <cellStyle name="常规 9 4 3 2 2 2" xfId="14381"/>
    <cellStyle name="常规 9 4 3 2 2 2 2" xfId="27520"/>
    <cellStyle name="常规 9 4 3 2 2 2 3" xfId="27521"/>
    <cellStyle name="常规 9 4 3 2 2 3" xfId="27522"/>
    <cellStyle name="常规 9 4 3 2 2 3 2" xfId="23606"/>
    <cellStyle name="常规 9 4 3 2 2 3 2 2" xfId="27523"/>
    <cellStyle name="常规 9 4 3 2 2 3 2 3" xfId="27524"/>
    <cellStyle name="常规 9 4 3 2 2 3 2 3 2" xfId="27525"/>
    <cellStyle name="常规 9 4 3 2 2 3 3" xfId="27526"/>
    <cellStyle name="常规 9 4 3 2 2 3 4" xfId="27527"/>
    <cellStyle name="常规 9 4 3 2 2 4" xfId="27528"/>
    <cellStyle name="常规 9 4 3 2 3" xfId="27529"/>
    <cellStyle name="常规 9 4 3 2 3 2" xfId="14409"/>
    <cellStyle name="常规 9 4 3 2 3 2 2" xfId="26267"/>
    <cellStyle name="常规 9 4 3 2 3 2 3" xfId="27530"/>
    <cellStyle name="常规 9 4 3 2 3 2 3 2" xfId="4705"/>
    <cellStyle name="常规 9 4 3 2 3 3" xfId="27531"/>
    <cellStyle name="常规 9 4 3 2 3 4" xfId="27532"/>
    <cellStyle name="常规 9 4 3 2 4" xfId="25689"/>
    <cellStyle name="常规 9 4 3 3" xfId="24509"/>
    <cellStyle name="常规 9 4 3 3 2" xfId="24512"/>
    <cellStyle name="常规 9 4 3 3 2 2" xfId="24515"/>
    <cellStyle name="常规 9 4 3 3 2 2 2" xfId="24517"/>
    <cellStyle name="常规 9 4 3 3 2 2 2 2" xfId="27533"/>
    <cellStyle name="常规 9 4 3 3 2 2 2 3" xfId="27534"/>
    <cellStyle name="常规 9 4 3 3 2 2 2 3 2" xfId="27535"/>
    <cellStyle name="常规 9 4 3 3 2 2 3" xfId="24519"/>
    <cellStyle name="常规 9 4 3 3 2 2 4" xfId="27336"/>
    <cellStyle name="常规 9 4 3 3 2 3" xfId="24522"/>
    <cellStyle name="常规 9 4 3 3 3" xfId="24525"/>
    <cellStyle name="常规 9 4 3 3 3 2" xfId="27536"/>
    <cellStyle name="常规 9 4 3 3 3 2 2" xfId="27537"/>
    <cellStyle name="常规 9 4 3 3 3 2 3" xfId="27538"/>
    <cellStyle name="常规 9 4 3 3 3 3" xfId="27539"/>
    <cellStyle name="常规 9 4 3 3 3 3 2" xfId="27540"/>
    <cellStyle name="常规 9 4 3 3 3 3 2 2" xfId="17381"/>
    <cellStyle name="常规 9 4 3 3 3 3 2 3" xfId="17383"/>
    <cellStyle name="常规 9 4 3 3 3 3 2 3 2" xfId="39"/>
    <cellStyle name="常规 9 4 3 3 3 3 3" xfId="27541"/>
    <cellStyle name="常规 9 4 3 3 3 3 4" xfId="27374"/>
    <cellStyle name="常规 9 4 3 3 3 4" xfId="26698"/>
    <cellStyle name="常规 9 4 3 3 4" xfId="27542"/>
    <cellStyle name="常规 9 4 3 3 4 2" xfId="27543"/>
    <cellStyle name="常规 9 4 3 3 4 2 2" xfId="27544"/>
    <cellStyle name="常规 9 4 3 3 4 2 3" xfId="27545"/>
    <cellStyle name="常规 9 4 3 3 4 2 3 2" xfId="27546"/>
    <cellStyle name="常规 9 4 3 3 4 3" xfId="13413"/>
    <cellStyle name="常规 9 4 3 3 4 4" xfId="13526"/>
    <cellStyle name="常规 9 4 3 3 5" xfId="27547"/>
    <cellStyle name="常规 9 4 3 4" xfId="24528"/>
    <cellStyle name="常规 9 4 3 4 2" xfId="20758"/>
    <cellStyle name="常规 9 4 3 4 2 2" xfId="20762"/>
    <cellStyle name="常规 9 4 3 4 2 2 2" xfId="27548"/>
    <cellStyle name="常规 9 4 3 4 2 2 3" xfId="27549"/>
    <cellStyle name="常规 9 4 3 4 2 3" xfId="20765"/>
    <cellStyle name="常规 9 4 3 4 2 3 2" xfId="27550"/>
    <cellStyle name="常规 9 4 3 4 2 3 2 2" xfId="26916"/>
    <cellStyle name="常规 9 4 3 4 2 3 2 3" xfId="26950"/>
    <cellStyle name="常规 9 4 3 4 2 3 2 3 2" xfId="26952"/>
    <cellStyle name="常规 9 4 3 4 2 3 3" xfId="27552"/>
    <cellStyle name="常规 9 4 3 4 2 3 4" xfId="27445"/>
    <cellStyle name="常规 9 4 3 4 2 4" xfId="20767"/>
    <cellStyle name="常规 9 4 3 4 3" xfId="20770"/>
    <cellStyle name="常规 9 4 3 4 3 2" xfId="12381"/>
    <cellStyle name="常规 9 4 3 4 3 2 2" xfId="17225"/>
    <cellStyle name="常规 9 4 3 4 3 2 3" xfId="17228"/>
    <cellStyle name="常规 9 4 3 4 3 2 3 2" xfId="24531"/>
    <cellStyle name="常规 9 4 3 4 3 3" xfId="20774"/>
    <cellStyle name="常规 9 4 3 4 3 4" xfId="20777"/>
    <cellStyle name="常规 9 4 3 4 4" xfId="20780"/>
    <cellStyle name="常规 9 4 3 5" xfId="2833"/>
    <cellStyle name="常规 9 4 3 5 2" xfId="4388"/>
    <cellStyle name="常规 9 4 3 5 2 2" xfId="4235"/>
    <cellStyle name="常规 9 4 3 5 2 3" xfId="330"/>
    <cellStyle name="常规 9 4 3 5 3" xfId="2966"/>
    <cellStyle name="常规 9 4 3 5 3 2" xfId="12480"/>
    <cellStyle name="常规 9 4 3 5 3 2 2" xfId="27553"/>
    <cellStyle name="常规 9 4 3 5 3 2 3" xfId="27554"/>
    <cellStyle name="常规 9 4 3 5 3 2 3 2" xfId="27556"/>
    <cellStyle name="常规 9 4 3 5 3 3" xfId="20823"/>
    <cellStyle name="常规 9 4 3 5 3 4" xfId="20825"/>
    <cellStyle name="常规 9 4 3 5 4" xfId="5669"/>
    <cellStyle name="常规 9 4 3 6" xfId="3790"/>
    <cellStyle name="常规 9 4 3 6 2" xfId="20"/>
    <cellStyle name="常规 9 4 3 6 2 2" xfId="20869"/>
    <cellStyle name="常规 9 4 3 6 2 3" xfId="6176"/>
    <cellStyle name="常规 9 4 3 6 2 3 2" xfId="919"/>
    <cellStyle name="常规 9 4 3 6 3" xfId="3046"/>
    <cellStyle name="常规 9 4 3 6 4" xfId="20879"/>
    <cellStyle name="常规 9 4 3 7" xfId="3801"/>
    <cellStyle name="常规 9 4 4" xfId="12610"/>
    <cellStyle name="常规 9 4 4 2" xfId="27557"/>
    <cellStyle name="常规 9 4 4 2 2" xfId="27558"/>
    <cellStyle name="常规 9 4 4 2 2 2" xfId="5927"/>
    <cellStyle name="常规 9 4 4 2 2 2 2" xfId="16207"/>
    <cellStyle name="常规 9 4 4 2 2 2 3" xfId="16209"/>
    <cellStyle name="常规 9 4 4 2 2 2 3 2" xfId="27559"/>
    <cellStyle name="常规 9 4 4 2 2 3" xfId="27314"/>
    <cellStyle name="常规 9 4 4 2 2 4" xfId="27316"/>
    <cellStyle name="常规 9 4 4 2 3" xfId="27560"/>
    <cellStyle name="常规 9 4 4 3" xfId="24534"/>
    <cellStyle name="常规 9 4 4 3 2" xfId="24537"/>
    <cellStyle name="常规 9 4 4 3 2 2" xfId="24539"/>
    <cellStyle name="常规 9 4 4 3 2 3" xfId="24541"/>
    <cellStyle name="常规 9 4 4 3 3" xfId="24543"/>
    <cellStyle name="常规 9 4 4 3 3 2" xfId="24545"/>
    <cellStyle name="常规 9 4 4 3 3 2 2" xfId="20960"/>
    <cellStyle name="常规 9 4 4 3 3 2 3" xfId="20963"/>
    <cellStyle name="常规 9 4 4 3 3 2 3 2" xfId="24547"/>
    <cellStyle name="常规 9 4 4 3 3 3" xfId="24549"/>
    <cellStyle name="常规 9 4 4 3 3 4" xfId="24551"/>
    <cellStyle name="常规 9 4 4 3 4" xfId="24553"/>
    <cellStyle name="常规 9 4 4 4" xfId="24555"/>
    <cellStyle name="常规 9 4 4 4 2" xfId="21118"/>
    <cellStyle name="常规 9 4 4 4 2 2" xfId="21121"/>
    <cellStyle name="常规 9 4 4 4 2 3" xfId="21124"/>
    <cellStyle name="常规 9 4 4 4 2 3 2" xfId="21922"/>
    <cellStyle name="常规 9 4 4 4 3" xfId="21133"/>
    <cellStyle name="常规 9 4 4 4 4" xfId="21143"/>
    <cellStyle name="常规 9 4 4 5" xfId="704"/>
    <cellStyle name="常规 9 4 5" xfId="12614"/>
    <cellStyle name="常规 9 4 5 2" xfId="12330"/>
    <cellStyle name="常规 9 4 5 2 2" xfId="27561"/>
    <cellStyle name="常规 9 4 5 2 3" xfId="27563"/>
    <cellStyle name="常规 9 4 5 3" xfId="24558"/>
    <cellStyle name="常规 9 4 5 3 2" xfId="24561"/>
    <cellStyle name="常规 9 4 5 3 2 2" xfId="27564"/>
    <cellStyle name="常规 9 4 5 3 2 3" xfId="27565"/>
    <cellStyle name="常规 9 4 5 3 2 3 2" xfId="27566"/>
    <cellStyle name="常规 9 4 5 3 3" xfId="24563"/>
    <cellStyle name="常规 9 4 5 3 4" xfId="27567"/>
    <cellStyle name="常规 9 4 5 4" xfId="24565"/>
    <cellStyle name="常规 9 4 6" xfId="27569"/>
    <cellStyle name="常规 9 4 6 2" xfId="27570"/>
    <cellStyle name="常规 9 4 6 2 2" xfId="27571"/>
    <cellStyle name="常规 9 4 6 2 3" xfId="27572"/>
    <cellStyle name="常规 9 4 6 2 3 2" xfId="27573"/>
    <cellStyle name="常规 9 4 6 3" xfId="24571"/>
    <cellStyle name="常规 9 4 6 4" xfId="24575"/>
    <cellStyle name="常规 9 4 7" xfId="27574"/>
    <cellStyle name="常规 9 5" xfId="3549"/>
    <cellStyle name="常规 9 5 2" xfId="27575"/>
    <cellStyle name="常规 9 5 2 2" xfId="27577"/>
    <cellStyle name="常规 9 5 2 2 2" xfId="18605"/>
    <cellStyle name="常规 9 5 2 2 2 2" xfId="20137"/>
    <cellStyle name="常规 9 5 2 2 2 3" xfId="20954"/>
    <cellStyle name="常规 9 5 2 2 3" xfId="18608"/>
    <cellStyle name="常规 9 5 2 2 3 2" xfId="20147"/>
    <cellStyle name="常规 9 5 2 2 3 2 2" xfId="22815"/>
    <cellStyle name="常规 9 5 2 2 3 2 3" xfId="27579"/>
    <cellStyle name="常规 9 5 2 2 3 2 3 2" xfId="27580"/>
    <cellStyle name="常规 9 5 2 2 3 3" xfId="9743"/>
    <cellStyle name="常规 9 5 2 2 3 4" xfId="9768"/>
    <cellStyle name="常规 9 5 2 2 4" xfId="2269"/>
    <cellStyle name="常规 9 5 2 3" xfId="27582"/>
    <cellStyle name="常规 9 5 2 3 2" xfId="18614"/>
    <cellStyle name="常规 9 5 2 3 2 2" xfId="21228"/>
    <cellStyle name="常规 9 5 2 3 2 3" xfId="21230"/>
    <cellStyle name="常规 9 5 2 3 2 3 2" xfId="27584"/>
    <cellStyle name="常规 9 5 2 3 3" xfId="18617"/>
    <cellStyle name="常规 9 5 2 3 4" xfId="2630"/>
    <cellStyle name="常规 9 5 2 4" xfId="26066"/>
    <cellStyle name="常规 9 5 3" xfId="27585"/>
    <cellStyle name="常规 9 5 3 2" xfId="25136"/>
    <cellStyle name="常规 9 5 3 2 2" xfId="22116"/>
    <cellStyle name="常规 9 5 3 2 2 2" xfId="20256"/>
    <cellStyle name="常规 9 5 3 2 2 2 2" xfId="27587"/>
    <cellStyle name="常规 9 5 3 2 2 2 3" xfId="27588"/>
    <cellStyle name="常规 9 5 3 2 2 2 3 2" xfId="27589"/>
    <cellStyle name="常规 9 5 3 2 2 3" xfId="22118"/>
    <cellStyle name="常规 9 5 3 2 2 4" xfId="22120"/>
    <cellStyle name="常规 9 5 3 2 3" xfId="22127"/>
    <cellStyle name="常规 9 5 3 3" xfId="24581"/>
    <cellStyle name="常规 9 5 3 3 2" xfId="5047"/>
    <cellStyle name="常规 9 5 3 3 2 2" xfId="5059"/>
    <cellStyle name="常规 9 5 3 3 2 3" xfId="5082"/>
    <cellStyle name="常规 9 5 3 3 3" xfId="5090"/>
    <cellStyle name="常规 9 5 3 3 3 2" xfId="5102"/>
    <cellStyle name="常规 9 5 3 3 3 2 2" xfId="6066"/>
    <cellStyle name="常规 9 5 3 3 3 2 3" xfId="3069"/>
    <cellStyle name="常规 9 5 3 3 3 2 3 2" xfId="1564"/>
    <cellStyle name="常规 9 5 3 3 3 3" xfId="474"/>
    <cellStyle name="常规 9 5 3 3 3 4" xfId="6079"/>
    <cellStyle name="常规 9 5 3 3 4" xfId="5115"/>
    <cellStyle name="常规 9 5 3 4" xfId="24584"/>
    <cellStyle name="常规 9 5 3 4 2" xfId="22069"/>
    <cellStyle name="常规 9 5 3 4 2 2" xfId="19889"/>
    <cellStyle name="常规 9 5 3 4 2 3" xfId="19894"/>
    <cellStyle name="常规 9 5 3 4 2 3 2" xfId="27590"/>
    <cellStyle name="常规 9 5 3 4 3" xfId="22072"/>
    <cellStyle name="常规 9 5 3 4 4" xfId="22082"/>
    <cellStyle name="常规 9 5 3 5" xfId="1333"/>
    <cellStyle name="常规 9 5 4" xfId="24313"/>
    <cellStyle name="常规 9 5 4 2" xfId="27591"/>
    <cellStyle name="常规 9 5 4 2 2" xfId="22928"/>
    <cellStyle name="常规 9 5 4 2 2 2" xfId="5174"/>
    <cellStyle name="常规 9 5 4 2 2 3" xfId="22931"/>
    <cellStyle name="常规 9 5 4 2 3" xfId="22939"/>
    <cellStyle name="常规 9 5 4 2 3 2" xfId="22941"/>
    <cellStyle name="常规 9 5 4 2 3 2 2" xfId="27592"/>
    <cellStyle name="常规 9 5 4 2 3 2 3" xfId="27593"/>
    <cellStyle name="常规 9 5 4 2 3 2 3 2" xfId="27594"/>
    <cellStyle name="常规 9 5 4 2 3 3" xfId="22944"/>
    <cellStyle name="常规 9 5 4 2 3 4" xfId="22946"/>
    <cellStyle name="常规 9 5 4 2 4" xfId="22952"/>
    <cellStyle name="常规 9 5 4 3" xfId="24587"/>
    <cellStyle name="常规 9 5 4 3 2" xfId="5187"/>
    <cellStyle name="常规 9 5 4 3 2 2" xfId="6415"/>
    <cellStyle name="常规 9 5 4 3 2 3" xfId="6469"/>
    <cellStyle name="常规 9 5 4 3 2 3 2" xfId="6473"/>
    <cellStyle name="常规 9 5 4 3 3" xfId="4721"/>
    <cellStyle name="常规 9 5 4 3 4" xfId="4732"/>
    <cellStyle name="常规 9 5 4 4" xfId="24590"/>
    <cellStyle name="常规 9 5 5" xfId="24315"/>
    <cellStyle name="常规 9 5 5 2" xfId="24317"/>
    <cellStyle name="常规 9 5 5 2 2" xfId="23505"/>
    <cellStyle name="常规 9 5 5 2 3" xfId="23513"/>
    <cellStyle name="常规 9 5 5 3" xfId="24594"/>
    <cellStyle name="常规 9 5 5 3 2" xfId="6626"/>
    <cellStyle name="常规 9 5 5 3 2 2" xfId="6635"/>
    <cellStyle name="常规 9 5 5 3 2 3" xfId="6692"/>
    <cellStyle name="常规 9 5 5 3 2 3 2" xfId="1920"/>
    <cellStyle name="常规 9 5 5 3 3" xfId="6728"/>
    <cellStyle name="常规 9 5 5 3 4" xfId="6767"/>
    <cellStyle name="常规 9 5 5 4" xfId="24596"/>
    <cellStyle name="常规 9 5 6" xfId="27595"/>
    <cellStyle name="常规 9 5 6 2" xfId="27596"/>
    <cellStyle name="常规 9 5 6 2 2" xfId="23820"/>
    <cellStyle name="常规 9 5 6 2 3" xfId="23822"/>
    <cellStyle name="常规 9 5 6 2 3 2" xfId="27597"/>
    <cellStyle name="常规 9 5 6 3" xfId="27598"/>
    <cellStyle name="常规 9 5 6 4" xfId="27600"/>
    <cellStyle name="常规 9 5 7" xfId="27602"/>
    <cellStyle name="常规 9 6" xfId="6528"/>
    <cellStyle name="常规 9 6 2" xfId="8278"/>
    <cellStyle name="常规 9 6 2 2" xfId="27603"/>
    <cellStyle name="常规 9 6 2 2 2" xfId="27604"/>
    <cellStyle name="常规 9 6 2 2 2 2" xfId="20801"/>
    <cellStyle name="常规 9 6 2 2 2 3" xfId="27605"/>
    <cellStyle name="常规 9 6 2 2 2 3 2" xfId="27606"/>
    <cellStyle name="常规 9 6 2 2 3" xfId="27607"/>
    <cellStyle name="常规 9 6 2 2 4" xfId="3179"/>
    <cellStyle name="常规 9 6 2 3" xfId="20830"/>
    <cellStyle name="常规 9 6 3" xfId="1483"/>
    <cellStyle name="常规 9 6 3 2" xfId="27608"/>
    <cellStyle name="常规 9 6 3 2 2" xfId="27609"/>
    <cellStyle name="常规 9 6 3 2 3" xfId="27610"/>
    <cellStyle name="常规 9 6 3 3" xfId="24601"/>
    <cellStyle name="常规 9 6 3 3 2" xfId="24603"/>
    <cellStyle name="常规 9 6 3 3 2 2" xfId="13491"/>
    <cellStyle name="常规 9 6 3 3 2 3" xfId="13497"/>
    <cellStyle name="常规 9 6 3 3 2 3 2" xfId="24605"/>
    <cellStyle name="常规 9 6 3 3 3" xfId="24607"/>
    <cellStyle name="常规 9 6 3 3 4" xfId="24609"/>
    <cellStyle name="常规 9 6 3 4" xfId="24611"/>
    <cellStyle name="常规 9 6 4" xfId="27611"/>
    <cellStyle name="常规 9 6 4 2" xfId="27612"/>
    <cellStyle name="常规 9 6 4 2 2" xfId="27613"/>
    <cellStyle name="常规 9 6 4 2 3" xfId="27614"/>
    <cellStyle name="常规 9 6 4 2 3 2" xfId="27615"/>
    <cellStyle name="常规 9 6 4 3" xfId="24613"/>
    <cellStyle name="常规 9 6 4 4" xfId="24618"/>
    <cellStyle name="常规 9 6 5" xfId="27616"/>
    <cellStyle name="常规 9 7" xfId="8292"/>
    <cellStyle name="常规 9 7 2" xfId="27448"/>
    <cellStyle name="常规 9 7 2 2" xfId="27617"/>
    <cellStyle name="常规 9 7 2 2 2" xfId="27618"/>
    <cellStyle name="常规 9 7 2 2 2 2" xfId="27619"/>
    <cellStyle name="常规 9 7 2 2 2 3" xfId="24857"/>
    <cellStyle name="常规 9 7 2 2 2 3 2" xfId="24861"/>
    <cellStyle name="常规 9 7 2 2 3" xfId="27621"/>
    <cellStyle name="常规 9 7 2 2 4" xfId="3198"/>
    <cellStyle name="常规 9 7 2 3" xfId="27622"/>
    <cellStyle name="常规 9 7 3" xfId="27450"/>
    <cellStyle name="常规 9 7 3 2" xfId="1601"/>
    <cellStyle name="常规 9 7 3 2 2" xfId="27623"/>
    <cellStyle name="常规 9 7 3 2 3" xfId="27624"/>
    <cellStyle name="常规 9 7 3 3" xfId="24639"/>
    <cellStyle name="常规 9 7 3 3 2" xfId="24641"/>
    <cellStyle name="常规 9 7 3 3 2 2" xfId="24644"/>
    <cellStyle name="常规 9 7 3 3 2 3" xfId="24647"/>
    <cellStyle name="常规 9 7 3 3 2 3 2" xfId="24650"/>
    <cellStyle name="常规 9 7 3 3 3" xfId="24653"/>
    <cellStyle name="常规 9 7 3 3 4" xfId="24656"/>
    <cellStyle name="常规 9 7 3 4" xfId="24659"/>
    <cellStyle name="常规 9 7 4" xfId="27625"/>
    <cellStyle name="常规 9 7 4 2" xfId="27626"/>
    <cellStyle name="常规 9 7 4 2 2" xfId="27627"/>
    <cellStyle name="常规 9 7 4 2 3" xfId="27628"/>
    <cellStyle name="常规 9 7 4 2 3 2" xfId="27629"/>
    <cellStyle name="常规 9 7 4 3" xfId="24661"/>
    <cellStyle name="常规 9 7 4 4" xfId="24667"/>
    <cellStyle name="常规 9 7 5" xfId="27630"/>
    <cellStyle name="常规 9 8" xfId="27452"/>
    <cellStyle name="常规 9 8 2" xfId="27631"/>
    <cellStyle name="常规 9 8 2 2" xfId="25924"/>
    <cellStyle name="常规 9 8 2 3" xfId="27632"/>
    <cellStyle name="常规 9 8 3" xfId="27633"/>
    <cellStyle name="常规 9 8 3 2" xfId="26466"/>
    <cellStyle name="常规 9 8 3 2 2" xfId="26468"/>
    <cellStyle name="常规 9 8 3 2 3" xfId="26473"/>
    <cellStyle name="常规 9 8 3 2 3 2" xfId="27634"/>
    <cellStyle name="常规 9 8 3 3" xfId="24686"/>
    <cellStyle name="常规 9 8 3 4" xfId="24689"/>
    <cellStyle name="常规 9 8 4" xfId="27635"/>
    <cellStyle name="常规 9 9" xfId="27454"/>
    <cellStyle name="常规 9 9 2" xfId="27636"/>
    <cellStyle name="常规 9 9 2 2" xfId="11069"/>
    <cellStyle name="常规 9 9 2 3" xfId="17558"/>
    <cellStyle name="常规 9 9 2 3 2" xfId="26853"/>
    <cellStyle name="常规 9 9 3" xfId="27637"/>
    <cellStyle name="常规 9 9 4" xfId="27638"/>
    <cellStyle name="好 2" xfId="27639"/>
    <cellStyle name="好 2 10" xfId="27640"/>
    <cellStyle name="好 2 2" xfId="550"/>
    <cellStyle name="好 2 2 2" xfId="11555"/>
    <cellStyle name="好 2 2 2 2" xfId="27641"/>
    <cellStyle name="好 2 2 2 2 2" xfId="27642"/>
    <cellStyle name="好 2 2 2 2 2 2" xfId="27643"/>
    <cellStyle name="好 2 2 2 2 2 2 2" xfId="27644"/>
    <cellStyle name="好 2 2 2 2 2 2 3" xfId="27646"/>
    <cellStyle name="好 2 2 2 2 2 3" xfId="27647"/>
    <cellStyle name="好 2 2 2 2 3" xfId="27648"/>
    <cellStyle name="好 2 2 2 2 3 2" xfId="27649"/>
    <cellStyle name="好 2 2 2 2 3 3" xfId="22396"/>
    <cellStyle name="好 2 2 2 2 4" xfId="27650"/>
    <cellStyle name="好 2 2 2 3" xfId="7798"/>
    <cellStyle name="好 2 2 2 3 2" xfId="27651"/>
    <cellStyle name="好 2 2 2 3 2 2" xfId="27652"/>
    <cellStyle name="好 2 2 2 3 2 3" xfId="27653"/>
    <cellStyle name="好 2 2 2 3 3" xfId="27654"/>
    <cellStyle name="好 2 2 2 4" xfId="7718"/>
    <cellStyle name="好 2 2 2 4 2" xfId="27655"/>
    <cellStyle name="好 2 2 2 4 3" xfId="27656"/>
    <cellStyle name="好 2 2 2 5" xfId="27657"/>
    <cellStyle name="好 2 2 3" xfId="6389"/>
    <cellStyle name="好 2 2 3 2" xfId="27658"/>
    <cellStyle name="好 2 2 3 2 2" xfId="25967"/>
    <cellStyle name="好 2 2 3 2 2 2" xfId="27659"/>
    <cellStyle name="好 2 2 3 2 2 3" xfId="27660"/>
    <cellStyle name="好 2 2 3 2 3" xfId="25969"/>
    <cellStyle name="好 2 2 3 3" xfId="27662"/>
    <cellStyle name="好 2 2 3 3 2" xfId="27663"/>
    <cellStyle name="好 2 2 3 3 3" xfId="27664"/>
    <cellStyle name="好 2 2 3 4" xfId="27665"/>
    <cellStyle name="好 2 2 4" xfId="6391"/>
    <cellStyle name="好 2 2 4 2" xfId="10247"/>
    <cellStyle name="好 2 2 4 2 2" xfId="27666"/>
    <cellStyle name="好 2 2 4 2 2 2" xfId="15524"/>
    <cellStyle name="好 2 2 4 2 2 3" xfId="15527"/>
    <cellStyle name="好 2 2 4 2 3" xfId="27668"/>
    <cellStyle name="好 2 2 4 3" xfId="27669"/>
    <cellStyle name="好 2 2 4 3 2" xfId="27670"/>
    <cellStyle name="好 2 2 4 3 3" xfId="27672"/>
    <cellStyle name="好 2 2 4 4" xfId="27673"/>
    <cellStyle name="好 2 2 5" xfId="18965"/>
    <cellStyle name="好 2 2 5 2" xfId="10254"/>
    <cellStyle name="好 2 2 5 2 2" xfId="27674"/>
    <cellStyle name="好 2 2 5 2 3" xfId="26084"/>
    <cellStyle name="好 2 2 5 3" xfId="27675"/>
    <cellStyle name="好 2 2 6" xfId="18967"/>
    <cellStyle name="好 2 2 6 2" xfId="27676"/>
    <cellStyle name="好 2 2 6 3" xfId="27677"/>
    <cellStyle name="好 2 2 7" xfId="18969"/>
    <cellStyle name="好 2 3" xfId="7410"/>
    <cellStyle name="好 2 3 2" xfId="7424"/>
    <cellStyle name="好 2 3 2 2" xfId="27678"/>
    <cellStyle name="好 2 3 2 2 2" xfId="27679"/>
    <cellStyle name="好 2 3 2 2 2 2" xfId="23329"/>
    <cellStyle name="好 2 3 2 2 2 2 2" xfId="27680"/>
    <cellStyle name="好 2 3 2 2 2 2 3" xfId="27682"/>
    <cellStyle name="好 2 3 2 2 2 3" xfId="23331"/>
    <cellStyle name="好 2 3 2 2 3" xfId="27684"/>
    <cellStyle name="好 2 3 2 2 3 2" xfId="23337"/>
    <cellStyle name="好 2 3 2 2 3 3" xfId="23339"/>
    <cellStyle name="好 2 3 2 2 4" xfId="27685"/>
    <cellStyle name="好 2 3 2 3" xfId="7461"/>
    <cellStyle name="好 2 3 2 3 2" xfId="3811"/>
    <cellStyle name="好 2 3 2 3 2 2" xfId="23483"/>
    <cellStyle name="好 2 3 2 3 2 3" xfId="23485"/>
    <cellStyle name="好 2 3 2 3 3" xfId="27686"/>
    <cellStyle name="好 2 3 2 4" xfId="7467"/>
    <cellStyle name="好 2 3 2 4 2" xfId="3832"/>
    <cellStyle name="好 2 3 2 4 3" xfId="27687"/>
    <cellStyle name="好 2 3 2 5" xfId="27688"/>
    <cellStyle name="好 2 3 3" xfId="7521"/>
    <cellStyle name="好 2 3 3 2" xfId="27690"/>
    <cellStyle name="好 2 3 3 2 2" xfId="27691"/>
    <cellStyle name="好 2 3 3 2 2 2" xfId="1530"/>
    <cellStyle name="好 2 3 3 2 2 3" xfId="23777"/>
    <cellStyle name="好 2 3 3 2 3" xfId="27692"/>
    <cellStyle name="好 2 3 3 3" xfId="27694"/>
    <cellStyle name="好 2 3 3 3 2" xfId="3874"/>
    <cellStyle name="好 2 3 3 3 3" xfId="27695"/>
    <cellStyle name="好 2 3 3 4" xfId="27696"/>
    <cellStyle name="好 2 3 4" xfId="7687"/>
    <cellStyle name="好 2 3 4 2" xfId="7694"/>
    <cellStyle name="好 2 3 4 2 2" xfId="27697"/>
    <cellStyle name="好 2 3 4 2 2 2" xfId="7173"/>
    <cellStyle name="好 2 3 4 2 2 3" xfId="7716"/>
    <cellStyle name="好 2 3 4 2 3" xfId="27698"/>
    <cellStyle name="好 2 3 4 3" xfId="27699"/>
    <cellStyle name="好 2 3 4 3 2" xfId="3120"/>
    <cellStyle name="好 2 3 4 3 3" xfId="27700"/>
    <cellStyle name="好 2 3 4 4" xfId="27701"/>
    <cellStyle name="好 2 3 5" xfId="7835"/>
    <cellStyle name="好 2 3 5 2" xfId="7839"/>
    <cellStyle name="好 2 3 5 2 2" xfId="27703"/>
    <cellStyle name="好 2 3 5 2 3" xfId="27704"/>
    <cellStyle name="好 2 3 5 3" xfId="27705"/>
    <cellStyle name="好 2 3 6" xfId="7878"/>
    <cellStyle name="好 2 3 6 2" xfId="3258"/>
    <cellStyle name="好 2 3 6 3" xfId="3676"/>
    <cellStyle name="好 2 3 7" xfId="3917"/>
    <cellStyle name="好 2 4" xfId="11563"/>
    <cellStyle name="好 2 4 2" xfId="18975"/>
    <cellStyle name="好 2 4 2 2" xfId="16475"/>
    <cellStyle name="好 2 4 2 2 2" xfId="20247"/>
    <cellStyle name="好 2 4 2 2 2 2" xfId="27706"/>
    <cellStyle name="好 2 4 2 2 2 2 2" xfId="5518"/>
    <cellStyle name="好 2 4 2 2 2 2 3" xfId="27707"/>
    <cellStyle name="好 2 4 2 2 2 3" xfId="27708"/>
    <cellStyle name="好 2 4 2 2 3" xfId="20249"/>
    <cellStyle name="好 2 4 2 2 3 2" xfId="18150"/>
    <cellStyle name="好 2 4 2 2 3 3" xfId="18154"/>
    <cellStyle name="好 2 4 2 2 4" xfId="27709"/>
    <cellStyle name="好 2 4 2 3" xfId="12098"/>
    <cellStyle name="好 2 4 2 3 2" xfId="27710"/>
    <cellStyle name="好 2 4 2 3 2 2" xfId="27711"/>
    <cellStyle name="好 2 4 2 3 2 3" xfId="27712"/>
    <cellStyle name="好 2 4 2 3 3" xfId="27713"/>
    <cellStyle name="好 2 4 2 4" xfId="10992"/>
    <cellStyle name="好 2 4 2 4 2" xfId="27714"/>
    <cellStyle name="好 2 4 2 4 3" xfId="27715"/>
    <cellStyle name="好 2 4 2 5" xfId="20799"/>
    <cellStyle name="好 2 4 3" xfId="7023"/>
    <cellStyle name="好 2 4 3 2" xfId="16491"/>
    <cellStyle name="好 2 4 3 2 2" xfId="27716"/>
    <cellStyle name="好 2 4 3 2 2 2" xfId="13141"/>
    <cellStyle name="好 2 4 3 2 2 3" xfId="20337"/>
    <cellStyle name="好 2 4 3 2 3" xfId="27717"/>
    <cellStyle name="好 2 4 3 3" xfId="16495"/>
    <cellStyle name="好 2 4 3 3 2" xfId="27718"/>
    <cellStyle name="好 2 4 3 3 3" xfId="27719"/>
    <cellStyle name="好 2 4 3 4" xfId="16499"/>
    <cellStyle name="好 2 4 4" xfId="7026"/>
    <cellStyle name="好 2 4 4 2" xfId="10271"/>
    <cellStyle name="好 2 4 4 2 2" xfId="18439"/>
    <cellStyle name="好 2 4 4 2 2 2" xfId="13094"/>
    <cellStyle name="好 2 4 4 2 2 3" xfId="13099"/>
    <cellStyle name="好 2 4 4 2 3" xfId="18442"/>
    <cellStyle name="好 2 4 4 3" xfId="16511"/>
    <cellStyle name="好 2 4 4 3 2" xfId="18454"/>
    <cellStyle name="好 2 4 4 3 3" xfId="18457"/>
    <cellStyle name="好 2 4 4 4" xfId="16515"/>
    <cellStyle name="好 2 4 5" xfId="18977"/>
    <cellStyle name="好 2 4 5 2" xfId="16530"/>
    <cellStyle name="好 2 4 5 2 2" xfId="27720"/>
    <cellStyle name="好 2 4 5 2 3" xfId="27722"/>
    <cellStyle name="好 2 4 5 3" xfId="16534"/>
    <cellStyle name="好 2 4 6" xfId="18979"/>
    <cellStyle name="好 2 4 6 2" xfId="16553"/>
    <cellStyle name="好 2 4 6 3" xfId="16557"/>
    <cellStyle name="好 2 4 7" xfId="8426"/>
    <cellStyle name="好 2 5" xfId="14606"/>
    <cellStyle name="好 2 5 2" xfId="27724"/>
    <cellStyle name="好 2 5 2 2" xfId="26318"/>
    <cellStyle name="好 2 5 2 2 2" xfId="23528"/>
    <cellStyle name="好 2 5 2 2 2 2" xfId="11611"/>
    <cellStyle name="好 2 5 2 2 2 3" xfId="7679"/>
    <cellStyle name="好 2 5 2 2 3" xfId="23530"/>
    <cellStyle name="好 2 5 2 3" xfId="26321"/>
    <cellStyle name="好 2 5 2 3 2" xfId="27725"/>
    <cellStyle name="好 2 5 2 3 3" xfId="27726"/>
    <cellStyle name="好 2 5 2 4" xfId="27727"/>
    <cellStyle name="好 2 5 3" xfId="27728"/>
    <cellStyle name="好 2 5 3 2" xfId="27729"/>
    <cellStyle name="好 2 5 3 2 2" xfId="27730"/>
    <cellStyle name="好 2 5 3 2 3" xfId="27731"/>
    <cellStyle name="好 2 5 3 3" xfId="27732"/>
    <cellStyle name="好 2 5 4" xfId="27733"/>
    <cellStyle name="好 2 5 4 2" xfId="16666"/>
    <cellStyle name="好 2 5 4 3" xfId="16669"/>
    <cellStyle name="好 2 5 5" xfId="27734"/>
    <cellStyle name="好 2 6" xfId="5391"/>
    <cellStyle name="好 2 6 2" xfId="27735"/>
    <cellStyle name="好 2 6 2 2" xfId="15467"/>
    <cellStyle name="好 2 6 2 2 2" xfId="11963"/>
    <cellStyle name="好 2 6 2 2 3" xfId="19509"/>
    <cellStyle name="好 2 6 2 3" xfId="15472"/>
    <cellStyle name="好 2 6 3" xfId="27736"/>
    <cellStyle name="好 2 6 3 2" xfId="19603"/>
    <cellStyle name="好 2 6 3 3" xfId="19607"/>
    <cellStyle name="好 2 6 4" xfId="27737"/>
    <cellStyle name="好 2 7" xfId="5396"/>
    <cellStyle name="好 2 7 2" xfId="27049"/>
    <cellStyle name="好 2 7 2 2" xfId="20193"/>
    <cellStyle name="好 2 7 2 2 2" xfId="20198"/>
    <cellStyle name="好 2 7 2 2 3" xfId="20201"/>
    <cellStyle name="好 2 7 2 3" xfId="20205"/>
    <cellStyle name="好 2 7 3" xfId="27052"/>
    <cellStyle name="好 2 7 3 2" xfId="20310"/>
    <cellStyle name="好 2 7 3 3" xfId="20321"/>
    <cellStyle name="好 2 7 4" xfId="27738"/>
    <cellStyle name="好 2 8" xfId="5170"/>
    <cellStyle name="好 2 8 2" xfId="2832"/>
    <cellStyle name="好 2 8 2 2" xfId="4389"/>
    <cellStyle name="好 2 8 2 3" xfId="2965"/>
    <cellStyle name="好 2 8 3" xfId="3789"/>
    <cellStyle name="好 2 9" xfId="1451"/>
    <cellStyle name="好 2 9 2" xfId="703"/>
    <cellStyle name="汇总 10" xfId="3735"/>
    <cellStyle name="汇总 2" xfId="14339"/>
    <cellStyle name="汇总 2 2" xfId="20056"/>
    <cellStyle name="汇总 2 2 2" xfId="27739"/>
    <cellStyle name="汇总 2 2 2 2" xfId="27740"/>
    <cellStyle name="汇总 2 2 2 2 2" xfId="12052"/>
    <cellStyle name="汇总 2 2 2 2 2 2" xfId="27742"/>
    <cellStyle name="汇总 2 2 2 2 2 3" xfId="1827"/>
    <cellStyle name="汇总 2 2 2 2 3" xfId="27744"/>
    <cellStyle name="汇总 2 2 2 3" xfId="27746"/>
    <cellStyle name="汇总 2 2 2 3 2" xfId="12146"/>
    <cellStyle name="汇总 2 2 2 3 3" xfId="16229"/>
    <cellStyle name="汇总 2 2 2 4" xfId="27748"/>
    <cellStyle name="汇总 2 2 3" xfId="27749"/>
    <cellStyle name="汇总 2 2 3 2" xfId="27750"/>
    <cellStyle name="汇总 2 2 3 2 2" xfId="27751"/>
    <cellStyle name="汇总 2 2 3 2 3" xfId="27752"/>
    <cellStyle name="汇总 2 2 3 3" xfId="27753"/>
    <cellStyle name="汇总 2 2 4" xfId="27754"/>
    <cellStyle name="汇总 2 2 4 2" xfId="17229"/>
    <cellStyle name="汇总 2 2 4 3" xfId="17232"/>
    <cellStyle name="汇总 2 2 5" xfId="27755"/>
    <cellStyle name="汇总 2 3" xfId="20058"/>
    <cellStyle name="汇总 2 3 2" xfId="27756"/>
    <cellStyle name="汇总 2 3 2 2" xfId="27757"/>
    <cellStyle name="汇总 2 3 2 2 2" xfId="27758"/>
    <cellStyle name="汇总 2 3 2 2 3" xfId="27759"/>
    <cellStyle name="汇总 2 3 2 3" xfId="27760"/>
    <cellStyle name="汇总 2 3 3" xfId="27761"/>
    <cellStyle name="汇总 2 3 3 2" xfId="27762"/>
    <cellStyle name="汇总 2 3 3 3" xfId="27763"/>
    <cellStyle name="汇总 2 3 4" xfId="27764"/>
    <cellStyle name="汇总 2 4" xfId="5779"/>
    <cellStyle name="汇总 2 4 2" xfId="5788"/>
    <cellStyle name="汇总 2 4 2 2" xfId="5791"/>
    <cellStyle name="汇总 2 4 2 2 2" xfId="5795"/>
    <cellStyle name="汇总 2 4 2 2 3" xfId="5799"/>
    <cellStyle name="汇总 2 4 2 3" xfId="27765"/>
    <cellStyle name="汇总 2 4 3" xfId="23586"/>
    <cellStyle name="汇总 2 4 3 2" xfId="2201"/>
    <cellStyle name="汇总 2 4 3 3" xfId="27766"/>
    <cellStyle name="汇总 2 4 4" xfId="373"/>
    <cellStyle name="汇总 2 5" xfId="5804"/>
    <cellStyle name="汇总 2 5 2" xfId="5814"/>
    <cellStyle name="汇总 2 5 2 2" xfId="5818"/>
    <cellStyle name="汇总 2 5 2 3" xfId="27767"/>
    <cellStyle name="汇总 2 5 3" xfId="27768"/>
    <cellStyle name="汇总 2 6" xfId="5829"/>
    <cellStyle name="汇总 2 6 2" xfId="27769"/>
    <cellStyle name="汇总 2 6 3" xfId="27770"/>
    <cellStyle name="汇总 2 7" xfId="27771"/>
    <cellStyle name="汇总 3" xfId="14343"/>
    <cellStyle name="汇总 3 2" xfId="27772"/>
    <cellStyle name="汇总 3 2 2" xfId="27773"/>
    <cellStyle name="汇总 3 2 2 2" xfId="27774"/>
    <cellStyle name="汇总 3 2 2 2 2" xfId="12453"/>
    <cellStyle name="汇总 3 2 2 2 2 2" xfId="12456"/>
    <cellStyle name="汇总 3 2 2 2 2 3" xfId="4074"/>
    <cellStyle name="汇总 3 2 2 2 3" xfId="12460"/>
    <cellStyle name="汇总 3 2 2 3" xfId="27775"/>
    <cellStyle name="汇总 3 2 2 3 2" xfId="21938"/>
    <cellStyle name="汇总 3 2 2 3 3" xfId="22151"/>
    <cellStyle name="汇总 3 2 2 4" xfId="27776"/>
    <cellStyle name="汇总 3 2 3" xfId="27777"/>
    <cellStyle name="汇总 3 2 3 2" xfId="27778"/>
    <cellStyle name="汇总 3 2 3 2 2" xfId="27779"/>
    <cellStyle name="汇总 3 2 3 2 3" xfId="27780"/>
    <cellStyle name="汇总 3 2 3 3" xfId="27781"/>
    <cellStyle name="汇总 3 2 4" xfId="27782"/>
    <cellStyle name="汇总 3 2 4 2" xfId="27555"/>
    <cellStyle name="汇总 3 2 4 3" xfId="27562"/>
    <cellStyle name="汇总 3 2 5" xfId="27783"/>
    <cellStyle name="汇总 3 3" xfId="25756"/>
    <cellStyle name="汇总 3 3 2" xfId="27784"/>
    <cellStyle name="汇总 3 3 2 2" xfId="27785"/>
    <cellStyle name="汇总 3 3 2 2 2" xfId="27786"/>
    <cellStyle name="汇总 3 3 2 2 3" xfId="27787"/>
    <cellStyle name="汇总 3 3 2 3" xfId="27788"/>
    <cellStyle name="汇总 3 3 3" xfId="27789"/>
    <cellStyle name="汇总 3 3 3 2" xfId="27790"/>
    <cellStyle name="汇总 3 3 3 3" xfId="27791"/>
    <cellStyle name="汇总 3 3 4" xfId="23253"/>
    <cellStyle name="汇总 3 4" xfId="5844"/>
    <cellStyle name="汇总 3 4 2" xfId="27792"/>
    <cellStyle name="汇总 3 4 2 2" xfId="5852"/>
    <cellStyle name="汇总 3 4 2 2 2" xfId="27793"/>
    <cellStyle name="汇总 3 4 2 2 3" xfId="27794"/>
    <cellStyle name="汇总 3 4 2 3" xfId="1093"/>
    <cellStyle name="汇总 3 4 3" xfId="27795"/>
    <cellStyle name="汇总 3 4 3 2" xfId="17775"/>
    <cellStyle name="汇总 3 4 3 3" xfId="27796"/>
    <cellStyle name="汇总 3 4 4" xfId="1636"/>
    <cellStyle name="汇总 3 5" xfId="5860"/>
    <cellStyle name="汇总 3 5 2" xfId="27797"/>
    <cellStyle name="汇总 3 5 2 2" xfId="21177"/>
    <cellStyle name="汇总 3 5 2 3" xfId="27798"/>
    <cellStyle name="汇总 3 5 3" xfId="27799"/>
    <cellStyle name="汇总 3 6" xfId="406"/>
    <cellStyle name="汇总 3 6 2" xfId="19409"/>
    <cellStyle name="汇总 3 6 3" xfId="27800"/>
    <cellStyle name="汇总 3 7" xfId="20783"/>
    <cellStyle name="汇总 4" xfId="27801"/>
    <cellStyle name="汇总 4 2" xfId="27802"/>
    <cellStyle name="汇总 4 2 2" xfId="18707"/>
    <cellStyle name="汇总 4 2 2 2" xfId="23210"/>
    <cellStyle name="汇总 4 2 2 2 2" xfId="23212"/>
    <cellStyle name="汇总 4 2 2 2 2 2" xfId="27803"/>
    <cellStyle name="汇总 4 2 2 2 2 3" xfId="4331"/>
    <cellStyle name="汇总 4 2 2 2 3" xfId="23214"/>
    <cellStyle name="汇总 4 2 2 3" xfId="23219"/>
    <cellStyle name="汇总 4 2 2 3 2" xfId="23221"/>
    <cellStyle name="汇总 4 2 2 3 3" xfId="23223"/>
    <cellStyle name="汇总 4 2 2 4" xfId="23229"/>
    <cellStyle name="汇总 4 2 3" xfId="9349"/>
    <cellStyle name="汇总 4 2 3 2" xfId="23344"/>
    <cellStyle name="汇总 4 2 3 2 2" xfId="23346"/>
    <cellStyle name="汇总 4 2 3 2 3" xfId="23348"/>
    <cellStyle name="汇总 4 2 3 3" xfId="23352"/>
    <cellStyle name="汇总 4 2 4" xfId="9357"/>
    <cellStyle name="汇总 4 2 4 2" xfId="23499"/>
    <cellStyle name="汇总 4 2 4 3" xfId="23506"/>
    <cellStyle name="汇总 4 2 5" xfId="27805"/>
    <cellStyle name="汇总 4 3" xfId="27807"/>
    <cellStyle name="汇总 4 3 2" xfId="18713"/>
    <cellStyle name="汇总 4 3 2 2" xfId="23716"/>
    <cellStyle name="汇总 4 3 2 2 2" xfId="23718"/>
    <cellStyle name="汇总 4 3 2 2 3" xfId="23720"/>
    <cellStyle name="汇总 4 3 2 3" xfId="23726"/>
    <cellStyle name="汇总 4 3 3" xfId="27808"/>
    <cellStyle name="汇总 4 3 3 2" xfId="23788"/>
    <cellStyle name="汇总 4 3 3 3" xfId="23793"/>
    <cellStyle name="汇总 4 3 4" xfId="27809"/>
    <cellStyle name="汇总 4 4" xfId="27810"/>
    <cellStyle name="汇总 4 4 2" xfId="27811"/>
    <cellStyle name="汇总 4 4 2 2" xfId="5330"/>
    <cellStyle name="汇总 4 4 2 2 2" xfId="23982"/>
    <cellStyle name="汇总 4 4 2 2 3" xfId="23984"/>
    <cellStyle name="汇总 4 4 2 3" xfId="23989"/>
    <cellStyle name="汇总 4 4 3" xfId="27812"/>
    <cellStyle name="汇总 4 4 3 2" xfId="21385"/>
    <cellStyle name="汇总 4 4 3 3" xfId="24041"/>
    <cellStyle name="汇总 4 4 4" xfId="5365"/>
    <cellStyle name="汇总 4 5" xfId="27813"/>
    <cellStyle name="汇总 4 5 2" xfId="27814"/>
    <cellStyle name="汇总 4 5 2 2" xfId="21465"/>
    <cellStyle name="汇总 4 5 2 3" xfId="24195"/>
    <cellStyle name="汇总 4 5 3" xfId="27815"/>
    <cellStyle name="汇总 4 6" xfId="27816"/>
    <cellStyle name="汇总 4 6 2" xfId="27817"/>
    <cellStyle name="汇总 4 6 3" xfId="8597"/>
    <cellStyle name="汇总 4 7" xfId="27818"/>
    <cellStyle name="汇总 5" xfId="25154"/>
    <cellStyle name="汇总 5 2" xfId="25156"/>
    <cellStyle name="汇总 5 2 2" xfId="27819"/>
    <cellStyle name="汇总 5 2 2 2" xfId="27820"/>
    <cellStyle name="汇总 5 2 2 2 2" xfId="23033"/>
    <cellStyle name="汇总 5 2 2 2 3" xfId="23036"/>
    <cellStyle name="汇总 5 2 2 3" xfId="27821"/>
    <cellStyle name="汇总 5 2 3" xfId="27822"/>
    <cellStyle name="汇总 5 2 3 2" xfId="27825"/>
    <cellStyle name="汇总 5 2 3 3" xfId="27827"/>
    <cellStyle name="汇总 5 2 4" xfId="27829"/>
    <cellStyle name="汇总 5 3" xfId="25158"/>
    <cellStyle name="汇总 5 3 2" xfId="27832"/>
    <cellStyle name="汇总 5 3 2 2" xfId="27833"/>
    <cellStyle name="汇总 5 3 2 3" xfId="27834"/>
    <cellStyle name="汇总 5 3 3" xfId="27835"/>
    <cellStyle name="汇总 5 4" xfId="27837"/>
    <cellStyle name="汇总 5 4 2" xfId="27838"/>
    <cellStyle name="汇总 5 4 3" xfId="27839"/>
    <cellStyle name="汇总 5 5" xfId="27841"/>
    <cellStyle name="汇总 6" xfId="25160"/>
    <cellStyle name="汇总 6 2" xfId="3306"/>
    <cellStyle name="汇总 6 2 2" xfId="25162"/>
    <cellStyle name="汇总 6 2 2 2" xfId="27842"/>
    <cellStyle name="汇总 6 2 2 3" xfId="27843"/>
    <cellStyle name="汇总 6 2 3" xfId="25164"/>
    <cellStyle name="汇总 6 3" xfId="25167"/>
    <cellStyle name="汇总 6 3 2" xfId="27844"/>
    <cellStyle name="汇总 6 3 3" xfId="3344"/>
    <cellStyle name="汇总 6 4" xfId="25034"/>
    <cellStyle name="汇总 7" xfId="25169"/>
    <cellStyle name="汇总 7 2" xfId="27845"/>
    <cellStyle name="汇总 7 2 2" xfId="27846"/>
    <cellStyle name="汇总 7 2 2 2" xfId="27847"/>
    <cellStyle name="汇总 7 2 2 3" xfId="27090"/>
    <cellStyle name="汇总 7 2 3" xfId="27848"/>
    <cellStyle name="汇总 7 3" xfId="27849"/>
    <cellStyle name="汇总 7 3 2" xfId="27850"/>
    <cellStyle name="汇总 7 3 3" xfId="27851"/>
    <cellStyle name="汇总 7 4" xfId="27852"/>
    <cellStyle name="汇总 8" xfId="27741"/>
    <cellStyle name="汇总 8 2" xfId="12051"/>
    <cellStyle name="汇总 8 2 2" xfId="27743"/>
    <cellStyle name="汇总 8 2 3" xfId="1828"/>
    <cellStyle name="汇总 8 3" xfId="27745"/>
    <cellStyle name="汇总 9" xfId="27747"/>
    <cellStyle name="汇总 9 2" xfId="12145"/>
    <cellStyle name="计算 2" xfId="27853"/>
    <cellStyle name="计算 2 10" xfId="27854"/>
    <cellStyle name="计算 2 2" xfId="27855"/>
    <cellStyle name="计算 2 2 2" xfId="14425"/>
    <cellStyle name="计算 2 2 2 2" xfId="27856"/>
    <cellStyle name="计算 2 2 2 2 2" xfId="26422"/>
    <cellStyle name="计算 2 2 2 2 2 2" xfId="27857"/>
    <cellStyle name="计算 2 2 2 2 2 2 2" xfId="27858"/>
    <cellStyle name="计算 2 2 2 2 2 2 3" xfId="27859"/>
    <cellStyle name="计算 2 2 2 2 2 3" xfId="27860"/>
    <cellStyle name="计算 2 2 2 2 3" xfId="26424"/>
    <cellStyle name="计算 2 2 2 2 3 2" xfId="27861"/>
    <cellStyle name="计算 2 2 2 2 3 3" xfId="27862"/>
    <cellStyle name="计算 2 2 2 2 4" xfId="27863"/>
    <cellStyle name="计算 2 2 2 3" xfId="27864"/>
    <cellStyle name="计算 2 2 2 3 2" xfId="27865"/>
    <cellStyle name="计算 2 2 2 3 2 2" xfId="21750"/>
    <cellStyle name="计算 2 2 2 3 2 3" xfId="13007"/>
    <cellStyle name="计算 2 2 2 3 3" xfId="22429"/>
    <cellStyle name="计算 2 2 2 4" xfId="27866"/>
    <cellStyle name="计算 2 2 2 4 2" xfId="27867"/>
    <cellStyle name="计算 2 2 2 4 3" xfId="27868"/>
    <cellStyle name="计算 2 2 2 5" xfId="14546"/>
    <cellStyle name="计算 2 2 3" xfId="14431"/>
    <cellStyle name="计算 2 2 3 2" xfId="27869"/>
    <cellStyle name="计算 2 2 3 2 2" xfId="26451"/>
    <cellStyle name="计算 2 2 3 2 2 2" xfId="27870"/>
    <cellStyle name="计算 2 2 3 2 2 3" xfId="27872"/>
    <cellStyle name="计算 2 2 3 2 3" xfId="26453"/>
    <cellStyle name="计算 2 2 3 3" xfId="27874"/>
    <cellStyle name="计算 2 2 3 3 2" xfId="27875"/>
    <cellStyle name="计算 2 2 3 3 3" xfId="27876"/>
    <cellStyle name="计算 2 2 3 4" xfId="27877"/>
    <cellStyle name="计算 2 2 4" xfId="14437"/>
    <cellStyle name="计算 2 2 4 2" xfId="14739"/>
    <cellStyle name="计算 2 2 4 2 2" xfId="6408"/>
    <cellStyle name="计算 2 2 4 2 2 2" xfId="27878"/>
    <cellStyle name="计算 2 2 4 2 2 3" xfId="27879"/>
    <cellStyle name="计算 2 2 4 2 3" xfId="6412"/>
    <cellStyle name="计算 2 2 4 3" xfId="14741"/>
    <cellStyle name="计算 2 2 4 3 2" xfId="27880"/>
    <cellStyle name="计算 2 2 4 3 3" xfId="27881"/>
    <cellStyle name="计算 2 2 4 4" xfId="6107"/>
    <cellStyle name="计算 2 2 5" xfId="27882"/>
    <cellStyle name="计算 2 2 5 2" xfId="27883"/>
    <cellStyle name="计算 2 2 5 2 2" xfId="27884"/>
    <cellStyle name="计算 2 2 5 2 3" xfId="23910"/>
    <cellStyle name="计算 2 2 5 3" xfId="27885"/>
    <cellStyle name="计算 2 2 6" xfId="14443"/>
    <cellStyle name="计算 2 2 6 2" xfId="17824"/>
    <cellStyle name="计算 2 2 6 3" xfId="17833"/>
    <cellStyle name="计算 2 2 7" xfId="17886"/>
    <cellStyle name="计算 2 3" xfId="27886"/>
    <cellStyle name="计算 2 3 2" xfId="6050"/>
    <cellStyle name="计算 2 3 2 2" xfId="18567"/>
    <cellStyle name="计算 2 3 2 2 2" xfId="19322"/>
    <cellStyle name="计算 2 3 2 2 2 2" xfId="27887"/>
    <cellStyle name="计算 2 3 2 2 2 2 2" xfId="27889"/>
    <cellStyle name="计算 2 3 2 2 2 2 3" xfId="27890"/>
    <cellStyle name="计算 2 3 2 2 2 3" xfId="27891"/>
    <cellStyle name="计算 2 3 2 2 3" xfId="19325"/>
    <cellStyle name="计算 2 3 2 2 3 2" xfId="5979"/>
    <cellStyle name="计算 2 3 2 2 3 3" xfId="19850"/>
    <cellStyle name="计算 2 3 2 2 4" xfId="19327"/>
    <cellStyle name="计算 2 3 2 3" xfId="19332"/>
    <cellStyle name="计算 2 3 2 3 2" xfId="19334"/>
    <cellStyle name="计算 2 3 2 3 2 2" xfId="27892"/>
    <cellStyle name="计算 2 3 2 3 2 3" xfId="27893"/>
    <cellStyle name="计算 2 3 2 3 3" xfId="19336"/>
    <cellStyle name="计算 2 3 2 4" xfId="19341"/>
    <cellStyle name="计算 2 3 2 4 2" xfId="12174"/>
    <cellStyle name="计算 2 3 2 4 3" xfId="19343"/>
    <cellStyle name="计算 2 3 2 5" xfId="14645"/>
    <cellStyle name="计算 2 3 3" xfId="257"/>
    <cellStyle name="计算 2 3 3 2" xfId="18584"/>
    <cellStyle name="计算 2 3 3 2 2" xfId="18816"/>
    <cellStyle name="计算 2 3 3 2 2 2" xfId="10070"/>
    <cellStyle name="计算 2 3 3 2 2 3" xfId="18818"/>
    <cellStyle name="计算 2 3 3 2 3" xfId="26947"/>
    <cellStyle name="计算 2 3 3 3" xfId="19352"/>
    <cellStyle name="计算 2 3 3 3 2" xfId="27894"/>
    <cellStyle name="计算 2 3 3 3 3" xfId="27895"/>
    <cellStyle name="计算 2 3 3 4" xfId="27896"/>
    <cellStyle name="计算 2 3 4" xfId="7936"/>
    <cellStyle name="计算 2 3 4 2" xfId="19355"/>
    <cellStyle name="计算 2 3 4 2 2" xfId="24867"/>
    <cellStyle name="计算 2 3 4 2 2 2" xfId="5035"/>
    <cellStyle name="计算 2 3 4 2 2 3" xfId="25565"/>
    <cellStyle name="计算 2 3 4 2 3" xfId="27897"/>
    <cellStyle name="计算 2 3 4 3" xfId="19357"/>
    <cellStyle name="计算 2 3 4 3 2" xfId="27898"/>
    <cellStyle name="计算 2 3 4 3 3" xfId="27899"/>
    <cellStyle name="计算 2 3 4 4" xfId="27900"/>
    <cellStyle name="计算 2 3 5" xfId="27901"/>
    <cellStyle name="计算 2 3 5 2" xfId="19361"/>
    <cellStyle name="计算 2 3 5 2 2" xfId="14612"/>
    <cellStyle name="计算 2 3 5 2 3" xfId="14614"/>
    <cellStyle name="计算 2 3 5 3" xfId="19363"/>
    <cellStyle name="计算 2 3 6" xfId="10152"/>
    <cellStyle name="计算 2 3 6 2" xfId="17983"/>
    <cellStyle name="计算 2 3 6 3" xfId="17987"/>
    <cellStyle name="计算 2 3 7" xfId="1001"/>
    <cellStyle name="计算 2 4" xfId="27902"/>
    <cellStyle name="计算 2 4 2" xfId="6061"/>
    <cellStyle name="计算 2 4 2 2" xfId="19053"/>
    <cellStyle name="计算 2 4 2 2 2" xfId="27903"/>
    <cellStyle name="计算 2 4 2 2 2 2" xfId="27904"/>
    <cellStyle name="计算 2 4 2 2 2 2 2" xfId="27905"/>
    <cellStyle name="计算 2 4 2 2 2 2 3" xfId="27906"/>
    <cellStyle name="计算 2 4 2 2 2 3" xfId="27907"/>
    <cellStyle name="计算 2 4 2 2 3" xfId="27908"/>
    <cellStyle name="计算 2 4 2 2 3 2" xfId="27909"/>
    <cellStyle name="计算 2 4 2 2 3 3" xfId="27910"/>
    <cellStyle name="计算 2 4 2 2 4" xfId="27911"/>
    <cellStyle name="计算 2 4 2 3" xfId="19057"/>
    <cellStyle name="计算 2 4 2 3 2" xfId="14628"/>
    <cellStyle name="计算 2 4 2 3 2 2" xfId="16381"/>
    <cellStyle name="计算 2 4 2 3 2 3" xfId="16384"/>
    <cellStyle name="计算 2 4 2 3 3" xfId="14633"/>
    <cellStyle name="计算 2 4 2 4" xfId="27912"/>
    <cellStyle name="计算 2 4 2 4 2" xfId="27913"/>
    <cellStyle name="计算 2 4 2 4 3" xfId="27914"/>
    <cellStyle name="计算 2 4 2 5" xfId="27915"/>
    <cellStyle name="计算 2 4 3" xfId="19577"/>
    <cellStyle name="计算 2 4 3 2" xfId="19070"/>
    <cellStyle name="计算 2 4 3 2 2" xfId="27916"/>
    <cellStyle name="计算 2 4 3 2 2 2" xfId="27917"/>
    <cellStyle name="计算 2 4 3 2 2 3" xfId="27919"/>
    <cellStyle name="计算 2 4 3 2 3" xfId="27921"/>
    <cellStyle name="计算 2 4 3 3" xfId="8310"/>
    <cellStyle name="计算 2 4 3 3 2" xfId="27922"/>
    <cellStyle name="计算 2 4 3 3 3" xfId="27923"/>
    <cellStyle name="计算 2 4 3 4" xfId="27924"/>
    <cellStyle name="计算 2 4 4" xfId="19579"/>
    <cellStyle name="计算 2 4 4 2" xfId="19078"/>
    <cellStyle name="计算 2 4 4 2 2" xfId="415"/>
    <cellStyle name="计算 2 4 4 2 2 2" xfId="27925"/>
    <cellStyle name="计算 2 4 4 2 2 3" xfId="25648"/>
    <cellStyle name="计算 2 4 4 2 3" xfId="433"/>
    <cellStyle name="计算 2 4 4 3" xfId="8345"/>
    <cellStyle name="计算 2 4 4 3 2" xfId="27927"/>
    <cellStyle name="计算 2 4 4 3 3" xfId="27928"/>
    <cellStyle name="计算 2 4 4 4" xfId="27929"/>
    <cellStyle name="计算 2 4 5" xfId="27930"/>
    <cellStyle name="计算 2 4 5 2" xfId="19086"/>
    <cellStyle name="计算 2 4 5 2 2" xfId="15778"/>
    <cellStyle name="计算 2 4 5 2 3" xfId="15780"/>
    <cellStyle name="计算 2 4 5 3" xfId="8353"/>
    <cellStyle name="计算 2 4 6" xfId="18018"/>
    <cellStyle name="计算 2 4 6 2" xfId="19094"/>
    <cellStyle name="计算 2 4 6 3" xfId="19097"/>
    <cellStyle name="计算 2 4 7" xfId="242"/>
    <cellStyle name="计算 2 5" xfId="14871"/>
    <cellStyle name="计算 2 5 2" xfId="27931"/>
    <cellStyle name="计算 2 5 2 2" xfId="7248"/>
    <cellStyle name="计算 2 5 2 2 2" xfId="24303"/>
    <cellStyle name="计算 2 5 2 2 2 2" xfId="24306"/>
    <cellStyle name="计算 2 5 2 2 2 3" xfId="24432"/>
    <cellStyle name="计算 2 5 2 2 3" xfId="24434"/>
    <cellStyle name="计算 2 5 2 3" xfId="18750"/>
    <cellStyle name="计算 2 5 2 3 2" xfId="24439"/>
    <cellStyle name="计算 2 5 2 3 3" xfId="24449"/>
    <cellStyle name="计算 2 5 2 4" xfId="18753"/>
    <cellStyle name="计算 2 5 3" xfId="27932"/>
    <cellStyle name="计算 2 5 3 2" xfId="7857"/>
    <cellStyle name="计算 2 5 3 2 2" xfId="24474"/>
    <cellStyle name="计算 2 5 3 2 3" xfId="24480"/>
    <cellStyle name="计算 2 5 3 3" xfId="7384"/>
    <cellStyle name="计算 2 5 4" xfId="27934"/>
    <cellStyle name="计算 2 5 4 2" xfId="17433"/>
    <cellStyle name="计算 2 5 4 3" xfId="2960"/>
    <cellStyle name="计算 2 5 5" xfId="27935"/>
    <cellStyle name="计算 2 6" xfId="14877"/>
    <cellStyle name="计算 2 6 2" xfId="27936"/>
    <cellStyle name="计算 2 6 2 2" xfId="19677"/>
    <cellStyle name="计算 2 6 2 2 2" xfId="24614"/>
    <cellStyle name="计算 2 6 2 2 3" xfId="24619"/>
    <cellStyle name="计算 2 6 2 3" xfId="19681"/>
    <cellStyle name="计算 2 6 3" xfId="9873"/>
    <cellStyle name="计算 2 6 3 2" xfId="9878"/>
    <cellStyle name="计算 2 6 3 3" xfId="8367"/>
    <cellStyle name="计算 2 6 4" xfId="9882"/>
    <cellStyle name="计算 2 7" xfId="14346"/>
    <cellStyle name="计算 2 7 2" xfId="26151"/>
    <cellStyle name="计算 2 7 2 2" xfId="19780"/>
    <cellStyle name="计算 2 7 2 2 2" xfId="349"/>
    <cellStyle name="计算 2 7 2 2 3" xfId="24837"/>
    <cellStyle name="计算 2 7 2 3" xfId="19783"/>
    <cellStyle name="计算 2 7 3" xfId="9884"/>
    <cellStyle name="计算 2 7 3 2" xfId="19796"/>
    <cellStyle name="计算 2 7 3 3" xfId="6857"/>
    <cellStyle name="计算 2 7 4" xfId="9886"/>
    <cellStyle name="计算 2 8" xfId="14354"/>
    <cellStyle name="计算 2 8 2" xfId="26155"/>
    <cellStyle name="计算 2 8 2 2" xfId="24924"/>
    <cellStyle name="计算 2 8 2 3" xfId="24932"/>
    <cellStyle name="计算 2 8 3" xfId="26157"/>
    <cellStyle name="计算 2 9" xfId="10519"/>
    <cellStyle name="计算 2 9 2" xfId="27937"/>
    <cellStyle name="检查单元格 2" xfId="27938"/>
    <cellStyle name="检查单元格 2 10" xfId="17215"/>
    <cellStyle name="检查单元格 2 2" xfId="27940"/>
    <cellStyle name="检查单元格 2 2 2" xfId="27941"/>
    <cellStyle name="检查单元格 2 2 2 2" xfId="27942"/>
    <cellStyle name="检查单元格 2 2 2 2 2" xfId="27944"/>
    <cellStyle name="检查单元格 2 2 2 2 2 2" xfId="27946"/>
    <cellStyle name="检查单元格 2 2 2 2 2 2 2" xfId="882"/>
    <cellStyle name="检查单元格 2 2 2 2 2 2 3" xfId="128"/>
    <cellStyle name="检查单元格 2 2 2 2 2 3" xfId="27947"/>
    <cellStyle name="检查单元格 2 2 2 2 3" xfId="27948"/>
    <cellStyle name="检查单元格 2 2 2 2 3 2" xfId="27950"/>
    <cellStyle name="检查单元格 2 2 2 2 3 3" xfId="27952"/>
    <cellStyle name="检查单元格 2 2 2 2 4" xfId="7871"/>
    <cellStyle name="检查单元格 2 2 2 3" xfId="27954"/>
    <cellStyle name="检查单元格 2 2 2 3 2" xfId="27956"/>
    <cellStyle name="检查单元格 2 2 2 3 2 2" xfId="16785"/>
    <cellStyle name="检查单元格 2 2 2 3 2 3" xfId="16789"/>
    <cellStyle name="检查单元格 2 2 2 3 3" xfId="27959"/>
    <cellStyle name="检查单元格 2 2 2 4" xfId="5899"/>
    <cellStyle name="检查单元格 2 2 2 4 2" xfId="27961"/>
    <cellStyle name="检查单元格 2 2 2 4 3" xfId="27963"/>
    <cellStyle name="检查单元格 2 2 2 5" xfId="5906"/>
    <cellStyle name="检查单元格 2 2 3" xfId="27964"/>
    <cellStyle name="检查单元格 2 2 3 2" xfId="27965"/>
    <cellStyle name="检查单元格 2 2 3 2 2" xfId="27966"/>
    <cellStyle name="检查单元格 2 2 3 2 2 2" xfId="27968"/>
    <cellStyle name="检查单元格 2 2 3 2 2 3" xfId="27970"/>
    <cellStyle name="检查单元格 2 2 3 2 3" xfId="27972"/>
    <cellStyle name="检查单元格 2 2 3 3" xfId="27974"/>
    <cellStyle name="检查单元格 2 2 3 3 2" xfId="27975"/>
    <cellStyle name="检查单元格 2 2 3 3 3" xfId="27977"/>
    <cellStyle name="检查单元格 2 2 3 4" xfId="27979"/>
    <cellStyle name="检查单元格 2 2 4" xfId="27981"/>
    <cellStyle name="检查单元格 2 2 4 2" xfId="27982"/>
    <cellStyle name="检查单元格 2 2 4 2 2" xfId="27983"/>
    <cellStyle name="检查单元格 2 2 4 2 2 2" xfId="27985"/>
    <cellStyle name="检查单元格 2 2 4 2 2 3" xfId="27987"/>
    <cellStyle name="检查单元格 2 2 4 2 3" xfId="27989"/>
    <cellStyle name="检查单元格 2 2 4 3" xfId="27991"/>
    <cellStyle name="检查单元格 2 2 4 3 2" xfId="27993"/>
    <cellStyle name="检查单元格 2 2 4 3 3" xfId="27994"/>
    <cellStyle name="检查单元格 2 2 4 4" xfId="27996"/>
    <cellStyle name="检查单元格 2 2 5" xfId="27998"/>
    <cellStyle name="检查单元格 2 2 5 2" xfId="27999"/>
    <cellStyle name="检查单元格 2 2 5 2 2" xfId="17551"/>
    <cellStyle name="检查单元格 2 2 5 2 3" xfId="20339"/>
    <cellStyle name="检查单元格 2 2 5 3" xfId="5254"/>
    <cellStyle name="检查单元格 2 2 6" xfId="28000"/>
    <cellStyle name="检查单元格 2 2 6 2" xfId="28001"/>
    <cellStyle name="检查单元格 2 2 6 3" xfId="28002"/>
    <cellStyle name="检查单元格 2 2 7" xfId="28003"/>
    <cellStyle name="检查单元格 2 3" xfId="2550"/>
    <cellStyle name="检查单元格 2 3 2" xfId="2566"/>
    <cellStyle name="检查单元格 2 3 2 2" xfId="2109"/>
    <cellStyle name="检查单元格 2 3 2 2 2" xfId="28004"/>
    <cellStyle name="检查单元格 2 3 2 2 2 2" xfId="13182"/>
    <cellStyle name="检查单元格 2 3 2 2 2 2 2" xfId="1290"/>
    <cellStyle name="检查单元格 2 3 2 2 2 2 3" xfId="13185"/>
    <cellStyle name="检查单元格 2 3 2 2 2 3" xfId="13191"/>
    <cellStyle name="检查单元格 2 3 2 2 3" xfId="28005"/>
    <cellStyle name="检查单元格 2 3 2 2 3 2" xfId="28006"/>
    <cellStyle name="检查单元格 2 3 2 2 3 3" xfId="28008"/>
    <cellStyle name="检查单元格 2 3 2 2 4" xfId="28009"/>
    <cellStyle name="检查单元格 2 3 2 3" xfId="2183"/>
    <cellStyle name="检查单元格 2 3 2 3 2" xfId="28010"/>
    <cellStyle name="检查单元格 2 3 2 3 2 2" xfId="23587"/>
    <cellStyle name="检查单元格 2 3 2 3 2 3" xfId="374"/>
    <cellStyle name="检查单元格 2 3 2 3 3" xfId="28012"/>
    <cellStyle name="检查单元格 2 3 2 4" xfId="2119"/>
    <cellStyle name="检查单元格 2 3 2 4 2" xfId="28013"/>
    <cellStyle name="检查单元格 2 3 2 4 3" xfId="28015"/>
    <cellStyle name="检查单元格 2 3 2 5" xfId="2135"/>
    <cellStyle name="检查单元格 2 3 3" xfId="1185"/>
    <cellStyle name="检查单元格 2 3 3 2" xfId="28016"/>
    <cellStyle name="检查单元格 2 3 3 2 2" xfId="21283"/>
    <cellStyle name="检查单元格 2 3 3 2 2 2" xfId="28017"/>
    <cellStyle name="检查单元格 2 3 3 2 2 3" xfId="28018"/>
    <cellStyle name="检查单元格 2 3 3 2 3" xfId="21285"/>
    <cellStyle name="检查单元格 2 3 3 3" xfId="28019"/>
    <cellStyle name="检查单元格 2 3 3 3 2" xfId="21292"/>
    <cellStyle name="检查单元格 2 3 3 3 3" xfId="21294"/>
    <cellStyle name="检查单元格 2 3 3 4" xfId="28020"/>
    <cellStyle name="检查单元格 2 3 4" xfId="3627"/>
    <cellStyle name="检查单元格 2 3 4 2" xfId="28021"/>
    <cellStyle name="检查单元格 2 3 4 2 2" xfId="16293"/>
    <cellStyle name="检查单元格 2 3 4 2 2 2" xfId="28022"/>
    <cellStyle name="检查单元格 2 3 4 2 2 3" xfId="28023"/>
    <cellStyle name="检查单元格 2 3 4 2 3" xfId="16295"/>
    <cellStyle name="检查单元格 2 3 4 3" xfId="28024"/>
    <cellStyle name="检查单元格 2 3 4 3 2" xfId="28026"/>
    <cellStyle name="检查单元格 2 3 4 3 3" xfId="27581"/>
    <cellStyle name="检查单元格 2 3 4 4" xfId="28027"/>
    <cellStyle name="检查单元格 2 3 5" xfId="3637"/>
    <cellStyle name="检查单元格 2 3 5 2" xfId="28029"/>
    <cellStyle name="检查单元格 2 3 5 2 2" xfId="28030"/>
    <cellStyle name="检查单元格 2 3 5 2 3" xfId="28031"/>
    <cellStyle name="检查单元格 2 3 5 3" xfId="28032"/>
    <cellStyle name="检查单元格 2 3 6" xfId="28034"/>
    <cellStyle name="检查单元格 2 3 6 2" xfId="26235"/>
    <cellStyle name="检查单元格 2 3 6 3" xfId="26243"/>
    <cellStyle name="检查单元格 2 3 7" xfId="28035"/>
    <cellStyle name="检查单元格 2 4" xfId="2576"/>
    <cellStyle name="检查单元格 2 4 2" xfId="2591"/>
    <cellStyle name="检查单元格 2 4 2 2" xfId="15665"/>
    <cellStyle name="检查单元格 2 4 2 2 2" xfId="9105"/>
    <cellStyle name="检查单元格 2 4 2 2 2 2" xfId="28036"/>
    <cellStyle name="检查单元格 2 4 2 2 2 2 2" xfId="28038"/>
    <cellStyle name="检查单元格 2 4 2 2 2 2 3" xfId="28039"/>
    <cellStyle name="检查单元格 2 4 2 2 2 3" xfId="28040"/>
    <cellStyle name="检查单元格 2 4 2 2 3" xfId="8752"/>
    <cellStyle name="检查单元格 2 4 2 2 3 2" xfId="28041"/>
    <cellStyle name="检查单元格 2 4 2 2 3 3" xfId="28043"/>
    <cellStyle name="检查单元格 2 4 2 2 4" xfId="8830"/>
    <cellStyle name="检查单元格 2 4 2 3" xfId="20158"/>
    <cellStyle name="检查单元格 2 4 2 3 2" xfId="17705"/>
    <cellStyle name="检查单元格 2 4 2 3 2 2" xfId="27235"/>
    <cellStyle name="检查单元格 2 4 2 3 2 3" xfId="28044"/>
    <cellStyle name="检查单元格 2 4 2 3 3" xfId="8884"/>
    <cellStyle name="检查单元格 2 4 2 4" xfId="20161"/>
    <cellStyle name="检查单元格 2 4 2 4 2" xfId="17723"/>
    <cellStyle name="检查单元格 2 4 2 4 3" xfId="2489"/>
    <cellStyle name="检查单元格 2 4 2 5" xfId="28045"/>
    <cellStyle name="检查单元格 2 4 3" xfId="2600"/>
    <cellStyle name="检查单元格 2 4 3 2" xfId="15688"/>
    <cellStyle name="检查单元格 2 4 3 2 2" xfId="28046"/>
    <cellStyle name="检查单元格 2 4 3 2 2 2" xfId="28047"/>
    <cellStyle name="检查单元格 2 4 3 2 2 3" xfId="28049"/>
    <cellStyle name="检查单元格 2 4 3 2 3" xfId="28050"/>
    <cellStyle name="检查单元格 2 4 3 3" xfId="20166"/>
    <cellStyle name="检查单元格 2 4 3 3 2" xfId="28051"/>
    <cellStyle name="检查单元格 2 4 3 3 3" xfId="28052"/>
    <cellStyle name="检查单元格 2 4 3 4" xfId="20171"/>
    <cellStyle name="检查单元格 2 4 4" xfId="28053"/>
    <cellStyle name="检查单元格 2 4 4 2" xfId="28054"/>
    <cellStyle name="检查单元格 2 4 4 2 2" xfId="28055"/>
    <cellStyle name="检查单元格 2 4 4 2 2 2" xfId="28056"/>
    <cellStyle name="检查单元格 2 4 4 2 2 3" xfId="28058"/>
    <cellStyle name="检查单元格 2 4 4 2 3" xfId="28059"/>
    <cellStyle name="检查单元格 2 4 4 3" xfId="28060"/>
    <cellStyle name="检查单元格 2 4 4 3 2" xfId="28061"/>
    <cellStyle name="检查单元格 2 4 4 3 3" xfId="28062"/>
    <cellStyle name="检查单元格 2 4 4 4" xfId="28063"/>
    <cellStyle name="检查单元格 2 4 5" xfId="28064"/>
    <cellStyle name="检查单元格 2 4 5 2" xfId="28065"/>
    <cellStyle name="检查单元格 2 4 5 2 2" xfId="22964"/>
    <cellStyle name="检查单元格 2 4 5 2 3" xfId="28066"/>
    <cellStyle name="检查单元格 2 4 5 3" xfId="28067"/>
    <cellStyle name="检查单元格 2 4 6" xfId="28068"/>
    <cellStyle name="检查单元格 2 4 6 2" xfId="26260"/>
    <cellStyle name="检查单元格 2 4 6 3" xfId="25537"/>
    <cellStyle name="检查单元格 2 4 7" xfId="28069"/>
    <cellStyle name="检查单元格 2 5" xfId="2612"/>
    <cellStyle name="检查单元格 2 5 2" xfId="28070"/>
    <cellStyle name="检查单元格 2 5 2 2" xfId="4571"/>
    <cellStyle name="检查单元格 2 5 2 2 2" xfId="28071"/>
    <cellStyle name="检查单元格 2 5 2 2 2 2" xfId="28072"/>
    <cellStyle name="检查单元格 2 5 2 2 2 3" xfId="28073"/>
    <cellStyle name="检查单元格 2 5 2 2 3" xfId="28037"/>
    <cellStyle name="检查单元格 2 5 2 3" xfId="14273"/>
    <cellStyle name="检查单元格 2 5 2 3 2" xfId="28074"/>
    <cellStyle name="检查单元格 2 5 2 3 3" xfId="28042"/>
    <cellStyle name="检查单元格 2 5 2 4" xfId="326"/>
    <cellStyle name="检查单元格 2 5 3" xfId="27224"/>
    <cellStyle name="检查单元格 2 5 3 2" xfId="27226"/>
    <cellStyle name="检查单元格 2 5 3 2 2" xfId="27228"/>
    <cellStyle name="检查单元格 2 5 3 2 3" xfId="27236"/>
    <cellStyle name="检查单元格 2 5 3 3" xfId="27238"/>
    <cellStyle name="检查单元格 2 5 4" xfId="27251"/>
    <cellStyle name="检查单元格 2 5 4 2" xfId="27253"/>
    <cellStyle name="检查单元格 2 5 4 3" xfId="27265"/>
    <cellStyle name="检查单元格 2 5 5" xfId="27274"/>
    <cellStyle name="检查单元格 2 6" xfId="28075"/>
    <cellStyle name="检查单元格 2 6 2" xfId="28076"/>
    <cellStyle name="检查单元格 2 6 2 2" xfId="28077"/>
    <cellStyle name="检查单元格 2 6 2 2 2" xfId="28078"/>
    <cellStyle name="检查单元格 2 6 2 2 3" xfId="28048"/>
    <cellStyle name="检查单元格 2 6 2 3" xfId="28079"/>
    <cellStyle name="检查单元格 2 6 3" xfId="27289"/>
    <cellStyle name="检查单元格 2 6 3 2" xfId="27291"/>
    <cellStyle name="检查单元格 2 6 3 3" xfId="27299"/>
    <cellStyle name="检查单元格 2 6 4" xfId="27301"/>
    <cellStyle name="检查单元格 2 7" xfId="28080"/>
    <cellStyle name="检查单元格 2 7 2" xfId="28081"/>
    <cellStyle name="检查单元格 2 7 2 2" xfId="28082"/>
    <cellStyle name="检查单元格 2 7 2 2 2" xfId="28083"/>
    <cellStyle name="检查单元格 2 7 2 2 3" xfId="28057"/>
    <cellStyle name="检查单元格 2 7 2 3" xfId="28084"/>
    <cellStyle name="检查单元格 2 7 3" xfId="27334"/>
    <cellStyle name="检查单元格 2 7 3 2" xfId="27337"/>
    <cellStyle name="检查单元格 2 7 3 3" xfId="27342"/>
    <cellStyle name="检查单元格 2 7 4" xfId="27344"/>
    <cellStyle name="检查单元格 2 8" xfId="28085"/>
    <cellStyle name="检查单元格 2 8 2" xfId="28086"/>
    <cellStyle name="检查单元格 2 8 2 2" xfId="28087"/>
    <cellStyle name="检查单元格 2 8 2 3" xfId="28088"/>
    <cellStyle name="检查单元格 2 8 3" xfId="27362"/>
    <cellStyle name="检查单元格 2 9" xfId="28089"/>
    <cellStyle name="检查单元格 2 9 2" xfId="28090"/>
    <cellStyle name="解释性文本 10" xfId="28091"/>
    <cellStyle name="解释性文本 2" xfId="22213"/>
    <cellStyle name="解释性文本 2 2" xfId="28092"/>
    <cellStyle name="解释性文本 2 2 2" xfId="28093"/>
    <cellStyle name="解释性文本 2 2 2 2" xfId="28094"/>
    <cellStyle name="解释性文本 2 2 2 2 2" xfId="9825"/>
    <cellStyle name="解释性文本 2 2 2 2 2 2" xfId="9465"/>
    <cellStyle name="解释性文本 2 2 2 2 2 3" xfId="28095"/>
    <cellStyle name="解释性文本 2 2 2 2 3" xfId="9834"/>
    <cellStyle name="解释性文本 2 2 2 3" xfId="28096"/>
    <cellStyle name="解释性文本 2 2 2 3 2" xfId="91"/>
    <cellStyle name="解释性文本 2 2 2 3 3" xfId="2339"/>
    <cellStyle name="解释性文本 2 2 2 4" xfId="28097"/>
    <cellStyle name="解释性文本 2 2 3" xfId="28098"/>
    <cellStyle name="解释性文本 2 2 3 2" xfId="28099"/>
    <cellStyle name="解释性文本 2 2 3 2 2" xfId="9857"/>
    <cellStyle name="解释性文本 2 2 3 2 3" xfId="9864"/>
    <cellStyle name="解释性文本 2 2 3 3" xfId="28100"/>
    <cellStyle name="解释性文本 2 2 4" xfId="28101"/>
    <cellStyle name="解释性文本 2 2 4 2" xfId="28102"/>
    <cellStyle name="解释性文本 2 2 4 3" xfId="28103"/>
    <cellStyle name="解释性文本 2 2 5" xfId="28104"/>
    <cellStyle name="解释性文本 2 3" xfId="28105"/>
    <cellStyle name="解释性文本 2 3 2" xfId="28106"/>
    <cellStyle name="解释性文本 2 3 2 2" xfId="28107"/>
    <cellStyle name="解释性文本 2 3 2 2 2" xfId="475"/>
    <cellStyle name="解释性文本 2 3 2 2 3" xfId="6080"/>
    <cellStyle name="解释性文本 2 3 2 3" xfId="15549"/>
    <cellStyle name="解释性文本 2 3 3" xfId="28108"/>
    <cellStyle name="解释性文本 2 3 3 2" xfId="28109"/>
    <cellStyle name="解释性文本 2 3 3 3" xfId="7668"/>
    <cellStyle name="解释性文本 2 3 4" xfId="28110"/>
    <cellStyle name="解释性文本 2 4" xfId="28111"/>
    <cellStyle name="解释性文本 2 4 2" xfId="28112"/>
    <cellStyle name="解释性文本 2 4 2 2" xfId="28113"/>
    <cellStyle name="解释性文本 2 4 2 2 2" xfId="6571"/>
    <cellStyle name="解释性文本 2 4 2 2 3" xfId="6580"/>
    <cellStyle name="解释性文本 2 4 2 3" xfId="15840"/>
    <cellStyle name="解释性文本 2 4 3" xfId="28114"/>
    <cellStyle name="解释性文本 2 4 3 2" xfId="28115"/>
    <cellStyle name="解释性文本 2 4 3 3" xfId="15888"/>
    <cellStyle name="解释性文本 2 4 4" xfId="28116"/>
    <cellStyle name="解释性文本 2 5" xfId="28117"/>
    <cellStyle name="解释性文本 2 5 2" xfId="28118"/>
    <cellStyle name="解释性文本 2 5 2 2" xfId="28119"/>
    <cellStyle name="解释性文本 2 5 2 3" xfId="9568"/>
    <cellStyle name="解释性文本 2 5 3" xfId="28120"/>
    <cellStyle name="解释性文本 2 6" xfId="28121"/>
    <cellStyle name="解释性文本 2 6 2" xfId="28122"/>
    <cellStyle name="解释性文本 2 6 3" xfId="28124"/>
    <cellStyle name="解释性文本 2 7" xfId="20612"/>
    <cellStyle name="解释性文本 3" xfId="22215"/>
    <cellStyle name="解释性文本 3 2" xfId="28125"/>
    <cellStyle name="解释性文本 3 2 2" xfId="28126"/>
    <cellStyle name="解释性文本 3 2 2 2" xfId="22483"/>
    <cellStyle name="解释性文本 3 2 2 2 2" xfId="28127"/>
    <cellStyle name="解释性文本 3 2 2 2 2 2" xfId="9764"/>
    <cellStyle name="解释性文本 3 2 2 2 2 3" xfId="27888"/>
    <cellStyle name="解释性文本 3 2 2 2 3" xfId="28128"/>
    <cellStyle name="解释性文本 3 2 2 3" xfId="28129"/>
    <cellStyle name="解释性文本 3 2 2 3 2" xfId="28130"/>
    <cellStyle name="解释性文本 3 2 2 3 3" xfId="28131"/>
    <cellStyle name="解释性文本 3 2 2 4" xfId="28132"/>
    <cellStyle name="解释性文本 3 2 3" xfId="28133"/>
    <cellStyle name="解释性文本 3 2 3 2" xfId="22493"/>
    <cellStyle name="解释性文本 3 2 3 2 2" xfId="22745"/>
    <cellStyle name="解释性文本 3 2 3 2 3" xfId="22748"/>
    <cellStyle name="解释性文本 3 2 3 3" xfId="28134"/>
    <cellStyle name="解释性文本 3 2 4" xfId="28136"/>
    <cellStyle name="解释性文本 3 2 4 2" xfId="22504"/>
    <cellStyle name="解释性文本 3 2 4 3" xfId="28137"/>
    <cellStyle name="解释性文本 3 2 5" xfId="28138"/>
    <cellStyle name="解释性文本 3 3" xfId="28139"/>
    <cellStyle name="解释性文本 3 3 2" xfId="28140"/>
    <cellStyle name="解释性文本 3 3 2 2" xfId="28141"/>
    <cellStyle name="解释性文本 3 3 2 2 2" xfId="28142"/>
    <cellStyle name="解释性文本 3 3 2 2 3" xfId="28143"/>
    <cellStyle name="解释性文本 3 3 2 3" xfId="16350"/>
    <cellStyle name="解释性文本 3 3 3" xfId="28144"/>
    <cellStyle name="解释性文本 3 3 3 2" xfId="28145"/>
    <cellStyle name="解释性文本 3 3 3 3" xfId="16575"/>
    <cellStyle name="解释性文本 3 3 4" xfId="28147"/>
    <cellStyle name="解释性文本 3 4" xfId="28148"/>
    <cellStyle name="解释性文本 3 4 2" xfId="28149"/>
    <cellStyle name="解释性文本 3 4 2 2" xfId="28150"/>
    <cellStyle name="解释性文本 3 4 2 2 2" xfId="23166"/>
    <cellStyle name="解释性文本 3 4 2 2 3" xfId="23168"/>
    <cellStyle name="解释性文本 3 4 2 3" xfId="16775"/>
    <cellStyle name="解释性文本 3 4 3" xfId="28151"/>
    <cellStyle name="解释性文本 3 4 3 2" xfId="28152"/>
    <cellStyle name="解释性文本 3 4 3 3" xfId="1152"/>
    <cellStyle name="解释性文本 3 4 4" xfId="28154"/>
    <cellStyle name="解释性文本 3 5" xfId="28155"/>
    <cellStyle name="解释性文本 3 5 2" xfId="28156"/>
    <cellStyle name="解释性文本 3 5 2 2" xfId="28157"/>
    <cellStyle name="解释性文本 3 5 2 3" xfId="17029"/>
    <cellStyle name="解释性文本 3 5 3" xfId="28158"/>
    <cellStyle name="解释性文本 3 6" xfId="11739"/>
    <cellStyle name="解释性文本 3 6 2" xfId="25904"/>
    <cellStyle name="解释性文本 3 6 3" xfId="25906"/>
    <cellStyle name="解释性文本 3 7" xfId="20621"/>
    <cellStyle name="解释性文本 4" xfId="22217"/>
    <cellStyle name="解释性文本 4 2" xfId="28159"/>
    <cellStyle name="解释性文本 4 2 2" xfId="28161"/>
    <cellStyle name="解释性文本 4 2 2 2" xfId="15627"/>
    <cellStyle name="解释性文本 4 2 2 2 2" xfId="25445"/>
    <cellStyle name="解释性文本 4 2 2 2 2 2" xfId="10030"/>
    <cellStyle name="解释性文本 4 2 2 2 2 3" xfId="25454"/>
    <cellStyle name="解释性文本 4 2 2 2 3" xfId="25456"/>
    <cellStyle name="解释性文本 4 2 2 3" xfId="21246"/>
    <cellStyle name="解释性文本 4 2 2 3 2" xfId="25474"/>
    <cellStyle name="解释性文本 4 2 2 3 3" xfId="25487"/>
    <cellStyle name="解释性文本 4 2 2 4" xfId="25507"/>
    <cellStyle name="解释性文本 4 2 3" xfId="28163"/>
    <cellStyle name="解释性文本 4 2 3 2" xfId="4473"/>
    <cellStyle name="解释性文本 4 2 3 2 2" xfId="23311"/>
    <cellStyle name="解释性文本 4 2 3 2 3" xfId="23315"/>
    <cellStyle name="解释性文本 4 2 3 3" xfId="25895"/>
    <cellStyle name="解释性文本 4 2 4" xfId="28165"/>
    <cellStyle name="解释性文本 4 2 4 2" xfId="26406"/>
    <cellStyle name="解释性文本 4 2 4 3" xfId="26426"/>
    <cellStyle name="解释性文本 4 2 5" xfId="28166"/>
    <cellStyle name="解释性文本 4 3" xfId="26858"/>
    <cellStyle name="解释性文本 4 3 2" xfId="28167"/>
    <cellStyle name="解释性文本 4 3 2 2" xfId="28168"/>
    <cellStyle name="解释性文本 4 3 2 2 2" xfId="28169"/>
    <cellStyle name="解释性文本 4 3 2 2 3" xfId="28171"/>
    <cellStyle name="解释性文本 4 3 2 3" xfId="17435"/>
    <cellStyle name="解释性文本 4 3 3" xfId="28172"/>
    <cellStyle name="解释性文本 4 3 3 2" xfId="28173"/>
    <cellStyle name="解释性文本 4 3 3 3" xfId="17556"/>
    <cellStyle name="解释性文本 4 3 4" xfId="28174"/>
    <cellStyle name="解释性文本 4 4" xfId="26861"/>
    <cellStyle name="解释性文本 4 4 2" xfId="24146"/>
    <cellStyle name="解释性文本 4 4 2 2" xfId="13461"/>
    <cellStyle name="解释性文本 4 4 2 2 2" xfId="28175"/>
    <cellStyle name="解释性文本 4 4 2 2 3" xfId="28177"/>
    <cellStyle name="解释性文本 4 4 2 3" xfId="13463"/>
    <cellStyle name="解释性文本 4 4 3" xfId="24148"/>
    <cellStyle name="解释性文本 4 4 3 2" xfId="13477"/>
    <cellStyle name="解释性文本 4 4 3 3" xfId="1466"/>
    <cellStyle name="解释性文本 4 4 4" xfId="24150"/>
    <cellStyle name="解释性文本 4 5" xfId="28178"/>
    <cellStyle name="解释性文本 4 5 2" xfId="24156"/>
    <cellStyle name="解释性文本 4 5 2 2" xfId="28179"/>
    <cellStyle name="解释性文本 4 5 2 3" xfId="28180"/>
    <cellStyle name="解释性文本 4 5 3" xfId="24158"/>
    <cellStyle name="解释性文本 4 6" xfId="28181"/>
    <cellStyle name="解释性文本 4 6 2" xfId="24167"/>
    <cellStyle name="解释性文本 4 6 3" xfId="24169"/>
    <cellStyle name="解释性文本 4 7" xfId="20634"/>
    <cellStyle name="解释性文本 5" xfId="22219"/>
    <cellStyle name="解释性文本 5 2" xfId="28182"/>
    <cellStyle name="解释性文本 5 2 2" xfId="18092"/>
    <cellStyle name="解释性文本 5 2 2 2" xfId="28184"/>
    <cellStyle name="解释性文本 5 2 2 2 2" xfId="28185"/>
    <cellStyle name="解释性文本 5 2 2 2 3" xfId="28186"/>
    <cellStyle name="解释性文本 5 2 2 3" xfId="28187"/>
    <cellStyle name="解释性文本 5 2 3" xfId="28188"/>
    <cellStyle name="解释性文本 5 2 3 2" xfId="27416"/>
    <cellStyle name="解释性文本 5 2 3 3" xfId="28189"/>
    <cellStyle name="解释性文本 5 2 4" xfId="28190"/>
    <cellStyle name="解释性文本 5 3" xfId="26009"/>
    <cellStyle name="解释性文本 5 3 2" xfId="18113"/>
    <cellStyle name="解释性文本 5 3 2 2" xfId="28191"/>
    <cellStyle name="解释性文本 5 3 2 3" xfId="17825"/>
    <cellStyle name="解释性文本 5 3 3" xfId="28192"/>
    <cellStyle name="解释性文本 5 4" xfId="28193"/>
    <cellStyle name="解释性文本 5 4 2" xfId="24869"/>
    <cellStyle name="解释性文本 5 4 3" xfId="28194"/>
    <cellStyle name="解释性文本 5 5" xfId="28195"/>
    <cellStyle name="解释性文本 6" xfId="22221"/>
    <cellStyle name="解释性文本 6 2" xfId="28196"/>
    <cellStyle name="解释性文本 6 2 2" xfId="28198"/>
    <cellStyle name="解释性文本 6 2 2 2" xfId="2883"/>
    <cellStyle name="解释性文本 6 2 2 3" xfId="28199"/>
    <cellStyle name="解释性文本 6 2 3" xfId="28200"/>
    <cellStyle name="解释性文本 6 3" xfId="28201"/>
    <cellStyle name="解释性文本 6 3 2" xfId="28202"/>
    <cellStyle name="解释性文本 6 3 3" xfId="28203"/>
    <cellStyle name="解释性文本 6 4" xfId="28204"/>
    <cellStyle name="解释性文本 7" xfId="5953"/>
    <cellStyle name="解释性文本 7 2" xfId="28205"/>
    <cellStyle name="解释性文本 7 2 2" xfId="28206"/>
    <cellStyle name="解释性文本 7 2 2 2" xfId="17892"/>
    <cellStyle name="解释性文本 7 2 2 3" xfId="17896"/>
    <cellStyle name="解释性文本 7 2 3" xfId="28207"/>
    <cellStyle name="解释性文本 7 3" xfId="28208"/>
    <cellStyle name="解释性文本 7 3 2" xfId="28209"/>
    <cellStyle name="解释性文本 7 3 3" xfId="28210"/>
    <cellStyle name="解释性文本 7 4" xfId="28211"/>
    <cellStyle name="解释性文本 8" xfId="28212"/>
    <cellStyle name="解释性文本 8 2" xfId="28213"/>
    <cellStyle name="解释性文本 8 2 2" xfId="28214"/>
    <cellStyle name="解释性文本 8 2 3" xfId="26487"/>
    <cellStyle name="解释性文本 8 3" xfId="28215"/>
    <cellStyle name="解释性文本 9" xfId="28216"/>
    <cellStyle name="解释性文本 9 2" xfId="12177"/>
    <cellStyle name="警告文本 10" xfId="10459"/>
    <cellStyle name="警告文本 2" xfId="28217"/>
    <cellStyle name="警告文本 2 2" xfId="2456"/>
    <cellStyle name="警告文本 2 2 2" xfId="25315"/>
    <cellStyle name="警告文本 2 2 2 2" xfId="2474"/>
    <cellStyle name="警告文本 2 2 2 2 2" xfId="612"/>
    <cellStyle name="警告文本 2 2 2 2 2 2" xfId="622"/>
    <cellStyle name="警告文本 2 2 2 2 2 3" xfId="661"/>
    <cellStyle name="警告文本 2 2 2 2 3" xfId="713"/>
    <cellStyle name="警告文本 2 2 2 3" xfId="2495"/>
    <cellStyle name="警告文本 2 2 2 3 2" xfId="1090"/>
    <cellStyle name="警告文本 2 2 2 3 3" xfId="1166"/>
    <cellStyle name="警告文本 2 2 2 4" xfId="3579"/>
    <cellStyle name="警告文本 2 2 3" xfId="28219"/>
    <cellStyle name="警告文本 2 2 3 2" xfId="2520"/>
    <cellStyle name="警告文本 2 2 3 2 2" xfId="17204"/>
    <cellStyle name="警告文本 2 2 3 2 3" xfId="17209"/>
    <cellStyle name="警告文本 2 2 3 3" xfId="28220"/>
    <cellStyle name="警告文本 2 2 4" xfId="26314"/>
    <cellStyle name="警告文本 2 2 4 2" xfId="26316"/>
    <cellStyle name="警告文本 2 2 4 3" xfId="24712"/>
    <cellStyle name="警告文本 2 2 5" xfId="26319"/>
    <cellStyle name="警告文本 2 3" xfId="28221"/>
    <cellStyle name="警告文本 2 3 2" xfId="25323"/>
    <cellStyle name="警告文本 2 3 2 2" xfId="28222"/>
    <cellStyle name="警告文本 2 3 2 2 2" xfId="28223"/>
    <cellStyle name="警告文本 2 3 2 2 3" xfId="28224"/>
    <cellStyle name="警告文本 2 3 2 3" xfId="28225"/>
    <cellStyle name="警告文本 2 3 3" xfId="28226"/>
    <cellStyle name="警告文本 2 3 3 2" xfId="28227"/>
    <cellStyle name="警告文本 2 3 3 3" xfId="28229"/>
    <cellStyle name="警告文本 2 3 4" xfId="28231"/>
    <cellStyle name="警告文本 2 4" xfId="28232"/>
    <cellStyle name="警告文本 2 4 2" xfId="28233"/>
    <cellStyle name="警告文本 2 4 2 2" xfId="26461"/>
    <cellStyle name="警告文本 2 4 2 2 2" xfId="26463"/>
    <cellStyle name="警告文本 2 4 2 2 3" xfId="28234"/>
    <cellStyle name="警告文本 2 4 2 3" xfId="11342"/>
    <cellStyle name="警告文本 2 4 3" xfId="16657"/>
    <cellStyle name="警告文本 2 4 3 2" xfId="28235"/>
    <cellStyle name="警告文本 2 4 3 3" xfId="28236"/>
    <cellStyle name="警告文本 2 4 4" xfId="16662"/>
    <cellStyle name="警告文本 2 5" xfId="28237"/>
    <cellStyle name="警告文本 2 5 2" xfId="28238"/>
    <cellStyle name="警告文本 2 5 2 2" xfId="28239"/>
    <cellStyle name="警告文本 2 5 2 3" xfId="27508"/>
    <cellStyle name="警告文本 2 5 3" xfId="28240"/>
    <cellStyle name="警告文本 2 6" xfId="28241"/>
    <cellStyle name="警告文本 2 6 2" xfId="28242"/>
    <cellStyle name="警告文本 2 6 3" xfId="28243"/>
    <cellStyle name="警告文本 2 7" xfId="28244"/>
    <cellStyle name="警告文本 3" xfId="28246"/>
    <cellStyle name="警告文本 3 2" xfId="28248"/>
    <cellStyle name="警告文本 3 2 2" xfId="19500"/>
    <cellStyle name="警告文本 3 2 2 2" xfId="2687"/>
    <cellStyle name="警告文本 3 2 2 2 2" xfId="2694"/>
    <cellStyle name="警告文本 3 2 2 2 2 2" xfId="1886"/>
    <cellStyle name="警告文本 3 2 2 2 2 3" xfId="1929"/>
    <cellStyle name="警告文本 3 2 2 2 3" xfId="2715"/>
    <cellStyle name="警告文本 3 2 2 3" xfId="2727"/>
    <cellStyle name="警告文本 3 2 2 3 2" xfId="4157"/>
    <cellStyle name="警告文本 3 2 2 3 3" xfId="4505"/>
    <cellStyle name="警告文本 3 2 2 4" xfId="3726"/>
    <cellStyle name="警告文本 3 2 3" xfId="15459"/>
    <cellStyle name="警告文本 3 2 3 2" xfId="2375"/>
    <cellStyle name="警告文本 3 2 3 2 2" xfId="14591"/>
    <cellStyle name="警告文本 3 2 3 2 3" xfId="14596"/>
    <cellStyle name="警告文本 3 2 3 3" xfId="19502"/>
    <cellStyle name="警告文本 3 2 4" xfId="15462"/>
    <cellStyle name="警告文本 3 2 4 2" xfId="19306"/>
    <cellStyle name="警告文本 3 2 4 3" xfId="19506"/>
    <cellStyle name="警告文本 3 2 5" xfId="15466"/>
    <cellStyle name="警告文本 3 3" xfId="28249"/>
    <cellStyle name="警告文本 3 3 2" xfId="19585"/>
    <cellStyle name="警告文本 3 3 2 2" xfId="19587"/>
    <cellStyle name="警告文本 3 3 2 2 2" xfId="24095"/>
    <cellStyle name="警告文本 3 3 2 2 3" xfId="28250"/>
    <cellStyle name="警告文本 3 3 2 3" xfId="19589"/>
    <cellStyle name="警告文本 3 3 3" xfId="19593"/>
    <cellStyle name="警告文本 3 3 3 2" xfId="19595"/>
    <cellStyle name="警告文本 3 3 3 3" xfId="18740"/>
    <cellStyle name="警告文本 3 3 4" xfId="19598"/>
    <cellStyle name="警告文本 3 4" xfId="28251"/>
    <cellStyle name="警告文本 3 4 2" xfId="19654"/>
    <cellStyle name="警告文本 3 4 2 2" xfId="19656"/>
    <cellStyle name="警告文本 3 4 2 2 2" xfId="28252"/>
    <cellStyle name="警告文本 3 4 2 2 3" xfId="28253"/>
    <cellStyle name="警告文本 3 4 2 3" xfId="19658"/>
    <cellStyle name="警告文本 3 4 3" xfId="19665"/>
    <cellStyle name="警告文本 3 4 3 2" xfId="19667"/>
    <cellStyle name="警告文本 3 4 3 3" xfId="19669"/>
    <cellStyle name="警告文本 3 4 4" xfId="19683"/>
    <cellStyle name="警告文本 3 5" xfId="28254"/>
    <cellStyle name="警告文本 3 5 2" xfId="19764"/>
    <cellStyle name="警告文本 3 5 2 2" xfId="18414"/>
    <cellStyle name="警告文本 3 5 2 3" xfId="18417"/>
    <cellStyle name="警告文本 3 5 3" xfId="19774"/>
    <cellStyle name="警告文本 3 6" xfId="28255"/>
    <cellStyle name="警告文本 3 6 2" xfId="19818"/>
    <cellStyle name="警告文本 3 6 3" xfId="19820"/>
    <cellStyle name="警告文本 3 7" xfId="28256"/>
    <cellStyle name="警告文本 4" xfId="28257"/>
    <cellStyle name="警告文本 4 2" xfId="28258"/>
    <cellStyle name="警告文本 4 2 2" xfId="20176"/>
    <cellStyle name="警告文本 4 2 2 2" xfId="1614"/>
    <cellStyle name="警告文本 4 2 2 2 2" xfId="5128"/>
    <cellStyle name="警告文本 4 2 2 2 2 2" xfId="4083"/>
    <cellStyle name="警告文本 4 2 2 2 2 3" xfId="2937"/>
    <cellStyle name="警告文本 4 2 2 2 3" xfId="5133"/>
    <cellStyle name="警告文本 4 2 2 3" xfId="1327"/>
    <cellStyle name="警告文本 4 2 2 3 2" xfId="5139"/>
    <cellStyle name="警告文本 4 2 2 3 3" xfId="5150"/>
    <cellStyle name="警告文本 4 2 2 4" xfId="5159"/>
    <cellStyle name="警告文本 4 2 3" xfId="20178"/>
    <cellStyle name="警告文本 4 2 3 2" xfId="3052"/>
    <cellStyle name="警告文本 4 2 3 2 2" xfId="24577"/>
    <cellStyle name="警告文本 4 2 3 2 3" xfId="28259"/>
    <cellStyle name="警告文本 4 2 3 3" xfId="20180"/>
    <cellStyle name="警告文本 4 2 4" xfId="20184"/>
    <cellStyle name="警告文本 4 2 4 2" xfId="20186"/>
    <cellStyle name="警告文本 4 2 4 3" xfId="20188"/>
    <cellStyle name="警告文本 4 2 5" xfId="20194"/>
    <cellStyle name="警告文本 4 3" xfId="28260"/>
    <cellStyle name="警告文本 4 3 2" xfId="10015"/>
    <cellStyle name="警告文本 4 3 2 2" xfId="10023"/>
    <cellStyle name="警告文本 4 3 2 2 2" xfId="28261"/>
    <cellStyle name="警告文本 4 3 2 2 3" xfId="28262"/>
    <cellStyle name="警告文本 4 3 2 3" xfId="10028"/>
    <cellStyle name="警告文本 4 3 3" xfId="10035"/>
    <cellStyle name="警告文本 4 3 3 2" xfId="20285"/>
    <cellStyle name="警告文本 4 3 3 3" xfId="20287"/>
    <cellStyle name="警告文本 4 3 4" xfId="20300"/>
    <cellStyle name="警告文本 4 4" xfId="28263"/>
    <cellStyle name="警告文本 4 4 2" xfId="5345"/>
    <cellStyle name="警告文本 4 4 2 2" xfId="12864"/>
    <cellStyle name="警告文本 4 4 2 2 2" xfId="28264"/>
    <cellStyle name="警告文本 4 4 2 2 3" xfId="28265"/>
    <cellStyle name="警告文本 4 4 2 3" xfId="12867"/>
    <cellStyle name="警告文本 4 4 3" xfId="5361"/>
    <cellStyle name="警告文本 4 4 3 2" xfId="12880"/>
    <cellStyle name="警告文本 4 4 3 3" xfId="12883"/>
    <cellStyle name="警告文本 4 4 4" xfId="20358"/>
    <cellStyle name="警告文本 4 5" xfId="2163"/>
    <cellStyle name="警告文本 4 5 2" xfId="5401"/>
    <cellStyle name="警告文本 4 5 2 2" xfId="28266"/>
    <cellStyle name="警告文本 4 5 2 3" xfId="28267"/>
    <cellStyle name="警告文本 4 5 3" xfId="5413"/>
    <cellStyle name="警告文本 4 6" xfId="3331"/>
    <cellStyle name="警告文本 4 6 2" xfId="20405"/>
    <cellStyle name="警告文本 4 6 3" xfId="20407"/>
    <cellStyle name="警告文本 4 7" xfId="28269"/>
    <cellStyle name="警告文本 5" xfId="17624"/>
    <cellStyle name="警告文本 5 2" xfId="28271"/>
    <cellStyle name="警告文本 5 2 2" xfId="823"/>
    <cellStyle name="警告文本 5 2 2 2" xfId="977"/>
    <cellStyle name="警告文本 5 2 2 2 2" xfId="4893"/>
    <cellStyle name="警告文本 5 2 2 2 3" xfId="5579"/>
    <cellStyle name="警告文本 5 2 2 3" xfId="3210"/>
    <cellStyle name="警告文本 5 2 3" xfId="2588"/>
    <cellStyle name="警告文本 5 2 3 2" xfId="3112"/>
    <cellStyle name="警告文本 5 2 3 3" xfId="4348"/>
    <cellStyle name="警告文本 5 2 4" xfId="4357"/>
    <cellStyle name="警告文本 5 3" xfId="28272"/>
    <cellStyle name="警告文本 5 3 2" xfId="3238"/>
    <cellStyle name="警告文本 5 3 2 2" xfId="18230"/>
    <cellStyle name="警告文本 5 3 2 3" xfId="18237"/>
    <cellStyle name="警告文本 5 3 3" xfId="4402"/>
    <cellStyle name="警告文本 5 4" xfId="28273"/>
    <cellStyle name="警告文本 5 4 2" xfId="3273"/>
    <cellStyle name="警告文本 5 4 3" xfId="3669"/>
    <cellStyle name="警告文本 5 5" xfId="8613"/>
    <cellStyle name="警告文本 6" xfId="12795"/>
    <cellStyle name="警告文本 6 2" xfId="26483"/>
    <cellStyle name="警告文本 6 2 2" xfId="2886"/>
    <cellStyle name="警告文本 6 2 2 2" xfId="21164"/>
    <cellStyle name="警告文本 6 2 2 3" xfId="21166"/>
    <cellStyle name="警告文本 6 2 3" xfId="2896"/>
    <cellStyle name="警告文本 6 3" xfId="26485"/>
    <cellStyle name="警告文本 6 3 2" xfId="3336"/>
    <cellStyle name="警告文本 6 3 3" xfId="4449"/>
    <cellStyle name="警告文本 6 4" xfId="28274"/>
    <cellStyle name="警告文本 7" xfId="7399"/>
    <cellStyle name="警告文本 7 2" xfId="26488"/>
    <cellStyle name="警告文本 7 2 2" xfId="3384"/>
    <cellStyle name="警告文本 7 2 2 2" xfId="21442"/>
    <cellStyle name="警告文本 7 2 2 3" xfId="21444"/>
    <cellStyle name="警告文本 7 2 3" xfId="4103"/>
    <cellStyle name="警告文本 7 3" xfId="26490"/>
    <cellStyle name="警告文本 7 3 2" xfId="3423"/>
    <cellStyle name="警告文本 7 3 3" xfId="4012"/>
    <cellStyle name="警告文本 7 4" xfId="26492"/>
    <cellStyle name="警告文本 8" xfId="3938"/>
    <cellStyle name="警告文本 8 2" xfId="28275"/>
    <cellStyle name="警告文本 8 2 2" xfId="1835"/>
    <cellStyle name="警告文本 8 2 3" xfId="1882"/>
    <cellStyle name="警告文本 8 3" xfId="28276"/>
    <cellStyle name="警告文本 9" xfId="12802"/>
    <cellStyle name="警告文本 9 2" xfId="28277"/>
    <cellStyle name="链接单元格 10" xfId="28278"/>
    <cellStyle name="链接单元格 2" xfId="28279"/>
    <cellStyle name="链接单元格 2 2" xfId="28280"/>
    <cellStyle name="链接单元格 2 2 2" xfId="28268"/>
    <cellStyle name="链接单元格 2 2 2 2" xfId="28281"/>
    <cellStyle name="链接单元格 2 2 2 2 2" xfId="28282"/>
    <cellStyle name="链接单元格 2 2 2 2 2 2" xfId="28283"/>
    <cellStyle name="链接单元格 2 2 2 2 2 3" xfId="28284"/>
    <cellStyle name="链接单元格 2 2 2 2 3" xfId="28285"/>
    <cellStyle name="链接单元格 2 2 2 3" xfId="28286"/>
    <cellStyle name="链接单元格 2 2 2 3 2" xfId="28287"/>
    <cellStyle name="链接单元格 2 2 2 3 3" xfId="28288"/>
    <cellStyle name="链接单元格 2 2 2 4" xfId="28289"/>
    <cellStyle name="链接单元格 2 2 3" xfId="28290"/>
    <cellStyle name="链接单元格 2 2 3 2" xfId="28291"/>
    <cellStyle name="链接单元格 2 2 3 2 2" xfId="28292"/>
    <cellStyle name="链接单元格 2 2 3 2 3" xfId="28293"/>
    <cellStyle name="链接单元格 2 2 3 3" xfId="28294"/>
    <cellStyle name="链接单元格 2 2 4" xfId="28295"/>
    <cellStyle name="链接单元格 2 2 4 2" xfId="28296"/>
    <cellStyle name="链接单元格 2 2 4 3" xfId="28297"/>
    <cellStyle name="链接单元格 2 2 5" xfId="25332"/>
    <cellStyle name="链接单元格 2 3" xfId="18897"/>
    <cellStyle name="链接单元格 2 3 2" xfId="28298"/>
    <cellStyle name="链接单元格 2 3 2 2" xfId="28299"/>
    <cellStyle name="链接单元格 2 3 2 2 2" xfId="2803"/>
    <cellStyle name="链接单元格 2 3 2 2 3" xfId="6377"/>
    <cellStyle name="链接单元格 2 3 2 3" xfId="2388"/>
    <cellStyle name="链接单元格 2 3 3" xfId="28300"/>
    <cellStyle name="链接单元格 2 3 3 2" xfId="28301"/>
    <cellStyle name="链接单元格 2 3 3 3" xfId="28302"/>
    <cellStyle name="链接单元格 2 3 4" xfId="28303"/>
    <cellStyle name="链接单元格 2 4" xfId="18900"/>
    <cellStyle name="链接单元格 2 4 2" xfId="28304"/>
    <cellStyle name="链接单元格 2 4 2 2" xfId="28305"/>
    <cellStyle name="链接单元格 2 4 2 2 2" xfId="6488"/>
    <cellStyle name="链接单元格 2 4 2 2 3" xfId="719"/>
    <cellStyle name="链接单元格 2 4 2 3" xfId="24624"/>
    <cellStyle name="链接单元格 2 4 3" xfId="28306"/>
    <cellStyle name="链接单元格 2 4 3 2" xfId="28307"/>
    <cellStyle name="链接单元格 2 4 3 3" xfId="28308"/>
    <cellStyle name="链接单元格 2 4 4" xfId="11744"/>
    <cellStyle name="链接单元格 2 5" xfId="18903"/>
    <cellStyle name="链接单元格 2 5 2" xfId="28310"/>
    <cellStyle name="链接单元格 2 5 2 2" xfId="28311"/>
    <cellStyle name="链接单元格 2 5 2 3" xfId="28312"/>
    <cellStyle name="链接单元格 2 5 3" xfId="28314"/>
    <cellStyle name="链接单元格 2 6" xfId="18905"/>
    <cellStyle name="链接单元格 2 6 2" xfId="6737"/>
    <cellStyle name="链接单元格 2 6 3" xfId="6749"/>
    <cellStyle name="链接单元格 2 7" xfId="18907"/>
    <cellStyle name="链接单元格 3" xfId="28315"/>
    <cellStyle name="链接单元格 3 2" xfId="28316"/>
    <cellStyle name="链接单元格 3 2 2" xfId="28317"/>
    <cellStyle name="链接单元格 3 2 2 2" xfId="28318"/>
    <cellStyle name="链接单元格 3 2 2 2 2" xfId="28319"/>
    <cellStyle name="链接单元格 3 2 2 2 2 2" xfId="28320"/>
    <cellStyle name="链接单元格 3 2 2 2 2 3" xfId="28321"/>
    <cellStyle name="链接单元格 3 2 2 2 3" xfId="28322"/>
    <cellStyle name="链接单元格 3 2 2 3" xfId="28323"/>
    <cellStyle name="链接单元格 3 2 2 3 2" xfId="28324"/>
    <cellStyle name="链接单元格 3 2 2 3 3" xfId="28325"/>
    <cellStyle name="链接单元格 3 2 2 4" xfId="28326"/>
    <cellStyle name="链接单元格 3 2 3" xfId="28327"/>
    <cellStyle name="链接单元格 3 2 3 2" xfId="28328"/>
    <cellStyle name="链接单元格 3 2 3 2 2" xfId="28329"/>
    <cellStyle name="链接单元格 3 2 3 2 3" xfId="28330"/>
    <cellStyle name="链接单元格 3 2 3 3" xfId="28331"/>
    <cellStyle name="链接单元格 3 2 4" xfId="28332"/>
    <cellStyle name="链接单元格 3 2 4 2" xfId="28333"/>
    <cellStyle name="链接单元格 3 2 4 3" xfId="28334"/>
    <cellStyle name="链接单元格 3 2 5" xfId="25402"/>
    <cellStyle name="链接单元格 3 3" xfId="18911"/>
    <cellStyle name="链接单元格 3 3 2" xfId="28335"/>
    <cellStyle name="链接单元格 3 3 2 2" xfId="28336"/>
    <cellStyle name="链接单元格 3 3 2 2 2" xfId="8957"/>
    <cellStyle name="链接单元格 3 3 2 2 3" xfId="8682"/>
    <cellStyle name="链接单元格 3 3 2 3" xfId="26824"/>
    <cellStyle name="链接单元格 3 3 3" xfId="28338"/>
    <cellStyle name="链接单元格 3 3 3 2" xfId="28339"/>
    <cellStyle name="链接单元格 3 3 3 3" xfId="28341"/>
    <cellStyle name="链接单元格 3 3 4" xfId="28342"/>
    <cellStyle name="链接单元格 3 4" xfId="18913"/>
    <cellStyle name="链接单元格 3 4 2" xfId="11547"/>
    <cellStyle name="链接单元格 3 4 2 2" xfId="11549"/>
    <cellStyle name="链接单元格 3 4 2 2 2" xfId="28343"/>
    <cellStyle name="链接单元格 3 4 2 2 3" xfId="2186"/>
    <cellStyle name="链接单元格 3 4 2 3" xfId="11552"/>
    <cellStyle name="链接单元格 3 4 3" xfId="259"/>
    <cellStyle name="链接单元格 3 4 3 2" xfId="27939"/>
    <cellStyle name="链接单元格 3 4 3 3" xfId="28344"/>
    <cellStyle name="链接单元格 3 4 4" xfId="11871"/>
    <cellStyle name="链接单元格 3 5" xfId="18915"/>
    <cellStyle name="链接单元格 3 5 2" xfId="11602"/>
    <cellStyle name="链接单元格 3 5 2 2" xfId="11605"/>
    <cellStyle name="链接单元格 3 5 2 3" xfId="11608"/>
    <cellStyle name="链接单元格 3 5 3" xfId="9541"/>
    <cellStyle name="链接单元格 3 6" xfId="18917"/>
    <cellStyle name="链接单元格 3 6 2" xfId="6779"/>
    <cellStyle name="链接单元格 3 6 3" xfId="6797"/>
    <cellStyle name="链接单元格 3 7" xfId="18919"/>
    <cellStyle name="链接单元格 4" xfId="28345"/>
    <cellStyle name="链接单元格 4 2" xfId="28346"/>
    <cellStyle name="链接单元格 4 2 2" xfId="28347"/>
    <cellStyle name="链接单元格 4 2 2 2" xfId="28348"/>
    <cellStyle name="链接单元格 4 2 2 2 2" xfId="1986"/>
    <cellStyle name="链接单元格 4 2 2 2 2 2" xfId="13718"/>
    <cellStyle name="链接单元格 4 2 2 2 2 3" xfId="9668"/>
    <cellStyle name="链接单元格 4 2 2 2 3" xfId="28349"/>
    <cellStyle name="链接单元格 4 2 2 3" xfId="28350"/>
    <cellStyle name="链接单元格 4 2 2 3 2" xfId="2114"/>
    <cellStyle name="链接单元格 4 2 2 3 3" xfId="28351"/>
    <cellStyle name="链接单元格 4 2 2 4" xfId="16465"/>
    <cellStyle name="链接单元格 4 2 3" xfId="5313"/>
    <cellStyle name="链接单元格 4 2 3 2" xfId="5324"/>
    <cellStyle name="链接单元格 4 2 3 2 2" xfId="8721"/>
    <cellStyle name="链接单元格 4 2 3 2 3" xfId="28352"/>
    <cellStyle name="链接单元格 4 2 3 3" xfId="5338"/>
    <cellStyle name="链接单元格 4 2 4" xfId="5348"/>
    <cellStyle name="链接单元格 4 2 4 2" xfId="28353"/>
    <cellStyle name="链接单元格 4 2 4 3" xfId="28354"/>
    <cellStyle name="链接单元格 4 2 5" xfId="25458"/>
    <cellStyle name="链接单元格 4 3" xfId="18921"/>
    <cellStyle name="链接单元格 4 3 2" xfId="9718"/>
    <cellStyle name="链接单元格 4 3 2 2" xfId="10644"/>
    <cellStyle name="链接单元格 4 3 2 2 2" xfId="8833"/>
    <cellStyle name="链接单元格 4 3 2 2 3" xfId="8802"/>
    <cellStyle name="链接单元格 4 3 2 3" xfId="10646"/>
    <cellStyle name="链接单元格 4 3 3" xfId="5380"/>
    <cellStyle name="链接单元格 4 3 3 2" xfId="28355"/>
    <cellStyle name="链接单元格 4 3 3 3" xfId="28356"/>
    <cellStyle name="链接单元格 4 3 4" xfId="5403"/>
    <cellStyle name="链接单元格 4 4" xfId="18923"/>
    <cellStyle name="链接单元格 4 4 2" xfId="10656"/>
    <cellStyle name="链接单元格 4 4 2 2" xfId="28357"/>
    <cellStyle name="链接单元格 4 4 2 2 2" xfId="3848"/>
    <cellStyle name="链接单元格 4 4 2 2 3" xfId="3094"/>
    <cellStyle name="链接单元格 4 4 2 3" xfId="28358"/>
    <cellStyle name="链接单元格 4 4 3" xfId="28359"/>
    <cellStyle name="链接单元格 4 4 3 2" xfId="28360"/>
    <cellStyle name="链接单元格 4 4 3 3" xfId="28361"/>
    <cellStyle name="链接单元格 4 4 4" xfId="11906"/>
    <cellStyle name="链接单元格 4 5" xfId="18925"/>
    <cellStyle name="链接单元格 4 5 2" xfId="10671"/>
    <cellStyle name="链接单元格 4 5 2 2" xfId="28362"/>
    <cellStyle name="链接单元格 4 5 2 3" xfId="28363"/>
    <cellStyle name="链接单元格 4 5 3" xfId="28364"/>
    <cellStyle name="链接单元格 4 6" xfId="1694"/>
    <cellStyle name="链接单元格 4 6 2" xfId="1980"/>
    <cellStyle name="链接单元格 4 6 3" xfId="2021"/>
    <cellStyle name="链接单元格 4 7" xfId="2097"/>
    <cellStyle name="链接单元格 5" xfId="25477"/>
    <cellStyle name="链接单元格 5 2" xfId="25479"/>
    <cellStyle name="链接单元格 5 2 2" xfId="28365"/>
    <cellStyle name="链接单元格 5 2 2 2" xfId="28366"/>
    <cellStyle name="链接单元格 5 2 2 2 2" xfId="13805"/>
    <cellStyle name="链接单元格 5 2 2 2 3" xfId="28367"/>
    <cellStyle name="链接单元格 5 2 2 3" xfId="25693"/>
    <cellStyle name="链接单元格 5 2 3" xfId="1850"/>
    <cellStyle name="链接单元格 5 2 3 2" xfId="28368"/>
    <cellStyle name="链接单元格 5 2 3 3" xfId="28369"/>
    <cellStyle name="链接单元格 5 2 4" xfId="3277"/>
    <cellStyle name="链接单元格 5 3" xfId="18512"/>
    <cellStyle name="链接单元格 5 3 2" xfId="10690"/>
    <cellStyle name="链接单元格 5 3 2 2" xfId="24709"/>
    <cellStyle name="链接单元格 5 3 2 3" xfId="24716"/>
    <cellStyle name="链接单元格 5 3 3" xfId="28370"/>
    <cellStyle name="链接单元格 5 4" xfId="18517"/>
    <cellStyle name="链接单元格 5 4 2" xfId="28371"/>
    <cellStyle name="链接单元格 5 4 3" xfId="28372"/>
    <cellStyle name="链接单元格 5 5" xfId="18519"/>
    <cellStyle name="链接单元格 6" xfId="25481"/>
    <cellStyle name="链接单元格 6 2" xfId="28373"/>
    <cellStyle name="链接单元格 6 2 2" xfId="28374"/>
    <cellStyle name="链接单元格 6 2 2 2" xfId="28376"/>
    <cellStyle name="链接单元格 6 2 2 3" xfId="28377"/>
    <cellStyle name="链接单元格 6 2 3" xfId="8632"/>
    <cellStyle name="链接单元格 6 3" xfId="8649"/>
    <cellStyle name="链接单元格 6 3 2" xfId="28378"/>
    <cellStyle name="链接单元格 6 3 3" xfId="28380"/>
    <cellStyle name="链接单元格 6 4" xfId="8654"/>
    <cellStyle name="链接单元格 7" xfId="25484"/>
    <cellStyle name="链接单元格 7 2" xfId="28382"/>
    <cellStyle name="链接单元格 7 2 2" xfId="21310"/>
    <cellStyle name="链接单元格 7 2 2 2" xfId="4607"/>
    <cellStyle name="链接单元格 7 2 2 3" xfId="28383"/>
    <cellStyle name="链接单元格 7 2 3" xfId="21313"/>
    <cellStyle name="链接单元格 7 3" xfId="18928"/>
    <cellStyle name="链接单元格 7 3 2" xfId="21321"/>
    <cellStyle name="链接单元格 7 3 3" xfId="21323"/>
    <cellStyle name="链接单元格 7 4" xfId="18930"/>
    <cellStyle name="链接单元格 8" xfId="23308"/>
    <cellStyle name="链接单元格 8 2" xfId="28385"/>
    <cellStyle name="链接单元格 8 2 2" xfId="28386"/>
    <cellStyle name="链接单元格 8 2 3" xfId="28388"/>
    <cellStyle name="链接单元格 8 3" xfId="28390"/>
    <cellStyle name="链接单元格 9" xfId="23312"/>
    <cellStyle name="链接单元格 9 2" xfId="25883"/>
    <cellStyle name="强调文字颜色 1 2" xfId="1069"/>
    <cellStyle name="强调文字颜色 1 2 10" xfId="7596"/>
    <cellStyle name="强调文字颜色 1 2 2" xfId="28391"/>
    <cellStyle name="强调文字颜色 1 2 2 2" xfId="28393"/>
    <cellStyle name="强调文字颜色 1 2 2 2 2" xfId="24175"/>
    <cellStyle name="强调文字颜色 1 2 2 2 2 2" xfId="19560"/>
    <cellStyle name="强调文字颜色 1 2 2 2 2 2 2" xfId="28394"/>
    <cellStyle name="强调文字颜色 1 2 2 2 2 2 2 2" xfId="28395"/>
    <cellStyle name="强调文字颜色 1 2 2 2 2 2 2 3" xfId="25394"/>
    <cellStyle name="强调文字颜色 1 2 2 2 2 2 3" xfId="28397"/>
    <cellStyle name="强调文字颜色 1 2 2 2 2 3" xfId="19563"/>
    <cellStyle name="强调文字颜色 1 2 2 2 2 3 2" xfId="28398"/>
    <cellStyle name="强调文字颜色 1 2 2 2 2 3 3" xfId="28399"/>
    <cellStyle name="强调文字颜色 1 2 2 2 2 4" xfId="28400"/>
    <cellStyle name="强调文字颜色 1 2 2 2 3" xfId="24178"/>
    <cellStyle name="强调文字颜色 1 2 2 2 3 2" xfId="21584"/>
    <cellStyle name="强调文字颜色 1 2 2 2 3 2 2" xfId="28401"/>
    <cellStyle name="强调文字颜色 1 2 2 2 3 2 3" xfId="28402"/>
    <cellStyle name="强调文字颜色 1 2 2 2 3 3" xfId="21588"/>
    <cellStyle name="强调文字颜色 1 2 2 2 4" xfId="24181"/>
    <cellStyle name="强调文字颜色 1 2 2 2 4 2" xfId="5043"/>
    <cellStyle name="强调文字颜色 1 2 2 2 4 3" xfId="28403"/>
    <cellStyle name="强调文字颜色 1 2 2 2 5" xfId="24184"/>
    <cellStyle name="强调文字颜色 1 2 2 3" xfId="28404"/>
    <cellStyle name="强调文字颜色 1 2 2 3 2" xfId="24190"/>
    <cellStyle name="强调文字颜色 1 2 2 3 2 2" xfId="28405"/>
    <cellStyle name="强调文字颜色 1 2 2 3 2 2 2" xfId="17371"/>
    <cellStyle name="强调文字颜色 1 2 2 3 2 2 3" xfId="17373"/>
    <cellStyle name="强调文字颜色 1 2 2 3 2 3" xfId="28406"/>
    <cellStyle name="强调文字颜色 1 2 2 3 3" xfId="24192"/>
    <cellStyle name="强调文字颜色 1 2 2 3 3 2" xfId="8745"/>
    <cellStyle name="强调文字颜色 1 2 2 3 3 3" xfId="28407"/>
    <cellStyle name="强调文字颜色 1 2 2 3 4" xfId="1460"/>
    <cellStyle name="强调文字颜色 1 2 2 4" xfId="28408"/>
    <cellStyle name="强调文字颜色 1 2 2 4 2" xfId="24199"/>
    <cellStyle name="强调文字颜色 1 2 2 4 2 2" xfId="28409"/>
    <cellStyle name="强调文字颜色 1 2 2 4 2 2 2" xfId="28410"/>
    <cellStyle name="强调文字颜色 1 2 2 4 2 2 3" xfId="28411"/>
    <cellStyle name="强调文字颜色 1 2 2 4 2 3" xfId="28412"/>
    <cellStyle name="强调文字颜色 1 2 2 4 3" xfId="24201"/>
    <cellStyle name="强调文字颜色 1 2 2 4 3 2" xfId="28413"/>
    <cellStyle name="强调文字颜色 1 2 2 4 3 3" xfId="28414"/>
    <cellStyle name="强调文字颜色 1 2 2 4 4" xfId="24203"/>
    <cellStyle name="强调文字颜色 1 2 2 5" xfId="28415"/>
    <cellStyle name="强调文字颜色 1 2 2 5 2" xfId="24211"/>
    <cellStyle name="强调文字颜色 1 2 2 5 2 2" xfId="28416"/>
    <cellStyle name="强调文字颜色 1 2 2 5 2 3" xfId="28417"/>
    <cellStyle name="强调文字颜色 1 2 2 5 3" xfId="24213"/>
    <cellStyle name="强调文字颜色 1 2 2 6" xfId="28418"/>
    <cellStyle name="强调文字颜色 1 2 2 6 2" xfId="24221"/>
    <cellStyle name="强调文字颜色 1 2 2 6 3" xfId="24223"/>
    <cellStyle name="强调文字颜色 1 2 2 7" xfId="15816"/>
    <cellStyle name="强调文字颜色 1 2 3" xfId="28419"/>
    <cellStyle name="强调文字颜色 1 2 3 2" xfId="28421"/>
    <cellStyle name="强调文字颜色 1 2 3 2 2" xfId="24683"/>
    <cellStyle name="强调文字颜色 1 2 3 2 2 2" xfId="19697"/>
    <cellStyle name="强调文字颜色 1 2 3 2 2 2 2" xfId="24687"/>
    <cellStyle name="强调文字颜色 1 2 3 2 2 2 2 2" xfId="20672"/>
    <cellStyle name="强调文字颜色 1 2 3 2 2 2 2 3" xfId="20675"/>
    <cellStyle name="强调文字颜色 1 2 3 2 2 2 3" xfId="24690"/>
    <cellStyle name="强调文字颜色 1 2 3 2 2 3" xfId="19700"/>
    <cellStyle name="强调文字颜色 1 2 3 2 2 3 2" xfId="24692"/>
    <cellStyle name="强调文字颜色 1 2 3 2 2 3 3" xfId="24696"/>
    <cellStyle name="强调文字颜色 1 2 3 2 2 4" xfId="8383"/>
    <cellStyle name="强调文字颜色 1 2 3 2 3" xfId="24699"/>
    <cellStyle name="强调文字颜色 1 2 3 2 3 2" xfId="19709"/>
    <cellStyle name="强调文字颜色 1 2 3 2 3 2 2" xfId="17564"/>
    <cellStyle name="强调文字颜色 1 2 3 2 3 2 3" xfId="16405"/>
    <cellStyle name="强调文字颜色 1 2 3 2 3 3" xfId="19713"/>
    <cellStyle name="强调文字颜色 1 2 3 2 4" xfId="24703"/>
    <cellStyle name="强调文字颜色 1 2 3 2 4 2" xfId="19723"/>
    <cellStyle name="强调文字颜色 1 2 3 2 4 3" xfId="19725"/>
    <cellStyle name="强调文字颜色 1 2 3 2 5" xfId="28422"/>
    <cellStyle name="强调文字颜色 1 2 3 3" xfId="28423"/>
    <cellStyle name="强调文字颜色 1 2 3 3 2" xfId="20223"/>
    <cellStyle name="强调文字颜色 1 2 3 3 2 2" xfId="15111"/>
    <cellStyle name="强调文字颜色 1 2 3 3 2 2 2" xfId="4750"/>
    <cellStyle name="强调文字颜色 1 2 3 3 2 2 3" xfId="5495"/>
    <cellStyle name="强调文字颜色 1 2 3 3 2 3" xfId="15115"/>
    <cellStyle name="强调文字颜色 1 2 3 3 3" xfId="20227"/>
    <cellStyle name="强调文字颜色 1 2 3 3 3 2" xfId="9100"/>
    <cellStyle name="强调文字颜色 1 2 3 3 3 3" xfId="19806"/>
    <cellStyle name="强调文字颜色 1 2 3 3 4" xfId="20229"/>
    <cellStyle name="强调文字颜色 1 2 3 4" xfId="24573"/>
    <cellStyle name="强调文字颜色 1 2 3 4 2" xfId="24947"/>
    <cellStyle name="强调文字颜色 1 2 3 4 2 2" xfId="24949"/>
    <cellStyle name="强调文字颜色 1 2 3 4 2 2 2" xfId="4898"/>
    <cellStyle name="强调文字颜色 1 2 3 4 2 2 3" xfId="24951"/>
    <cellStyle name="强调文字颜色 1 2 3 4 2 3" xfId="24953"/>
    <cellStyle name="强调文字颜色 1 2 3 4 3" xfId="24956"/>
    <cellStyle name="强调文字颜色 1 2 3 4 3 2" xfId="28424"/>
    <cellStyle name="强调文字颜色 1 2 3 4 3 3" xfId="28425"/>
    <cellStyle name="强调文字颜色 1 2 3 4 4" xfId="28426"/>
    <cellStyle name="强调文字颜色 1 2 3 5" xfId="28427"/>
    <cellStyle name="强调文字颜色 1 2 3 5 2" xfId="28428"/>
    <cellStyle name="强调文字颜色 1 2 3 5 2 2" xfId="28429"/>
    <cellStyle name="强调文字颜色 1 2 3 5 2 3" xfId="28430"/>
    <cellStyle name="强调文字颜色 1 2 3 5 3" xfId="28431"/>
    <cellStyle name="强调文字颜色 1 2 3 6" xfId="28432"/>
    <cellStyle name="强调文字颜色 1 2 3 6 2" xfId="28433"/>
    <cellStyle name="强调文字颜色 1 2 3 6 3" xfId="28434"/>
    <cellStyle name="强调文字颜色 1 2 3 7" xfId="28435"/>
    <cellStyle name="强调文字颜色 1 2 4" xfId="25111"/>
    <cellStyle name="强调文字颜色 1 2 4 2" xfId="28436"/>
    <cellStyle name="强调文字颜色 1 2 4 2 2" xfId="25291"/>
    <cellStyle name="强调文字颜色 1 2 4 2 2 2" xfId="20366"/>
    <cellStyle name="强调文字颜色 1 2 4 2 2 2 2" xfId="25293"/>
    <cellStyle name="强调文字颜色 1 2 4 2 2 2 2 2" xfId="18261"/>
    <cellStyle name="强调文字颜色 1 2 4 2 2 2 2 3" xfId="18266"/>
    <cellStyle name="强调文字颜色 1 2 4 2 2 2 3" xfId="25295"/>
    <cellStyle name="强调文字颜色 1 2 4 2 2 3" xfId="20369"/>
    <cellStyle name="强调文字颜色 1 2 4 2 2 3 2" xfId="25297"/>
    <cellStyle name="强调文字颜色 1 2 4 2 2 3 3" xfId="25301"/>
    <cellStyle name="强调文字颜色 1 2 4 2 2 4" xfId="8432"/>
    <cellStyle name="强调文字颜色 1 2 4 2 3" xfId="25304"/>
    <cellStyle name="强调文字颜色 1 2 4 2 3 2" xfId="20380"/>
    <cellStyle name="强调文字颜色 1 2 4 2 3 2 2" xfId="17737"/>
    <cellStyle name="强调文字颜色 1 2 4 2 3 2 3" xfId="17742"/>
    <cellStyle name="强调文字颜色 1 2 4 2 3 3" xfId="20383"/>
    <cellStyle name="强调文字颜色 1 2 4 2 4" xfId="25307"/>
    <cellStyle name="强调文字颜色 1 2 4 2 4 2" xfId="20393"/>
    <cellStyle name="强调文字颜色 1 2 4 2 4 3" xfId="20395"/>
    <cellStyle name="强调文字颜色 1 2 4 2 5" xfId="28437"/>
    <cellStyle name="强调文字颜色 1 2 4 3" xfId="28438"/>
    <cellStyle name="强调文字颜色 1 2 4 3 2" xfId="25368"/>
    <cellStyle name="强调文字颜色 1 2 4 3 2 2" xfId="11829"/>
    <cellStyle name="强调文字颜色 1 2 4 3 2 2 2" xfId="11832"/>
    <cellStyle name="强调文字颜色 1 2 4 3 2 2 3" xfId="11838"/>
    <cellStyle name="强调文字颜色 1 2 4 3 2 3" xfId="11841"/>
    <cellStyle name="强调文字颜色 1 2 4 3 3" xfId="25373"/>
    <cellStyle name="强调文字颜色 1 2 4 3 3 2" xfId="8520"/>
    <cellStyle name="强调文字颜色 1 2 4 3 3 3" xfId="11856"/>
    <cellStyle name="强调文字颜色 1 2 4 3 4" xfId="28440"/>
    <cellStyle name="强调文字颜色 1 2 4 4" xfId="28441"/>
    <cellStyle name="强调文字颜色 1 2 4 4 2" xfId="25437"/>
    <cellStyle name="强调文字颜色 1 2 4 4 2 2" xfId="8576"/>
    <cellStyle name="强调文字颜色 1 2 4 4 2 2 2" xfId="25439"/>
    <cellStyle name="强调文字颜色 1 2 4 4 2 2 3" xfId="25441"/>
    <cellStyle name="强调文字颜色 1 2 4 4 2 3" xfId="9028"/>
    <cellStyle name="强调文字颜色 1 2 4 4 3" xfId="25443"/>
    <cellStyle name="强调文字颜色 1 2 4 4 3 2" xfId="28443"/>
    <cellStyle name="强调文字颜色 1 2 4 4 3 3" xfId="28444"/>
    <cellStyle name="强调文字颜色 1 2 4 4 4" xfId="28445"/>
    <cellStyle name="强调文字颜色 1 2 4 5" xfId="12253"/>
    <cellStyle name="强调文字颜色 1 2 4 5 2" xfId="28446"/>
    <cellStyle name="强调文字颜色 1 2 4 5 2 2" xfId="9710"/>
    <cellStyle name="强调文字颜色 1 2 4 5 2 3" xfId="9720"/>
    <cellStyle name="强调文字颜色 1 2 4 5 3" xfId="28447"/>
    <cellStyle name="强调文字颜色 1 2 4 6" xfId="8944"/>
    <cellStyle name="强调文字颜色 1 2 4 6 2" xfId="28448"/>
    <cellStyle name="强调文字颜色 1 2 4 6 3" xfId="28449"/>
    <cellStyle name="强调文字颜色 1 2 4 7" xfId="8955"/>
    <cellStyle name="强调文字颜色 1 2 5" xfId="25113"/>
    <cellStyle name="强调文字颜色 1 2 5 2" xfId="25115"/>
    <cellStyle name="强调文字颜色 1 2 5 2 2" xfId="7984"/>
    <cellStyle name="强调文字颜色 1 2 5 2 2 2" xfId="4555"/>
    <cellStyle name="强调文字颜色 1 2 5 2 2 2 2" xfId="7989"/>
    <cellStyle name="强调文字颜色 1 2 5 2 2 2 3" xfId="7993"/>
    <cellStyle name="强调文字颜色 1 2 5 2 2 3" xfId="8000"/>
    <cellStyle name="强调文字颜色 1 2 5 2 3" xfId="8012"/>
    <cellStyle name="强调文字颜色 1 2 5 2 3 2" xfId="8017"/>
    <cellStyle name="强调文字颜色 1 2 5 2 3 3" xfId="8031"/>
    <cellStyle name="强调文字颜色 1 2 5 2 4" xfId="8034"/>
    <cellStyle name="强调文字颜色 1 2 5 3" xfId="1259"/>
    <cellStyle name="强调文字颜色 1 2 5 3 2" xfId="6461"/>
    <cellStyle name="强调文字颜色 1 2 5 3 2 2" xfId="4593"/>
    <cellStyle name="强调文字颜色 1 2 5 3 2 3" xfId="8143"/>
    <cellStyle name="强调文字颜色 1 2 5 3 3" xfId="8153"/>
    <cellStyle name="强调文字颜色 1 2 5 4" xfId="1265"/>
    <cellStyle name="强调文字颜色 1 2 5 4 2" xfId="8218"/>
    <cellStyle name="强调文字颜色 1 2 5 4 3" xfId="8231"/>
    <cellStyle name="强调文字颜色 1 2 5 5" xfId="1309"/>
    <cellStyle name="强调文字颜色 1 2 6" xfId="27196"/>
    <cellStyle name="强调文字颜色 1 2 6 2" xfId="27198"/>
    <cellStyle name="强调文字颜色 1 2 6 2 2" xfId="16828"/>
    <cellStyle name="强调文字颜色 1 2 6 2 2 2" xfId="21790"/>
    <cellStyle name="强调文字颜色 1 2 6 2 2 3" xfId="21793"/>
    <cellStyle name="强调文字颜色 1 2 6 2 3" xfId="26226"/>
    <cellStyle name="强调文字颜色 1 2 6 3" xfId="27200"/>
    <cellStyle name="强调文字颜色 1 2 6 3 2" xfId="16847"/>
    <cellStyle name="强调文字颜色 1 2 6 3 3" xfId="26335"/>
    <cellStyle name="强调文字颜色 1 2 6 4" xfId="28450"/>
    <cellStyle name="强调文字颜色 1 2 7" xfId="27202"/>
    <cellStyle name="强调文字颜色 1 2 7 2" xfId="28451"/>
    <cellStyle name="强调文字颜色 1 2 7 2 2" xfId="11091"/>
    <cellStyle name="强调文字颜色 1 2 7 2 2 2" xfId="12117"/>
    <cellStyle name="强调文字颜色 1 2 7 2 2 3" xfId="18958"/>
    <cellStyle name="强调文字颜色 1 2 7 2 3" xfId="26662"/>
    <cellStyle name="强调文字颜色 1 2 7 3" xfId="28452"/>
    <cellStyle name="强调文字颜色 1 2 7 3 2" xfId="26813"/>
    <cellStyle name="强调文字颜色 1 2 7 3 3" xfId="26815"/>
    <cellStyle name="强调文字颜色 1 2 7 4" xfId="28454"/>
    <cellStyle name="强调文字颜色 1 2 8" xfId="26055"/>
    <cellStyle name="强调文字颜色 1 2 8 2" xfId="28456"/>
    <cellStyle name="强调文字颜色 1 2 8 2 2" xfId="27042"/>
    <cellStyle name="强调文字颜色 1 2 8 2 3" xfId="27045"/>
    <cellStyle name="强调文字颜色 1 2 8 3" xfId="28457"/>
    <cellStyle name="强调文字颜色 1 2 9" xfId="26057"/>
    <cellStyle name="强调文字颜色 1 2 9 2" xfId="26059"/>
    <cellStyle name="强调文字颜色 2 2" xfId="2192"/>
    <cellStyle name="强调文字颜色 2 2 10" xfId="10959"/>
    <cellStyle name="强调文字颜色 2 2 2" xfId="28458"/>
    <cellStyle name="强调文字颜色 2 2 2 2" xfId="22540"/>
    <cellStyle name="强调文字颜色 2 2 2 2 2" xfId="28460"/>
    <cellStyle name="强调文字颜色 2 2 2 2 2 2" xfId="28461"/>
    <cellStyle name="强调文字颜色 2 2 2 2 2 2 2" xfId="28462"/>
    <cellStyle name="强调文字颜色 2 2 2 2 2 2 2 2" xfId="28464"/>
    <cellStyle name="强调文字颜色 2 2 2 2 2 2 2 3" xfId="28465"/>
    <cellStyle name="强调文字颜色 2 2 2 2 2 2 3" xfId="27957"/>
    <cellStyle name="强调文字颜色 2 2 2 2 2 3" xfId="28466"/>
    <cellStyle name="强调文字颜色 2 2 2 2 2 3 2" xfId="28467"/>
    <cellStyle name="强调文字颜色 2 2 2 2 2 3 3" xfId="27962"/>
    <cellStyle name="强调文字颜色 2 2 2 2 2 4" xfId="28468"/>
    <cellStyle name="强调文字颜色 2 2 2 2 3" xfId="26437"/>
    <cellStyle name="强调文字颜色 2 2 2 2 3 2" xfId="26439"/>
    <cellStyle name="强调文字颜色 2 2 2 2 3 2 2" xfId="28469"/>
    <cellStyle name="强调文字颜色 2 2 2 2 3 2 3" xfId="27976"/>
    <cellStyle name="强调文字颜色 2 2 2 2 3 3" xfId="26441"/>
    <cellStyle name="强调文字颜色 2 2 2 2 3 3 2" xfId="26443"/>
    <cellStyle name="强调文字颜色 2 2 2 2 3 3 3" xfId="28470"/>
    <cellStyle name="强调文字颜色 2 2 2 2 3 4" xfId="28471"/>
    <cellStyle name="强调文字颜色 2 2 2 2 3 5" xfId="28472"/>
    <cellStyle name="强调文字颜色 2 2 2 2 3 5 2" xfId="28473"/>
    <cellStyle name="强调文字颜色 2 2 2 2 3 5 3" xfId="28475"/>
    <cellStyle name="强调文字颜色 2 2 2 2 3 6" xfId="28477"/>
    <cellStyle name="强调文字颜色 2 2 2 2 4" xfId="26445"/>
    <cellStyle name="强调文字颜色 2 2 2 2 4 2" xfId="28479"/>
    <cellStyle name="强调文字颜色 2 2 2 2 4 3" xfId="28480"/>
    <cellStyle name="强调文字颜色 2 2 2 2 5" xfId="26447"/>
    <cellStyle name="强调文字颜色 2 2 2 3" xfId="5432"/>
    <cellStyle name="强调文字颜色 2 2 2 3 2" xfId="28481"/>
    <cellStyle name="强调文字颜色 2 2 2 3 2 2" xfId="12424"/>
    <cellStyle name="强调文字颜色 2 2 2 3 2 2 2" xfId="28483"/>
    <cellStyle name="强调文字颜色 2 2 2 3 2 2 3" xfId="28011"/>
    <cellStyle name="强调文字颜色 2 2 2 3 2 3" xfId="12965"/>
    <cellStyle name="强调文字颜色 2 2 2 3 2 3 2" xfId="28484"/>
    <cellStyle name="强调文字颜色 2 2 2 3 2 3 3" xfId="28014"/>
    <cellStyle name="强调文字颜色 2 2 2 3 2 4" xfId="12967"/>
    <cellStyle name="强调文字颜色 2 2 2 3 2 5" xfId="12969"/>
    <cellStyle name="强调文字颜色 2 2 2 3 2 5 2" xfId="9372"/>
    <cellStyle name="强调文字颜色 2 2 2 3 2 5 3" xfId="28485"/>
    <cellStyle name="强调文字颜色 2 2 2 3 2 6" xfId="10074"/>
    <cellStyle name="强调文字颜色 2 2 2 3 3" xfId="28487"/>
    <cellStyle name="强调文字颜色 2 2 2 3 3 2" xfId="12974"/>
    <cellStyle name="强调文字颜色 2 2 2 3 3 3" xfId="12976"/>
    <cellStyle name="强调文字颜色 2 2 2 3 4" xfId="28488"/>
    <cellStyle name="强调文字颜色 2 2 2 3 4 2" xfId="12650"/>
    <cellStyle name="强调文字颜色 2 2 2 3 4 3" xfId="12982"/>
    <cellStyle name="强调文字颜色 2 2 2 3 5" xfId="28489"/>
    <cellStyle name="强调文字颜色 2 2 2 3 6" xfId="28490"/>
    <cellStyle name="强调文字颜色 2 2 2 3 6 2" xfId="28491"/>
    <cellStyle name="强调文字颜色 2 2 2 3 6 3" xfId="28492"/>
    <cellStyle name="强调文字颜色 2 2 2 3 7" xfId="28493"/>
    <cellStyle name="强调文字颜色 2 2 2 4" xfId="5437"/>
    <cellStyle name="强调文字颜色 2 2 2 4 2" xfId="28494"/>
    <cellStyle name="强调文字颜色 2 2 2 4 2 2" xfId="13069"/>
    <cellStyle name="强调文字颜色 2 2 2 4 2 2 2" xfId="17700"/>
    <cellStyle name="强调文字颜色 2 2 2 4 2 2 3" xfId="17706"/>
    <cellStyle name="强调文字颜色 2 2 2 4 2 3" xfId="13072"/>
    <cellStyle name="强调文字颜色 2 2 2 4 2 3 2" xfId="17720"/>
    <cellStyle name="强调文字颜色 2 2 2 4 2 3 3" xfId="17724"/>
    <cellStyle name="强调文字颜色 2 2 2 4 2 4" xfId="13075"/>
    <cellStyle name="强调文字颜色 2 2 2 4 2 5" xfId="13078"/>
    <cellStyle name="强调文字颜色 2 2 2 4 2 5 2" xfId="9425"/>
    <cellStyle name="强调文字颜色 2 2 2 4 2 5 3" xfId="28495"/>
    <cellStyle name="强调文字颜色 2 2 2 4 2 6" xfId="10824"/>
    <cellStyle name="强调文字颜色 2 2 2 4 3" xfId="18437"/>
    <cellStyle name="强调文字颜色 2 2 2 4 3 2" xfId="13081"/>
    <cellStyle name="强调文字颜色 2 2 2 4 3 3" xfId="13083"/>
    <cellStyle name="强调文字颜色 2 2 2 4 4" xfId="18440"/>
    <cellStyle name="强调文字颜色 2 2 2 4 4 2" xfId="13093"/>
    <cellStyle name="强调文字颜色 2 2 2 4 4 3" xfId="13098"/>
    <cellStyle name="强调文字颜色 2 2 2 4 5" xfId="18443"/>
    <cellStyle name="强调文字颜色 2 2 2 4 6" xfId="18445"/>
    <cellStyle name="强调文字颜色 2 2 2 4 6 2" xfId="28497"/>
    <cellStyle name="强调文字颜色 2 2 2 4 6 3" xfId="28498"/>
    <cellStyle name="强调文字颜色 2 2 2 4 7" xfId="18447"/>
    <cellStyle name="强调文字颜色 2 2 2 5" xfId="22543"/>
    <cellStyle name="强调文字颜色 2 2 2 5 2" xfId="28499"/>
    <cellStyle name="强调文字颜色 2 2 2 5 2 2" xfId="28500"/>
    <cellStyle name="强调文字颜色 2 2 2 5 2 3" xfId="28501"/>
    <cellStyle name="强调文字颜色 2 2 2 5 3" xfId="18452"/>
    <cellStyle name="强调文字颜色 2 2 2 5 3 2" xfId="28502"/>
    <cellStyle name="强调文字颜色 2 2 2 5 3 3" xfId="28503"/>
    <cellStyle name="强调文字颜色 2 2 2 5 4" xfId="18455"/>
    <cellStyle name="强调文字颜色 2 2 2 5 5" xfId="18458"/>
    <cellStyle name="强调文字颜色 2 2 2 5 5 2" xfId="21746"/>
    <cellStyle name="强调文字颜色 2 2 2 5 5 3" xfId="21748"/>
    <cellStyle name="强调文字颜色 2 2 2 5 6" xfId="18460"/>
    <cellStyle name="强调文字颜色 2 2 2 6" xfId="22546"/>
    <cellStyle name="强调文字颜色 2 2 2 6 2" xfId="24920"/>
    <cellStyle name="强调文字颜色 2 2 2 6 3" xfId="18467"/>
    <cellStyle name="强调文字颜色 2 2 2 7" xfId="22548"/>
    <cellStyle name="强调文字颜色 2 2 3" xfId="28504"/>
    <cellStyle name="强调文字颜色 2 2 3 10" xfId="24033"/>
    <cellStyle name="强调文字颜色 2 2 3 2" xfId="22550"/>
    <cellStyle name="强调文字颜色 2 2 3 2 2" xfId="28506"/>
    <cellStyle name="强调文字颜色 2 2 3 2 2 2" xfId="19566"/>
    <cellStyle name="强调文字颜色 2 2 3 2 2 2 2" xfId="28507"/>
    <cellStyle name="强调文字颜色 2 2 3 2 2 2 2 2" xfId="28508"/>
    <cellStyle name="强调文字颜色 2 2 3 2 2 2 2 3" xfId="28509"/>
    <cellStyle name="强调文字颜色 2 2 3 2 2 2 3" xfId="28510"/>
    <cellStyle name="强调文字颜色 2 2 3 2 2 2 3 2" xfId="16439"/>
    <cellStyle name="强调文字颜色 2 2 3 2 2 2 3 3" xfId="28511"/>
    <cellStyle name="强调文字颜色 2 2 3 2 2 2 4" xfId="28512"/>
    <cellStyle name="强调文字颜色 2 2 3 2 2 2 5" xfId="28513"/>
    <cellStyle name="强调文字颜色 2 2 3 2 2 2 5 2" xfId="23177"/>
    <cellStyle name="强调文字颜色 2 2 3 2 2 2 5 3" xfId="28514"/>
    <cellStyle name="强调文字颜色 2 2 3 2 2 2 6" xfId="28515"/>
    <cellStyle name="强调文字颜色 2 2 3 2 2 3" xfId="14669"/>
    <cellStyle name="强调文字颜色 2 2 3 2 2 3 2" xfId="28516"/>
    <cellStyle name="强调文字颜色 2 2 3 2 2 3 3" xfId="28517"/>
    <cellStyle name="强调文字颜色 2 2 3 2 2 4" xfId="8725"/>
    <cellStyle name="强调文字颜色 2 2 3 2 2 4 2" xfId="28518"/>
    <cellStyle name="强调文字颜色 2 2 3 2 2 4 3" xfId="28519"/>
    <cellStyle name="强调文字颜色 2 2 3 2 2 5" xfId="8730"/>
    <cellStyle name="强调文字颜色 2 2 3 2 2 6" xfId="9182"/>
    <cellStyle name="强调文字颜色 2 2 3 2 2 6 2" xfId="15896"/>
    <cellStyle name="强调文字颜色 2 2 3 2 2 6 3" xfId="15902"/>
    <cellStyle name="强调文字颜色 2 2 3 2 2 7" xfId="9186"/>
    <cellStyle name="强调文字颜色 2 2 3 2 3" xfId="27871"/>
    <cellStyle name="强调文字颜色 2 2 3 2 3 2" xfId="28520"/>
    <cellStyle name="强调文字颜色 2 2 3 2 3 2 2" xfId="28521"/>
    <cellStyle name="强调文字颜色 2 2 3 2 3 2 3" xfId="20580"/>
    <cellStyle name="强调文字颜色 2 2 3 2 3 3" xfId="28522"/>
    <cellStyle name="强调文字颜色 2 2 3 2 3 3 2" xfId="28523"/>
    <cellStyle name="强调文字颜色 2 2 3 2 3 3 3" xfId="20588"/>
    <cellStyle name="强调文字颜色 2 2 3 2 3 4" xfId="28524"/>
    <cellStyle name="强调文字颜色 2 2 3 2 3 5" xfId="28525"/>
    <cellStyle name="强调文字颜色 2 2 3 2 3 5 2" xfId="28526"/>
    <cellStyle name="强调文字颜色 2 2 3 2 3 5 3" xfId="15994"/>
    <cellStyle name="强调文字颜色 2 2 3 2 3 6" xfId="28527"/>
    <cellStyle name="强调文字颜色 2 2 3 2 4" xfId="27873"/>
    <cellStyle name="强调文字颜色 2 2 3 2 4 2" xfId="28529"/>
    <cellStyle name="强调文字颜色 2 2 3 2 4 3" xfId="28530"/>
    <cellStyle name="强调文字颜色 2 2 3 2 5" xfId="28531"/>
    <cellStyle name="强调文字颜色 2 2 3 2 5 2" xfId="28532"/>
    <cellStyle name="强调文字颜色 2 2 3 2 5 3" xfId="28533"/>
    <cellStyle name="强调文字颜色 2 2 3 2 6" xfId="28534"/>
    <cellStyle name="强调文字颜色 2 2 3 2 7" xfId="28535"/>
    <cellStyle name="强调文字颜色 2 2 3 2 7 2" xfId="28536"/>
    <cellStyle name="强调文字颜色 2 2 3 2 7 3" xfId="28537"/>
    <cellStyle name="强调文字颜色 2 2 3 2 8" xfId="28538"/>
    <cellStyle name="强调文字颜色 2 2 3 3" xfId="22552"/>
    <cellStyle name="强调文字颜色 2 2 3 3 2" xfId="28539"/>
    <cellStyle name="强调文字颜色 2 2 3 3 2 2" xfId="28541"/>
    <cellStyle name="强调文字颜色 2 2 3 3 2 2 2" xfId="28542"/>
    <cellStyle name="强调文字颜色 2 2 3 3 2 2 3" xfId="28543"/>
    <cellStyle name="强调文字颜色 2 2 3 3 2 3" xfId="15080"/>
    <cellStyle name="强调文字颜色 2 2 3 3 2 3 2" xfId="28544"/>
    <cellStyle name="强调文字颜色 2 2 3 3 2 3 3" xfId="28545"/>
    <cellStyle name="强调文字颜色 2 2 3 3 2 4" xfId="15082"/>
    <cellStyle name="强调文字颜色 2 2 3 3 2 5" xfId="15084"/>
    <cellStyle name="强调文字颜色 2 2 3 3 2 5 2" xfId="28546"/>
    <cellStyle name="强调文字颜色 2 2 3 3 2 5 3" xfId="28547"/>
    <cellStyle name="强调文字颜色 2 2 3 3 2 6" xfId="10999"/>
    <cellStyle name="强调文字颜色 2 2 3 3 3" xfId="28548"/>
    <cellStyle name="强调文字颜色 2 2 3 3 3 2" xfId="28549"/>
    <cellStyle name="强调文字颜色 2 2 3 3 3 3" xfId="28550"/>
    <cellStyle name="强调文字颜色 2 2 3 3 4" xfId="28551"/>
    <cellStyle name="强调文字颜色 2 2 3 3 4 2" xfId="28552"/>
    <cellStyle name="强调文字颜色 2 2 3 3 4 3" xfId="526"/>
    <cellStyle name="强调文字颜色 2 2 3 3 5" xfId="28553"/>
    <cellStyle name="强调文字颜色 2 2 3 3 6" xfId="28554"/>
    <cellStyle name="强调文字颜色 2 2 3 3 6 2" xfId="28555"/>
    <cellStyle name="强调文字颜色 2 2 3 3 6 3" xfId="28482"/>
    <cellStyle name="强调文字颜色 2 2 3 3 7" xfId="28556"/>
    <cellStyle name="强调文字颜色 2 2 3 4" xfId="22554"/>
    <cellStyle name="强调文字颜色 2 2 3 4 2" xfId="28557"/>
    <cellStyle name="强调文字颜色 2 2 3 4 2 2" xfId="28558"/>
    <cellStyle name="强调文字颜色 2 2 3 4 2 2 2" xfId="28559"/>
    <cellStyle name="强调文字颜色 2 2 3 4 2 2 3" xfId="28560"/>
    <cellStyle name="强调文字颜色 2 2 3 4 2 3" xfId="15247"/>
    <cellStyle name="强调文字颜色 2 2 3 4 2 3 2" xfId="28561"/>
    <cellStyle name="强调文字颜色 2 2 3 4 2 3 3" xfId="28562"/>
    <cellStyle name="强调文字颜色 2 2 3 4 2 4" xfId="15249"/>
    <cellStyle name="强调文字颜色 2 2 3 4 2 5" xfId="15251"/>
    <cellStyle name="强调文字颜色 2 2 3 4 2 5 2" xfId="28563"/>
    <cellStyle name="强调文字颜色 2 2 3 4 2 5 3" xfId="28564"/>
    <cellStyle name="强调文字颜色 2 2 3 4 2 6" xfId="11077"/>
    <cellStyle name="强调文字颜色 2 2 3 4 3" xfId="28565"/>
    <cellStyle name="强调文字颜色 2 2 3 4 3 2" xfId="28566"/>
    <cellStyle name="强调文字颜色 2 2 3 4 3 3" xfId="28567"/>
    <cellStyle name="强调文字颜色 2 2 3 4 4" xfId="27721"/>
    <cellStyle name="强调文字颜色 2 2 3 4 4 2" xfId="28568"/>
    <cellStyle name="强调文字颜色 2 2 3 4 4 3" xfId="1968"/>
    <cellStyle name="强调文字颜色 2 2 3 4 5" xfId="27723"/>
    <cellStyle name="强调文字颜色 2 2 3 4 6" xfId="28569"/>
    <cellStyle name="强调文字颜色 2 2 3 4 6 2" xfId="28570"/>
    <cellStyle name="强调文字颜色 2 2 3 4 6 3" xfId="28540"/>
    <cellStyle name="强调文字颜色 2 2 3 4 7" xfId="28571"/>
    <cellStyle name="强调文字颜色 2 2 3 5" xfId="22556"/>
    <cellStyle name="强调文字颜色 2 2 3 5 2" xfId="28572"/>
    <cellStyle name="强调文字颜色 2 2 3 5 2 2" xfId="28573"/>
    <cellStyle name="强调文字颜色 2 2 3 5 2 3" xfId="15321"/>
    <cellStyle name="强调文字颜色 2 2 3 5 3" xfId="8304"/>
    <cellStyle name="强调文字颜色 2 2 3 5 3 2" xfId="8306"/>
    <cellStyle name="强调文字颜色 2 2 3 5 3 3" xfId="8341"/>
    <cellStyle name="强调文字颜色 2 2 3 5 4" xfId="8359"/>
    <cellStyle name="强调文字颜色 2 2 3 5 5" xfId="8361"/>
    <cellStyle name="强调文字颜色 2 2 3 5 5 2" xfId="8363"/>
    <cellStyle name="强调文字颜色 2 2 3 5 5 3" xfId="8378"/>
    <cellStyle name="强调文字颜色 2 2 3 5 6" xfId="8393"/>
    <cellStyle name="强调文字颜色 2 2 3 6" xfId="22558"/>
    <cellStyle name="强调文字颜色 2 2 3 6 2" xfId="28574"/>
    <cellStyle name="强调文字颜色 2 2 3 6 3" xfId="8405"/>
    <cellStyle name="强调文字颜色 2 2 3 7" xfId="22560"/>
    <cellStyle name="强调文字颜色 2 2 3 7 2" xfId="28575"/>
    <cellStyle name="强调文字颜色 2 2 3 7 3" xfId="8458"/>
    <cellStyle name="强调文字颜色 2 2 3 8" xfId="28576"/>
    <cellStyle name="强调文字颜色 2 2 3 9" xfId="2137"/>
    <cellStyle name="强调文字颜色 2 2 3 9 2" xfId="2147"/>
    <cellStyle name="强调文字颜色 2 2 3 9 3" xfId="2158"/>
    <cellStyle name="强调文字颜色 2 2 4" xfId="28577"/>
    <cellStyle name="强调文字颜色 2 2 4 10" xfId="24064"/>
    <cellStyle name="强调文字颜色 2 2 4 2" xfId="22562"/>
    <cellStyle name="强调文字颜色 2 2 4 2 2" xfId="8377"/>
    <cellStyle name="强调文字颜色 2 2 4 2 2 2" xfId="8381"/>
    <cellStyle name="强调文字颜色 2 2 4 2 2 2 2" xfId="28578"/>
    <cellStyle name="强调文字颜色 2 2 4 2 2 2 2 2" xfId="7304"/>
    <cellStyle name="强调文字颜色 2 2 4 2 2 2 2 3" xfId="8247"/>
    <cellStyle name="强调文字颜色 2 2 4 2 2 2 3" xfId="28579"/>
    <cellStyle name="强调文字颜色 2 2 4 2 2 2 3 2" xfId="3912"/>
    <cellStyle name="强调文字颜色 2 2 4 2 2 2 3 3" xfId="15520"/>
    <cellStyle name="强调文字颜色 2 2 4 2 2 2 4" xfId="28580"/>
    <cellStyle name="强调文字颜色 2 2 4 2 2 2 5" xfId="28581"/>
    <cellStyle name="强调文字颜色 2 2 4 2 2 2 5 2" xfId="13422"/>
    <cellStyle name="强调文字颜色 2 2 4 2 2 2 5 3" xfId="28582"/>
    <cellStyle name="强调文字颜色 2 2 4 2 2 2 6" xfId="28583"/>
    <cellStyle name="强调文字颜色 2 2 4 2 2 3" xfId="8386"/>
    <cellStyle name="强调文字颜色 2 2 4 2 2 3 2" xfId="28584"/>
    <cellStyle name="强调文字颜色 2 2 4 2 2 3 3" xfId="28585"/>
    <cellStyle name="强调文字颜色 2 2 4 2 2 4" xfId="8864"/>
    <cellStyle name="强调文字颜色 2 2 4 2 2 4 2" xfId="28586"/>
    <cellStyle name="强调文字颜色 2 2 4 2 2 4 3" xfId="28587"/>
    <cellStyle name="强调文字颜色 2 2 4 2 2 5" xfId="8869"/>
    <cellStyle name="强调文字颜色 2 2 4 2 2 6" xfId="9242"/>
    <cellStyle name="强调文字颜色 2 2 4 2 2 6 2" xfId="25320"/>
    <cellStyle name="强调文字颜色 2 2 4 2 2 6 3" xfId="28588"/>
    <cellStyle name="强调文字颜色 2 2 4 2 2 7" xfId="9247"/>
    <cellStyle name="强调文字颜色 2 2 4 2 3" xfId="8389"/>
    <cellStyle name="强调文字颜色 2 2 4 2 3 2" xfId="28589"/>
    <cellStyle name="强调文字颜色 2 2 4 2 3 2 2" xfId="22465"/>
    <cellStyle name="强调文字颜色 2 2 4 2 3 2 3" xfId="22467"/>
    <cellStyle name="强调文字颜色 2 2 4 2 3 3" xfId="28590"/>
    <cellStyle name="强调文字颜色 2 2 4 2 3 3 2" xfId="22476"/>
    <cellStyle name="强调文字颜色 2 2 4 2 3 3 3" xfId="22478"/>
    <cellStyle name="强调文字颜色 2 2 4 2 3 4" xfId="28591"/>
    <cellStyle name="强调文字颜色 2 2 4 2 3 5" xfId="28592"/>
    <cellStyle name="强调文字颜色 2 2 4 2 3 5 2" xfId="22499"/>
    <cellStyle name="强调文字颜色 2 2 4 2 3 5 3" xfId="22501"/>
    <cellStyle name="强调文字颜色 2 2 4 2 3 6" xfId="9209"/>
    <cellStyle name="强调文字颜色 2 2 4 2 4" xfId="24100"/>
    <cellStyle name="强调文字颜色 2 2 4 2 4 2" xfId="26978"/>
    <cellStyle name="强调文字颜色 2 2 4 2 4 3" xfId="28593"/>
    <cellStyle name="强调文字颜色 2 2 4 2 5" xfId="24102"/>
    <cellStyle name="强调文字颜色 2 2 4 2 5 2" xfId="26984"/>
    <cellStyle name="强调文字颜色 2 2 4 2 5 3" xfId="28594"/>
    <cellStyle name="强调文字颜色 2 2 4 2 6" xfId="28596"/>
    <cellStyle name="强调文字颜色 2 2 4 2 7" xfId="28597"/>
    <cellStyle name="强调文字颜色 2 2 4 2 7 2" xfId="28598"/>
    <cellStyle name="强调文字颜色 2 2 4 2 7 3" xfId="28600"/>
    <cellStyle name="强调文字颜色 2 2 4 2 8" xfId="28601"/>
    <cellStyle name="强调文字颜色 2 2 4 3" xfId="22564"/>
    <cellStyle name="强调文字颜色 2 2 4 3 2" xfId="6870"/>
    <cellStyle name="强调文字颜色 2 2 4 3 2 2" xfId="28602"/>
    <cellStyle name="强调文字颜色 2 2 4 3 2 2 2" xfId="10618"/>
    <cellStyle name="强调文字颜色 2 2 4 3 2 2 3" xfId="10626"/>
    <cellStyle name="强调文字颜色 2 2 4 3 2 3" xfId="15122"/>
    <cellStyle name="强调文字颜色 2 2 4 3 2 3 2" xfId="28603"/>
    <cellStyle name="强调文字颜色 2 2 4 3 2 3 3" xfId="28604"/>
    <cellStyle name="强调文字颜色 2 2 4 3 2 4" xfId="6251"/>
    <cellStyle name="强调文字颜色 2 2 4 3 2 5" xfId="6267"/>
    <cellStyle name="强调文字颜色 2 2 4 3 2 5 2" xfId="2014"/>
    <cellStyle name="强调文字颜色 2 2 4 3 2 5 3" xfId="28605"/>
    <cellStyle name="强调文字颜色 2 2 4 3 2 6" xfId="2292"/>
    <cellStyle name="强调文字颜色 2 2 4 3 3" xfId="24107"/>
    <cellStyle name="强调文字颜色 2 2 4 3 3 2" xfId="19809"/>
    <cellStyle name="强调文字颜色 2 2 4 3 3 3" xfId="21243"/>
    <cellStyle name="强调文字颜色 2 2 4 3 4" xfId="24109"/>
    <cellStyle name="强调文字颜色 2 2 4 3 4 2" xfId="26994"/>
    <cellStyle name="强调文字颜色 2 2 4 3 4 3" xfId="28606"/>
    <cellStyle name="强调文字颜色 2 2 4 3 5" xfId="24111"/>
    <cellStyle name="强调文字颜色 2 2 4 3 6" xfId="28607"/>
    <cellStyle name="强调文字颜色 2 2 4 3 6 2" xfId="28609"/>
    <cellStyle name="强调文字颜色 2 2 4 3 6 3" xfId="28611"/>
    <cellStyle name="强调文字颜色 2 2 4 3 7" xfId="28612"/>
    <cellStyle name="强调文字颜色 2 2 4 4" xfId="22567"/>
    <cellStyle name="强调文字颜色 2 2 4 4 2" xfId="8400"/>
    <cellStyle name="强调文字颜色 2 2 4 4 2 2" xfId="28613"/>
    <cellStyle name="强调文字颜色 2 2 4 4 2 2 2" xfId="23598"/>
    <cellStyle name="强调文字颜色 2 2 4 4 2 2 3" xfId="23600"/>
    <cellStyle name="强调文字颜色 2 2 4 4 2 3" xfId="16094"/>
    <cellStyle name="强调文字颜色 2 2 4 4 2 3 2" xfId="12217"/>
    <cellStyle name="强调文字颜色 2 2 4 4 2 3 3" xfId="12225"/>
    <cellStyle name="强调文字颜色 2 2 4 4 2 4" xfId="16096"/>
    <cellStyle name="强调文字颜色 2 2 4 4 2 5" xfId="16098"/>
    <cellStyle name="强调文字颜色 2 2 4 4 2 5 2" xfId="2799"/>
    <cellStyle name="强调文字颜色 2 2 4 4 2 5 3" xfId="28614"/>
    <cellStyle name="强调文字颜色 2 2 4 4 2 6" xfId="2383"/>
    <cellStyle name="强调文字颜色 2 2 4 4 3" xfId="24117"/>
    <cellStyle name="强调文字颜色 2 2 4 4 3 2" xfId="28615"/>
    <cellStyle name="强调文字颜色 2 2 4 4 3 3" xfId="28616"/>
    <cellStyle name="强调文字颜色 2 2 4 4 4" xfId="24119"/>
    <cellStyle name="强调文字颜色 2 2 4 4 4 2" xfId="27008"/>
    <cellStyle name="强调文字颜色 2 2 4 4 4 3" xfId="28617"/>
    <cellStyle name="强调文字颜色 2 2 4 4 5" xfId="28618"/>
    <cellStyle name="强调文字颜色 2 2 4 4 6" xfId="28619"/>
    <cellStyle name="强调文字颜色 2 2 4 4 6 2" xfId="28620"/>
    <cellStyle name="强调文字颜色 2 2 4 4 6 3" xfId="28621"/>
    <cellStyle name="强调文字颜色 2 2 4 4 7" xfId="28622"/>
    <cellStyle name="强调文字颜色 2 2 4 5" xfId="22570"/>
    <cellStyle name="强调文字颜色 2 2 4 5 2" xfId="28623"/>
    <cellStyle name="强调文字颜色 2 2 4 5 2 2" xfId="17788"/>
    <cellStyle name="强调文字颜色 2 2 4 5 2 3" xfId="16177"/>
    <cellStyle name="强调文字颜色 2 2 4 5 3" xfId="28625"/>
    <cellStyle name="强调文字颜色 2 2 4 5 3 2" xfId="28626"/>
    <cellStyle name="强调文字颜色 2 2 4 5 3 3" xfId="28627"/>
    <cellStyle name="强调文字颜色 2 2 4 5 4" xfId="28628"/>
    <cellStyle name="强调文字颜色 2 2 4 5 5" xfId="28629"/>
    <cellStyle name="强调文字颜色 2 2 4 5 5 2" xfId="20667"/>
    <cellStyle name="强调文字颜色 2 2 4 5 5 3" xfId="20669"/>
    <cellStyle name="强调文字颜色 2 2 4 5 6" xfId="28631"/>
    <cellStyle name="强调文字颜色 2 2 4 6" xfId="22572"/>
    <cellStyle name="强调文字颜色 2 2 4 6 2" xfId="28634"/>
    <cellStyle name="强调文字颜色 2 2 4 6 3" xfId="28636"/>
    <cellStyle name="强调文字颜色 2 2 4 7" xfId="22574"/>
    <cellStyle name="强调文字颜色 2 2 4 7 2" xfId="28638"/>
    <cellStyle name="强调文字颜色 2 2 4 7 3" xfId="28641"/>
    <cellStyle name="强调文字颜色 2 2 4 8" xfId="28642"/>
    <cellStyle name="强调文字颜色 2 2 4 9" xfId="2225"/>
    <cellStyle name="强调文字颜色 2 2 4 9 2" xfId="2235"/>
    <cellStyle name="强调文字颜色 2 2 4 9 3" xfId="2249"/>
    <cellStyle name="强调文字颜色 2 2 5" xfId="28643"/>
    <cellStyle name="强调文字颜色 2 2 5 2" xfId="28644"/>
    <cellStyle name="强调文字颜色 2 2 5 2 2" xfId="8428"/>
    <cellStyle name="强调文字颜色 2 2 5 2 2 2" xfId="8430"/>
    <cellStyle name="强调文字颜色 2 2 5 2 2 2 2" xfId="28645"/>
    <cellStyle name="强调文字颜色 2 2 5 2 2 2 3" xfId="28646"/>
    <cellStyle name="强调文字颜色 2 2 5 2 2 3" xfId="8435"/>
    <cellStyle name="强调文字颜色 2 2 5 2 2 3 2" xfId="28647"/>
    <cellStyle name="强调文字颜色 2 2 5 2 2 3 3" xfId="28648"/>
    <cellStyle name="强调文字颜色 2 2 5 2 2 4" xfId="8907"/>
    <cellStyle name="强调文字颜色 2 2 5 2 2 5" xfId="8911"/>
    <cellStyle name="强调文字颜色 2 2 5 2 2 5 2" xfId="14752"/>
    <cellStyle name="强调文字颜色 2 2 5 2 2 5 3" xfId="14767"/>
    <cellStyle name="强调文字颜色 2 2 5 2 2 6" xfId="3444"/>
    <cellStyle name="强调文字颜色 2 2 5 2 3" xfId="8439"/>
    <cellStyle name="强调文字颜色 2 2 5 2 3 2" xfId="28649"/>
    <cellStyle name="强调文字颜色 2 2 5 2 3 3" xfId="28650"/>
    <cellStyle name="强调文字颜色 2 2 5 2 4" xfId="28651"/>
    <cellStyle name="强调文字颜色 2 2 5 2 4 2" xfId="27023"/>
    <cellStyle name="强调文字颜色 2 2 5 2 4 3" xfId="28653"/>
    <cellStyle name="强调文字颜色 2 2 5 2 5" xfId="28654"/>
    <cellStyle name="强调文字颜色 2 2 5 2 6" xfId="28656"/>
    <cellStyle name="强调文字颜色 2 2 5 2 6 2" xfId="28657"/>
    <cellStyle name="强调文字颜色 2 2 5 2 6 3" xfId="28659"/>
    <cellStyle name="强调文字颜色 2 2 5 2 7" xfId="28660"/>
    <cellStyle name="强调文字颜色 2 2 5 3" xfId="1603"/>
    <cellStyle name="强调文字颜色 2 2 5 3 2" xfId="6981"/>
    <cellStyle name="强调文字颜色 2 2 5 3 2 2" xfId="28661"/>
    <cellStyle name="强调文字颜色 2 2 5 3 2 3" xfId="5625"/>
    <cellStyle name="强调文字颜色 2 2 5 3 3" xfId="28662"/>
    <cellStyle name="强调文字颜色 2 2 5 3 3 2" xfId="28663"/>
    <cellStyle name="强调文字颜色 2 2 5 3 3 3" xfId="28664"/>
    <cellStyle name="强调文字颜色 2 2 5 3 4" xfId="28665"/>
    <cellStyle name="强调文字颜色 2 2 5 3 5" xfId="28666"/>
    <cellStyle name="强调文字颜色 2 2 5 3 5 2" xfId="27036"/>
    <cellStyle name="强调文字颜色 2 2 5 3 5 3" xfId="28667"/>
    <cellStyle name="强调文字颜色 2 2 5 3 6" xfId="28668"/>
    <cellStyle name="强调文字颜色 2 2 5 4" xfId="159"/>
    <cellStyle name="强调文字颜色 2 2 5 4 2" xfId="8446"/>
    <cellStyle name="强调文字颜色 2 2 5 4 3" xfId="11300"/>
    <cellStyle name="强调文字颜色 2 2 5 5" xfId="11306"/>
    <cellStyle name="强调文字颜色 2 2 5 5 2" xfId="28669"/>
    <cellStyle name="强调文字颜色 2 2 5 5 3" xfId="28672"/>
    <cellStyle name="强调文字颜色 2 2 5 6" xfId="2668"/>
    <cellStyle name="强调文字颜色 2 2 5 7" xfId="2734"/>
    <cellStyle name="强调文字颜色 2 2 5 7 2" xfId="28674"/>
    <cellStyle name="强调文字颜色 2 2 5 7 3" xfId="28678"/>
    <cellStyle name="强调文字颜色 2 2 5 8" xfId="28680"/>
    <cellStyle name="强调文字颜色 2 2 6" xfId="27207"/>
    <cellStyle name="强调文字颜色 2 2 6 2" xfId="6352"/>
    <cellStyle name="强调文字颜色 2 2 6 2 2" xfId="8500"/>
    <cellStyle name="强调文字颜色 2 2 6 2 2 2" xfId="8008"/>
    <cellStyle name="强调文字颜色 2 2 6 2 2 3" xfId="8502"/>
    <cellStyle name="强调文字颜色 2 2 6 2 3" xfId="8505"/>
    <cellStyle name="强调文字颜色 2 2 6 2 3 2" xfId="8999"/>
    <cellStyle name="强调文字颜色 2 2 6 2 3 3" xfId="9004"/>
    <cellStyle name="强调文字颜色 2 2 6 2 4" xfId="9008"/>
    <cellStyle name="强调文字颜色 2 2 6 2 5" xfId="28681"/>
    <cellStyle name="强调文字颜色 2 2 6 2 5 2" xfId="27060"/>
    <cellStyle name="强调文字颜色 2 2 6 2 5 3" xfId="28683"/>
    <cellStyle name="强调文字颜色 2 2 6 2 6" xfId="5634"/>
    <cellStyle name="强调文字颜色 2 2 6 3" xfId="17026"/>
    <cellStyle name="强调文字颜色 2 2 6 3 2" xfId="8524"/>
    <cellStyle name="强调文字颜色 2 2 6 3 3" xfId="9014"/>
    <cellStyle name="强调文字颜色 2 2 6 4" xfId="11309"/>
    <cellStyle name="强调文字颜色 2 2 6 4 2" xfId="8535"/>
    <cellStyle name="强调文字颜色 2 2 6 4 3" xfId="28684"/>
    <cellStyle name="强调文字颜色 2 2 6 5" xfId="11311"/>
    <cellStyle name="强调文字颜色 2 2 6 6" xfId="28685"/>
    <cellStyle name="强调文字颜色 2 2 6 6 2" xfId="28686"/>
    <cellStyle name="强调文字颜色 2 2 6 6 3" xfId="9748"/>
    <cellStyle name="强调文字颜色 2 2 6 7" xfId="28687"/>
    <cellStyle name="强调文字颜色 2 2 7" xfId="27209"/>
    <cellStyle name="强调文字颜色 2 2 7 2" xfId="28688"/>
    <cellStyle name="强调文字颜色 2 2 7 2 2" xfId="8579"/>
    <cellStyle name="强调文字颜色 2 2 7 2 2 2" xfId="25066"/>
    <cellStyle name="强调文字颜色 2 2 7 2 2 3" xfId="17935"/>
    <cellStyle name="强调文字颜色 2 2 7 2 3" xfId="9031"/>
    <cellStyle name="强调文字颜色 2 2 7 2 3 2" xfId="28689"/>
    <cellStyle name="强调文字颜色 2 2 7 2 3 3" xfId="28690"/>
    <cellStyle name="强调文字颜色 2 2 7 2 4" xfId="9034"/>
    <cellStyle name="强调文字颜色 2 2 7 2 5" xfId="28691"/>
    <cellStyle name="强调文字颜色 2 2 7 2 5 2" xfId="28693"/>
    <cellStyle name="强调文字颜色 2 2 7 2 5 3" xfId="28694"/>
    <cellStyle name="强调文字颜色 2 2 7 2 6" xfId="28695"/>
    <cellStyle name="强调文字颜色 2 2 7 3" xfId="28696"/>
    <cellStyle name="强调文字颜色 2 2 7 3 2" xfId="28698"/>
    <cellStyle name="强调文字颜色 2 2 7 3 3" xfId="28700"/>
    <cellStyle name="强调文字颜色 2 2 7 4" xfId="28701"/>
    <cellStyle name="强调文字颜色 2 2 7 4 2" xfId="28703"/>
    <cellStyle name="强调文字颜色 2 2 7 4 3" xfId="9396"/>
    <cellStyle name="强调文字颜色 2 2 7 5" xfId="28705"/>
    <cellStyle name="强调文字颜色 2 2 7 6" xfId="28706"/>
    <cellStyle name="强调文字颜色 2 2 7 6 2" xfId="28707"/>
    <cellStyle name="强调文字颜色 2 2 7 6 3" xfId="9775"/>
    <cellStyle name="强调文字颜色 2 2 7 7" xfId="26711"/>
    <cellStyle name="强调文字颜色 2 2 8" xfId="28710"/>
    <cellStyle name="强调文字颜色 2 2 8 2" xfId="28711"/>
    <cellStyle name="强调文字颜色 2 2 8 2 2" xfId="28712"/>
    <cellStyle name="强调文字颜色 2 2 8 2 3" xfId="28713"/>
    <cellStyle name="强调文字颜色 2 2 8 3" xfId="28714"/>
    <cellStyle name="强调文字颜色 2 2 8 3 2" xfId="28715"/>
    <cellStyle name="强调文字颜色 2 2 8 3 3" xfId="28716"/>
    <cellStyle name="强调文字颜色 2 2 8 4" xfId="28717"/>
    <cellStyle name="强调文字颜色 2 2 8 5" xfId="28718"/>
    <cellStyle name="强调文字颜色 2 2 8 5 2" xfId="28719"/>
    <cellStyle name="强调文字颜色 2 2 8 5 3" xfId="28721"/>
    <cellStyle name="强调文字颜色 2 2 8 6" xfId="28723"/>
    <cellStyle name="强调文字颜色 2 2 9" xfId="28724"/>
    <cellStyle name="强调文字颜色 2 2 9 2" xfId="28725"/>
    <cellStyle name="强调文字颜色 2 2 9 2 2" xfId="28726"/>
    <cellStyle name="强调文字颜色 2 2 9 2 3" xfId="28728"/>
    <cellStyle name="强调文字颜色 2 2 9 3" xfId="28729"/>
    <cellStyle name="强调文字颜色 2 2 9 4" xfId="28730"/>
    <cellStyle name="强调文字颜色 2 2 9 4 2" xfId="28731"/>
    <cellStyle name="强调文字颜色 2 2 9 4 3" xfId="28732"/>
    <cellStyle name="强调文字颜色 2 2 9 5" xfId="28733"/>
    <cellStyle name="强调文字颜色 3 2" xfId="28734"/>
    <cellStyle name="强调文字颜色 3 2 10" xfId="18509"/>
    <cellStyle name="强调文字颜色 3 2 10 2" xfId="28736"/>
    <cellStyle name="强调文字颜色 3 2 10 3" xfId="28737"/>
    <cellStyle name="强调文字颜色 3 2 11" xfId="18515"/>
    <cellStyle name="强调文字颜色 3 2 12" xfId="18521"/>
    <cellStyle name="强调文字颜色 3 2 12 2" xfId="28738"/>
    <cellStyle name="强调文字颜色 3 2 12 3" xfId="28739"/>
    <cellStyle name="强调文字颜色 3 2 13" xfId="28740"/>
    <cellStyle name="强调文字颜色 3 2 2" xfId="22491"/>
    <cellStyle name="强调文字颜色 3 2 2 10" xfId="28741"/>
    <cellStyle name="强调文字颜色 3 2 2 2" xfId="22731"/>
    <cellStyle name="强调文字颜色 3 2 2 2 2" xfId="28743"/>
    <cellStyle name="强调文字颜色 3 2 2 2 2 2" xfId="28744"/>
    <cellStyle name="强调文字颜色 3 2 2 2 2 2 2" xfId="28745"/>
    <cellStyle name="强调文字颜色 3 2 2 2 2 2 2 2" xfId="28746"/>
    <cellStyle name="强调文字颜色 3 2 2 2 2 2 2 3" xfId="28747"/>
    <cellStyle name="强调文字颜色 3 2 2 2 2 2 3" xfId="28748"/>
    <cellStyle name="强调文字颜色 3 2 2 2 2 2 3 2" xfId="15544"/>
    <cellStyle name="强调文字颜色 3 2 2 2 2 2 3 3" xfId="15546"/>
    <cellStyle name="强调文字颜色 3 2 2 2 2 2 4" xfId="28749"/>
    <cellStyle name="强调文字颜色 3 2 2 2 2 2 5" xfId="28750"/>
    <cellStyle name="强调文字颜色 3 2 2 2 2 2 5 2" xfId="22533"/>
    <cellStyle name="强调文字颜色 3 2 2 2 2 2 5 3" xfId="337"/>
    <cellStyle name="强调文字颜色 3 2 2 2 2 2 6" xfId="28751"/>
    <cellStyle name="强调文字颜色 3 2 2 2 2 3" xfId="28752"/>
    <cellStyle name="强调文字颜色 3 2 2 2 2 3 2" xfId="28753"/>
    <cellStyle name="强调文字颜色 3 2 2 2 2 3 3" xfId="28754"/>
    <cellStyle name="强调文字颜色 3 2 2 2 2 4" xfId="28755"/>
    <cellStyle name="强调文字颜色 3 2 2 2 2 4 2" xfId="28756"/>
    <cellStyle name="强调文字颜色 3 2 2 2 2 4 3" xfId="28757"/>
    <cellStyle name="强调文字颜色 3 2 2 2 2 5" xfId="28758"/>
    <cellStyle name="强调文字颜色 3 2 2 2 2 6" xfId="9361"/>
    <cellStyle name="强调文字颜色 3 2 2 2 2 6 2" xfId="27823"/>
    <cellStyle name="强调文字颜色 3 2 2 2 2 6 3" xfId="27830"/>
    <cellStyle name="强调文字颜色 3 2 2 2 2 7" xfId="9371"/>
    <cellStyle name="强调文字颜色 3 2 2 2 3" xfId="26933"/>
    <cellStyle name="强调文字颜色 3 2 2 2 3 2" xfId="26935"/>
    <cellStyle name="强调文字颜色 3 2 2 2 3 2 2" xfId="28759"/>
    <cellStyle name="强调文字颜色 3 2 2 2 3 2 3" xfId="28760"/>
    <cellStyle name="强调文字颜色 3 2 2 2 3 3" xfId="26937"/>
    <cellStyle name="强调文字颜色 3 2 2 2 3 3 2" xfId="26939"/>
    <cellStyle name="强调文字颜色 3 2 2 2 3 3 3" xfId="28761"/>
    <cellStyle name="强调文字颜色 3 2 2 2 3 4" xfId="28762"/>
    <cellStyle name="强调文字颜色 3 2 2 2 3 5" xfId="28763"/>
    <cellStyle name="强调文字颜色 3 2 2 2 3 5 2" xfId="28764"/>
    <cellStyle name="强调文字颜色 3 2 2 2 3 5 3" xfId="28765"/>
    <cellStyle name="强调文字颜色 3 2 2 2 3 6" xfId="28766"/>
    <cellStyle name="强调文字颜色 3 2 2 2 4" xfId="26941"/>
    <cellStyle name="强调文字颜色 3 2 2 2 4 2" xfId="28768"/>
    <cellStyle name="强调文字颜色 3 2 2 2 4 3" xfId="28769"/>
    <cellStyle name="强调文字颜色 3 2 2 2 5" xfId="26943"/>
    <cellStyle name="强调文字颜色 3 2 2 2 5 2" xfId="28770"/>
    <cellStyle name="强调文字颜色 3 2 2 2 5 3" xfId="28771"/>
    <cellStyle name="强调文字颜色 3 2 2 2 6" xfId="28772"/>
    <cellStyle name="强调文字颜色 3 2 2 2 7" xfId="28773"/>
    <cellStyle name="强调文字颜色 3 2 2 2 7 2" xfId="28774"/>
    <cellStyle name="强调文字颜色 3 2 2 2 7 3" xfId="28775"/>
    <cellStyle name="强调文字颜色 3 2 2 2 8" xfId="26531"/>
    <cellStyle name="强调文字颜色 3 2 2 3" xfId="22733"/>
    <cellStyle name="强调文字颜色 3 2 2 3 2" xfId="28776"/>
    <cellStyle name="强调文字颜色 3 2 2 3 2 2" xfId="28777"/>
    <cellStyle name="强调文字颜色 3 2 2 3 2 2 2" xfId="28778"/>
    <cellStyle name="强调文字颜色 3 2 2 3 2 2 3" xfId="28779"/>
    <cellStyle name="强调文字颜色 3 2 2 3 2 3" xfId="28780"/>
    <cellStyle name="强调文字颜色 3 2 2 3 2 3 2" xfId="28781"/>
    <cellStyle name="强调文字颜色 3 2 2 3 2 3 3" xfId="28782"/>
    <cellStyle name="强调文字颜色 3 2 2 3 2 4" xfId="28783"/>
    <cellStyle name="强调文字颜色 3 2 2 3 2 5" xfId="28784"/>
    <cellStyle name="强调文字颜色 3 2 2 3 2 5 2" xfId="28785"/>
    <cellStyle name="强调文字颜色 3 2 2 3 2 5 3" xfId="28786"/>
    <cellStyle name="强调文字颜色 3 2 2 3 2 6" xfId="10438"/>
    <cellStyle name="强调文字颜色 3 2 2 3 3" xfId="28787"/>
    <cellStyle name="强调文字颜色 3 2 2 3 3 2" xfId="28788"/>
    <cellStyle name="强调文字颜色 3 2 2 3 3 3" xfId="28789"/>
    <cellStyle name="强调文字颜色 3 2 2 3 4" xfId="28790"/>
    <cellStyle name="强调文字颜色 3 2 2 3 4 2" xfId="28791"/>
    <cellStyle name="强调文字颜色 3 2 2 3 4 3" xfId="28792"/>
    <cellStyle name="强调文字颜色 3 2 2 3 5" xfId="28793"/>
    <cellStyle name="强调文字颜色 3 2 2 3 6" xfId="28794"/>
    <cellStyle name="强调文字颜色 3 2 2 3 6 2" xfId="28795"/>
    <cellStyle name="强调文字颜色 3 2 2 3 6 3" xfId="28796"/>
    <cellStyle name="强调文字颜色 3 2 2 3 7" xfId="28797"/>
    <cellStyle name="强调文字颜色 3 2 2 4" xfId="22735"/>
    <cellStyle name="强调文字颜色 3 2 2 4 2" xfId="28798"/>
    <cellStyle name="强调文字颜色 3 2 2 4 2 2" xfId="21955"/>
    <cellStyle name="强调文字颜色 3 2 2 4 2 2 2" xfId="23643"/>
    <cellStyle name="强调文字颜色 3 2 2 4 2 2 3" xfId="23645"/>
    <cellStyle name="强调文字颜色 3 2 2 4 2 3" xfId="21957"/>
    <cellStyle name="强调文字颜色 3 2 2 4 2 3 2" xfId="23653"/>
    <cellStyle name="强调文字颜色 3 2 2 4 2 3 3" xfId="23655"/>
    <cellStyle name="强调文字颜色 3 2 2 4 2 4" xfId="5478"/>
    <cellStyle name="强调文字颜色 3 2 2 4 2 5" xfId="5484"/>
    <cellStyle name="强调文字颜色 3 2 2 4 2 5 2" xfId="23669"/>
    <cellStyle name="强调文字颜色 3 2 2 4 2 5 3" xfId="23671"/>
    <cellStyle name="强调文字颜色 3 2 2 4 2 6" xfId="10589"/>
    <cellStyle name="强调文字颜色 3 2 2 4 3" xfId="23870"/>
    <cellStyle name="强调文字颜色 3 2 2 4 3 2" xfId="28799"/>
    <cellStyle name="强调文字颜色 3 2 2 4 3 3" xfId="28800"/>
    <cellStyle name="强调文字颜色 3 2 2 4 4" xfId="23872"/>
    <cellStyle name="强调文字颜色 3 2 2 4 4 2" xfId="28801"/>
    <cellStyle name="强调文字颜色 3 2 2 4 4 3" xfId="28802"/>
    <cellStyle name="强调文字颜色 3 2 2 4 5" xfId="23874"/>
    <cellStyle name="强调文字颜色 3 2 2 4 6" xfId="23876"/>
    <cellStyle name="强调文字颜色 3 2 2 4 6 2" xfId="22277"/>
    <cellStyle name="强调文字颜色 3 2 2 4 6 3" xfId="22285"/>
    <cellStyle name="强调文字颜色 3 2 2 4 7" xfId="23878"/>
    <cellStyle name="强调文字颜色 3 2 2 5" xfId="22737"/>
    <cellStyle name="强调文字颜色 3 2 2 5 2" xfId="28803"/>
    <cellStyle name="强调文字颜色 3 2 2 5 2 2" xfId="28804"/>
    <cellStyle name="强调文字颜色 3 2 2 5 2 3" xfId="28805"/>
    <cellStyle name="强调文字颜色 3 2 2 5 3" xfId="23883"/>
    <cellStyle name="强调文字颜色 3 2 2 5 3 2" xfId="28806"/>
    <cellStyle name="强调文字颜色 3 2 2 5 3 3" xfId="28807"/>
    <cellStyle name="强调文字颜色 3 2 2 5 4" xfId="23885"/>
    <cellStyle name="强调文字颜色 3 2 2 5 5" xfId="23887"/>
    <cellStyle name="强调文字颜色 3 2 2 5 5 2" xfId="28808"/>
    <cellStyle name="强调文字颜色 3 2 2 5 5 3" xfId="28809"/>
    <cellStyle name="强调文字颜色 3 2 2 5 6" xfId="23889"/>
    <cellStyle name="强调文字颜色 3 2 2 6" xfId="22739"/>
    <cellStyle name="强调文字颜色 3 2 2 6 2" xfId="28810"/>
    <cellStyle name="强调文字颜色 3 2 2 6 3" xfId="23895"/>
    <cellStyle name="强调文字颜色 3 2 2 7" xfId="22741"/>
    <cellStyle name="强调文字颜色 3 2 2 7 2" xfId="28811"/>
    <cellStyle name="强调文字颜色 3 2 2 7 3" xfId="28812"/>
    <cellStyle name="强调文字颜色 3 2 2 8" xfId="28813"/>
    <cellStyle name="强调文字颜色 3 2 2 9" xfId="28814"/>
    <cellStyle name="强调文字颜色 3 2 2 9 2" xfId="28815"/>
    <cellStyle name="强调文字颜色 3 2 2 9 3" xfId="24978"/>
    <cellStyle name="强调文字颜色 3 2 3" xfId="22494"/>
    <cellStyle name="强调文字颜色 3 2 3 10" xfId="79"/>
    <cellStyle name="强调文字颜色 3 2 3 2" xfId="22746"/>
    <cellStyle name="强调文字颜色 3 2 3 2 2" xfId="28816"/>
    <cellStyle name="强调文字颜色 3 2 3 2 2 2" xfId="28817"/>
    <cellStyle name="强调文字颜色 3 2 3 2 2 2 2" xfId="21003"/>
    <cellStyle name="强调文字颜色 3 2 3 2 2 2 2 2" xfId="16212"/>
    <cellStyle name="强调文字颜色 3 2 3 2 2 2 2 3" xfId="16225"/>
    <cellStyle name="强调文字颜色 3 2 3 2 2 2 3" xfId="9621"/>
    <cellStyle name="强调文字颜色 3 2 3 2 2 2 3 2" xfId="9625"/>
    <cellStyle name="强调文字颜色 3 2 3 2 2 2 3 3" xfId="9630"/>
    <cellStyle name="强调文字颜色 3 2 3 2 2 2 4" xfId="9636"/>
    <cellStyle name="强调文字颜色 3 2 3 2 2 2 5" xfId="3075"/>
    <cellStyle name="强调文字颜色 3 2 3 2 2 2 5 2" xfId="27004"/>
    <cellStyle name="强调文字颜色 3 2 3 2 2 2 5 3" xfId="27012"/>
    <cellStyle name="强调文字颜色 3 2 3 2 2 2 6" xfId="268"/>
    <cellStyle name="强调文字颜色 3 2 3 2 2 3" xfId="28819"/>
    <cellStyle name="强调文字颜色 3 2 3 2 2 3 2" xfId="21009"/>
    <cellStyle name="强调文字颜色 3 2 3 2 2 3 3" xfId="9644"/>
    <cellStyle name="强调文字颜色 3 2 3 2 2 4" xfId="28820"/>
    <cellStyle name="强调文字颜色 3 2 3 2 2 4 2" xfId="28821"/>
    <cellStyle name="强调文字颜色 3 2 3 2 2 4 3" xfId="28823"/>
    <cellStyle name="强调文字颜色 3 2 3 2 2 5" xfId="28826"/>
    <cellStyle name="强调文字颜色 3 2 3 2 2 6" xfId="9414"/>
    <cellStyle name="强调文字颜色 3 2 3 2 2 6 2" xfId="28827"/>
    <cellStyle name="强调文字颜色 3 2 3 2 2 6 3" xfId="28829"/>
    <cellStyle name="强调文字颜色 3 2 3 2 2 7" xfId="9424"/>
    <cellStyle name="强调文字颜色 3 2 3 2 3" xfId="10069"/>
    <cellStyle name="强调文字颜色 3 2 3 2 3 2" xfId="28832"/>
    <cellStyle name="强调文字颜色 3 2 3 2 3 2 2" xfId="7946"/>
    <cellStyle name="强调文字颜色 3 2 3 2 3 2 3" xfId="9659"/>
    <cellStyle name="强调文字颜色 3 2 3 2 3 3" xfId="28834"/>
    <cellStyle name="强调文字颜色 3 2 3 2 3 3 2" xfId="28836"/>
    <cellStyle name="强调文字颜色 3 2 3 2 3 3 3" xfId="28838"/>
    <cellStyle name="强调文字颜色 3 2 3 2 3 4" xfId="28841"/>
    <cellStyle name="强调文字颜色 3 2 3 2 3 5" xfId="28843"/>
    <cellStyle name="强调文字颜色 3 2 3 2 3 5 2" xfId="28846"/>
    <cellStyle name="强调文字颜色 3 2 3 2 3 5 3" xfId="28847"/>
    <cellStyle name="强调文字颜色 3 2 3 2 3 6" xfId="28849"/>
    <cellStyle name="强调文字颜色 3 2 3 2 4" xfId="18819"/>
    <cellStyle name="强调文字颜色 3 2 3 2 4 2" xfId="19527"/>
    <cellStyle name="强调文字颜色 3 2 3 2 4 3" xfId="19536"/>
    <cellStyle name="强调文字颜色 3 2 3 2 5" xfId="18822"/>
    <cellStyle name="强调文字颜色 3 2 3 2 5 2" xfId="28852"/>
    <cellStyle name="强调文字颜色 3 2 3 2 5 3" xfId="28854"/>
    <cellStyle name="强调文字颜色 3 2 3 2 6" xfId="18824"/>
    <cellStyle name="强调文字颜色 3 2 3 2 7" xfId="18826"/>
    <cellStyle name="强调文字颜色 3 2 3 2 7 2" xfId="28856"/>
    <cellStyle name="强调文字颜色 3 2 3 2 7 3" xfId="7528"/>
    <cellStyle name="强调文字颜色 3 2 3 2 8" xfId="3857"/>
    <cellStyle name="强调文字颜色 3 2 3 3" xfId="22749"/>
    <cellStyle name="强调文字颜色 3 2 3 3 2" xfId="24021"/>
    <cellStyle name="强调文字颜色 3 2 3 3 2 2" xfId="28858"/>
    <cellStyle name="强调文字颜色 3 2 3 3 2 2 2" xfId="28859"/>
    <cellStyle name="强调文字颜色 3 2 3 3 2 2 3" xfId="2146"/>
    <cellStyle name="强调文字颜色 3 2 3 3 2 3" xfId="28860"/>
    <cellStyle name="强调文字颜色 3 2 3 3 2 3 2" xfId="28861"/>
    <cellStyle name="强调文字颜色 3 2 3 3 2 3 3" xfId="9734"/>
    <cellStyle name="强调文字颜色 3 2 3 3 2 4" xfId="28863"/>
    <cellStyle name="强调文字颜色 3 2 3 3 2 5" xfId="28864"/>
    <cellStyle name="强调文字颜色 3 2 3 3 2 5 2" xfId="28866"/>
    <cellStyle name="强调文字颜色 3 2 3 3 2 5 3" xfId="28867"/>
    <cellStyle name="强调文字颜色 3 2 3 3 2 6" xfId="28869"/>
    <cellStyle name="强调文字颜色 3 2 3 3 3" xfId="24023"/>
    <cellStyle name="强调文字颜色 3 2 3 3 3 2" xfId="28872"/>
    <cellStyle name="强调文字颜色 3 2 3 3 3 3" xfId="28874"/>
    <cellStyle name="强调文字颜色 3 2 3 3 4" xfId="24025"/>
    <cellStyle name="强调文字颜色 3 2 3 3 4 2" xfId="28876"/>
    <cellStyle name="强调文字颜色 3 2 3 3 4 3" xfId="28878"/>
    <cellStyle name="强调文字颜色 3 2 3 3 5" xfId="24027"/>
    <cellStyle name="强调文字颜色 3 2 3 3 6" xfId="28880"/>
    <cellStyle name="强调文字颜色 3 2 3 3 6 2" xfId="28881"/>
    <cellStyle name="强调文字颜色 3 2 3 3 6 3" xfId="28883"/>
    <cellStyle name="强调文字颜色 3 2 3 3 7" xfId="28885"/>
    <cellStyle name="强调文字颜色 3 2 3 4" xfId="22751"/>
    <cellStyle name="强调文字颜色 3 2 3 4 2" xfId="28886"/>
    <cellStyle name="强调文字颜色 3 2 3 4 2 2" xfId="28887"/>
    <cellStyle name="强调文字颜色 3 2 3 4 2 2 2" xfId="23925"/>
    <cellStyle name="强调文字颜色 3 2 3 4 2 2 3" xfId="2504"/>
    <cellStyle name="强调文字颜色 3 2 3 4 2 3" xfId="28888"/>
    <cellStyle name="强调文字颜色 3 2 3 4 2 3 2" xfId="23930"/>
    <cellStyle name="强调文字颜色 3 2 3 4 2 3 3" xfId="9811"/>
    <cellStyle name="强调文字颜色 3 2 3 4 2 4" xfId="28889"/>
    <cellStyle name="强调文字颜色 3 2 3 4 2 5" xfId="28890"/>
    <cellStyle name="强调文字颜色 3 2 3 4 2 5 2" xfId="23946"/>
    <cellStyle name="强调文字颜色 3 2 3 4 2 5 3" xfId="23948"/>
    <cellStyle name="强调文字颜色 3 2 3 4 2 6" xfId="10845"/>
    <cellStyle name="强调文字颜色 3 2 3 4 3" xfId="28891"/>
    <cellStyle name="强调文字颜色 3 2 3 4 3 2" xfId="28892"/>
    <cellStyle name="强调文字颜色 3 2 3 4 3 3" xfId="28894"/>
    <cellStyle name="强调文字颜色 3 2 3 4 4" xfId="28896"/>
    <cellStyle name="强调文字颜色 3 2 3 4 4 2" xfId="28897"/>
    <cellStyle name="强调文字颜色 3 2 3 4 4 3" xfId="28898"/>
    <cellStyle name="强调文字颜色 3 2 3 4 5" xfId="28899"/>
    <cellStyle name="强调文字颜色 3 2 3 4 6" xfId="28900"/>
    <cellStyle name="强调文字颜色 3 2 3 4 6 2" xfId="28901"/>
    <cellStyle name="强调文字颜色 3 2 3 4 6 3" xfId="28904"/>
    <cellStyle name="强调文字颜色 3 2 3 4 7" xfId="28906"/>
    <cellStyle name="强调文字颜色 3 2 3 5" xfId="22753"/>
    <cellStyle name="强调文字颜色 3 2 3 5 2" xfId="17374"/>
    <cellStyle name="强调文字颜色 3 2 3 5 2 2" xfId="28907"/>
    <cellStyle name="强调文字颜色 3 2 3 5 2 3" xfId="28908"/>
    <cellStyle name="强调文字颜色 3 2 3 5 3" xfId="28909"/>
    <cellStyle name="强调文字颜色 3 2 3 5 3 2" xfId="28910"/>
    <cellStyle name="强调文字颜色 3 2 3 5 3 3" xfId="28912"/>
    <cellStyle name="强调文字颜色 3 2 3 5 4" xfId="28914"/>
    <cellStyle name="强调文字颜色 3 2 3 5 5" xfId="28915"/>
    <cellStyle name="强调文字颜色 3 2 3 5 5 2" xfId="28916"/>
    <cellStyle name="强调文字颜色 3 2 3 5 5 3" xfId="28917"/>
    <cellStyle name="强调文字颜色 3 2 3 5 6" xfId="28918"/>
    <cellStyle name="强调文字颜色 3 2 3 6" xfId="22755"/>
    <cellStyle name="强调文字颜色 3 2 3 6 2" xfId="17387"/>
    <cellStyle name="强调文字颜色 3 2 3 6 3" xfId="28920"/>
    <cellStyle name="强调文字颜色 3 2 3 7" xfId="22757"/>
    <cellStyle name="强调文字颜色 3 2 3 7 2" xfId="28921"/>
    <cellStyle name="强调文字颜色 3 2 3 7 3" xfId="28923"/>
    <cellStyle name="强调文字颜色 3 2 3 8" xfId="28925"/>
    <cellStyle name="强调文字颜色 3 2 3 9" xfId="28926"/>
    <cellStyle name="强调文字颜色 3 2 3 9 2" xfId="28928"/>
    <cellStyle name="强调文字颜色 3 2 3 9 3" xfId="28930"/>
    <cellStyle name="强调文字颜色 3 2 4" xfId="28135"/>
    <cellStyle name="强调文字颜色 3 2 4 10" xfId="28931"/>
    <cellStyle name="强调文字颜色 3 2 4 2" xfId="22761"/>
    <cellStyle name="强调文字颜色 3 2 4 2 2" xfId="1390"/>
    <cellStyle name="强调文字颜色 3 2 4 2 2 2" xfId="8723"/>
    <cellStyle name="强调文字颜色 3 2 4 2 2 2 2" xfId="28933"/>
    <cellStyle name="强调文字颜色 3 2 4 2 2 2 2 2" xfId="28934"/>
    <cellStyle name="强调文字颜色 3 2 4 2 2 2 2 3" xfId="22699"/>
    <cellStyle name="强调文字颜色 3 2 4 2 2 2 3" xfId="28935"/>
    <cellStyle name="强调文字颜色 3 2 4 2 2 2 3 2" xfId="15436"/>
    <cellStyle name="强调文字颜色 3 2 4 2 2 2 3 3" xfId="15439"/>
    <cellStyle name="强调文字颜色 3 2 4 2 2 2 4" xfId="28936"/>
    <cellStyle name="强调文字颜色 3 2 4 2 2 2 5" xfId="28937"/>
    <cellStyle name="强调文字颜色 3 2 4 2 2 2 5 2" xfId="28938"/>
    <cellStyle name="强调文字颜色 3 2 4 2 2 2 5 3" xfId="22722"/>
    <cellStyle name="强调文字颜色 3 2 4 2 2 2 6" xfId="28939"/>
    <cellStyle name="强调文字颜色 3 2 4 2 2 3" xfId="8728"/>
    <cellStyle name="强调文字颜色 3 2 4 2 2 3 2" xfId="15847"/>
    <cellStyle name="强调文字颜色 3 2 4 2 2 3 3" xfId="15850"/>
    <cellStyle name="强调文字颜色 3 2 4 2 2 4" xfId="28940"/>
    <cellStyle name="强调文字颜色 3 2 4 2 2 4 2" xfId="15892"/>
    <cellStyle name="强调文字颜色 3 2 4 2 2 4 3" xfId="15898"/>
    <cellStyle name="强调文字颜色 3 2 4 2 2 5" xfId="25385"/>
    <cellStyle name="强调文字颜色 3 2 4 2 2 6" xfId="9493"/>
    <cellStyle name="强调文字颜色 3 2 4 2 2 6 2" xfId="15925"/>
    <cellStyle name="强调文字颜色 3 2 4 2 2 6 3" xfId="15929"/>
    <cellStyle name="强调文字颜色 3 2 4 2 2 7" xfId="3006"/>
    <cellStyle name="强调文字颜色 3 2 4 2 3" xfId="3706"/>
    <cellStyle name="强调文字颜色 3 2 4 2 3 2" xfId="28941"/>
    <cellStyle name="强调文字颜色 3 2 4 2 3 2 2" xfId="19474"/>
    <cellStyle name="强调文字颜色 3 2 4 2 3 2 3" xfId="19477"/>
    <cellStyle name="强调文字颜色 3 2 4 2 3 3" xfId="28942"/>
    <cellStyle name="强调文字颜色 3 2 4 2 3 3 2" xfId="9571"/>
    <cellStyle name="强调文字颜色 3 2 4 2 3 3 3" xfId="15992"/>
    <cellStyle name="强调文字颜色 3 2 4 2 3 4" xfId="28943"/>
    <cellStyle name="强调文字颜色 3 2 4 2 3 5" xfId="28944"/>
    <cellStyle name="强调文字颜色 3 2 4 2 3 5 2" xfId="16053"/>
    <cellStyle name="强调文字颜色 3 2 4 2 3 5 3" xfId="16055"/>
    <cellStyle name="强调文字颜色 3 2 4 2 3 6" xfId="28945"/>
    <cellStyle name="强调文字颜色 3 2 4 2 4" xfId="28947"/>
    <cellStyle name="强调文字颜色 3 2 4 2 4 2" xfId="28948"/>
    <cellStyle name="强调文字颜色 3 2 4 2 4 3" xfId="28949"/>
    <cellStyle name="强调文字颜色 3 2 4 2 5" xfId="28950"/>
    <cellStyle name="强调文字颜色 3 2 4 2 5 2" xfId="28951"/>
    <cellStyle name="强调文字颜色 3 2 4 2 5 3" xfId="28952"/>
    <cellStyle name="强调文字颜色 3 2 4 2 6" xfId="28953"/>
    <cellStyle name="强调文字颜色 3 2 4 2 7" xfId="28954"/>
    <cellStyle name="强调文字颜色 3 2 4 2 7 2" xfId="28955"/>
    <cellStyle name="强调文字颜色 3 2 4 2 7 3" xfId="28956"/>
    <cellStyle name="强调文字颜色 3 2 4 2 8" xfId="28957"/>
    <cellStyle name="强调文字颜色 3 2 4 3" xfId="3708"/>
    <cellStyle name="强调文字颜色 3 2 4 3 2" xfId="4693"/>
    <cellStyle name="强调文字颜色 3 2 4 3 2 2" xfId="28958"/>
    <cellStyle name="强调文字颜色 3 2 4 3 2 2 2" xfId="28960"/>
    <cellStyle name="强调文字颜色 3 2 4 3 2 2 3" xfId="28929"/>
    <cellStyle name="强调文字颜色 3 2 4 3 2 3" xfId="28961"/>
    <cellStyle name="强调文字颜色 3 2 4 3 2 3 2" xfId="16793"/>
    <cellStyle name="强调文字颜色 3 2 4 3 2 3 3" xfId="16807"/>
    <cellStyle name="强调文字颜色 3 2 4 3 2 4" xfId="28962"/>
    <cellStyle name="强调文字颜色 3 2 4 3 2 5" xfId="28963"/>
    <cellStyle name="强调文字颜色 3 2 4 3 2 5 2" xfId="3013"/>
    <cellStyle name="强调文字颜色 3 2 4 3 2 5 3" xfId="11013"/>
    <cellStyle name="强调文字颜色 3 2 4 3 2 6" xfId="28964"/>
    <cellStyle name="强调文字颜色 3 2 4 3 3" xfId="28965"/>
    <cellStyle name="强调文字颜色 3 2 4 3 3 2" xfId="28966"/>
    <cellStyle name="强调文字颜色 3 2 4 3 3 3" xfId="28967"/>
    <cellStyle name="强调文字颜色 3 2 4 3 4" xfId="28968"/>
    <cellStyle name="强调文字颜色 3 2 4 3 4 2" xfId="28969"/>
    <cellStyle name="强调文字颜色 3 2 4 3 4 3" xfId="28970"/>
    <cellStyle name="强调文字颜色 3 2 4 3 5" xfId="28971"/>
    <cellStyle name="强调文字颜色 3 2 4 3 6" xfId="28972"/>
    <cellStyle name="强调文字颜色 3 2 4 3 6 2" xfId="28973"/>
    <cellStyle name="强调文字颜色 3 2 4 3 6 3" xfId="28974"/>
    <cellStyle name="强调文字颜色 3 2 4 3 7" xfId="28975"/>
    <cellStyle name="强调文字颜色 3 2 4 4" xfId="11767"/>
    <cellStyle name="强调文字颜色 3 2 4 4 2" xfId="8741"/>
    <cellStyle name="强调文字颜色 3 2 4 4 2 2" xfId="28976"/>
    <cellStyle name="强调文字颜色 3 2 4 4 2 2 2" xfId="13454"/>
    <cellStyle name="强调文字颜色 3 2 4 4 2 2 3" xfId="13456"/>
    <cellStyle name="强调文字颜色 3 2 4 4 2 3" xfId="28977"/>
    <cellStyle name="强调文字颜色 3 2 4 4 2 3 2" xfId="13466"/>
    <cellStyle name="强调文字颜色 3 2 4 4 2 3 3" xfId="13469"/>
    <cellStyle name="强调文字颜色 3 2 4 4 2 4" xfId="28978"/>
    <cellStyle name="强调文字颜色 3 2 4 4 2 5" xfId="28979"/>
    <cellStyle name="强调文字颜色 3 2 4 4 2 5 2" xfId="11088"/>
    <cellStyle name="强调文字颜色 3 2 4 4 2 5 3" xfId="11096"/>
    <cellStyle name="强调文字颜色 3 2 4 4 2 6" xfId="26478"/>
    <cellStyle name="强调文字颜色 3 2 4 4 3" xfId="19917"/>
    <cellStyle name="强调文字颜色 3 2 4 4 3 2" xfId="28980"/>
    <cellStyle name="强调文字颜色 3 2 4 4 3 3" xfId="28981"/>
    <cellStyle name="强调文字颜色 3 2 4 4 4" xfId="19920"/>
    <cellStyle name="强调文字颜色 3 2 4 4 4 2" xfId="28982"/>
    <cellStyle name="强调文字颜色 3 2 4 4 4 3" xfId="28983"/>
    <cellStyle name="强调文字颜色 3 2 4 4 5" xfId="19923"/>
    <cellStyle name="强调文字颜色 3 2 4 4 6" xfId="19926"/>
    <cellStyle name="强调文字颜色 3 2 4 4 6 2" xfId="28984"/>
    <cellStyle name="强调文字颜色 3 2 4 4 6 3" xfId="28985"/>
    <cellStyle name="强调文字颜色 3 2 4 4 7" xfId="22802"/>
    <cellStyle name="强调文字颜色 3 2 4 5" xfId="22763"/>
    <cellStyle name="强调文字颜色 3 2 4 5 2" xfId="19930"/>
    <cellStyle name="强调文字颜色 3 2 4 5 2 2" xfId="28986"/>
    <cellStyle name="强调文字颜色 3 2 4 5 2 3" xfId="28987"/>
    <cellStyle name="强调文字颜色 3 2 4 5 3" xfId="19932"/>
    <cellStyle name="强调文字颜色 3 2 4 5 3 2" xfId="28988"/>
    <cellStyle name="强调文字颜色 3 2 4 5 3 3" xfId="28989"/>
    <cellStyle name="强调文字颜色 3 2 4 5 4" xfId="19935"/>
    <cellStyle name="强调文字颜色 3 2 4 5 5" xfId="19938"/>
    <cellStyle name="强调文字颜色 3 2 4 5 5 2" xfId="28990"/>
    <cellStyle name="强调文字颜色 3 2 4 5 5 3" xfId="28991"/>
    <cellStyle name="强调文字颜色 3 2 4 5 6" xfId="19941"/>
    <cellStyle name="强调文字颜色 3 2 4 6" xfId="3289"/>
    <cellStyle name="强调文字颜色 3 2 4 6 2" xfId="19946"/>
    <cellStyle name="强调文字颜色 3 2 4 6 3" xfId="19948"/>
    <cellStyle name="强调文字颜色 3 2 4 7" xfId="3346"/>
    <cellStyle name="强调文字颜色 3 2 4 7 2" xfId="19959"/>
    <cellStyle name="强调文字颜色 3 2 4 7 3" xfId="19961"/>
    <cellStyle name="强调文字颜色 3 2 4 8" xfId="28992"/>
    <cellStyle name="强调文字颜色 3 2 4 9" xfId="28993"/>
    <cellStyle name="强调文字颜色 3 2 4 9 2" xfId="19972"/>
    <cellStyle name="强调文字颜色 3 2 4 9 3" xfId="19975"/>
    <cellStyle name="强调文字颜色 3 2 5" xfId="28994"/>
    <cellStyle name="强调文字颜色 3 2 5 2" xfId="28995"/>
    <cellStyle name="强调文字颜色 3 2 5 2 2" xfId="8861"/>
    <cellStyle name="强调文字颜色 3 2 5 2 2 2" xfId="8866"/>
    <cellStyle name="强调文字颜色 3 2 5 2 2 2 2" xfId="28996"/>
    <cellStyle name="强调文字颜色 3 2 5 2 2 2 3" xfId="28997"/>
    <cellStyle name="强调文字颜色 3 2 5 2 2 3" xfId="8872"/>
    <cellStyle name="强调文字颜色 3 2 5 2 2 3 2" xfId="1577"/>
    <cellStyle name="强调文字颜色 3 2 5 2 2 3 3" xfId="4788"/>
    <cellStyle name="强调文字颜色 3 2 5 2 2 4" xfId="28998"/>
    <cellStyle name="强调文字颜色 3 2 5 2 2 5" xfId="28999"/>
    <cellStyle name="强调文字颜色 3 2 5 2 2 5 2" xfId="1328"/>
    <cellStyle name="强调文字颜色 3 2 5 2 2 5 3" xfId="5160"/>
    <cellStyle name="强调文字颜色 3 2 5 2 2 6" xfId="29001"/>
    <cellStyle name="强调文字颜色 3 2 5 2 3" xfId="8876"/>
    <cellStyle name="强调文字颜色 3 2 5 2 3 2" xfId="29004"/>
    <cellStyle name="强调文字颜色 3 2 5 2 3 3" xfId="29005"/>
    <cellStyle name="强调文字颜色 3 2 5 2 4" xfId="29007"/>
    <cellStyle name="强调文字颜色 3 2 5 2 4 2" xfId="785"/>
    <cellStyle name="强调文字颜色 3 2 5 2 4 3" xfId="25775"/>
    <cellStyle name="强调文字颜色 3 2 5 2 5" xfId="29009"/>
    <cellStyle name="强调文字颜色 3 2 5 2 6" xfId="29011"/>
    <cellStyle name="强调文字颜色 3 2 5 2 6 2" xfId="29012"/>
    <cellStyle name="强调文字颜色 3 2 5 2 6 3" xfId="29013"/>
    <cellStyle name="强调文字颜色 3 2 5 2 7" xfId="29015"/>
    <cellStyle name="强调文字颜色 3 2 5 3" xfId="29016"/>
    <cellStyle name="强调文字颜色 3 2 5 3 2" xfId="6240"/>
    <cellStyle name="强调文字颜色 3 2 5 3 2 2" xfId="6249"/>
    <cellStyle name="强调文字颜色 3 2 5 3 2 3" xfId="6265"/>
    <cellStyle name="强调文字颜色 3 2 5 3 3" xfId="6273"/>
    <cellStyle name="强调文字颜色 3 2 5 3 3 2" xfId="29017"/>
    <cellStyle name="强调文字颜色 3 2 5 3 3 3" xfId="29018"/>
    <cellStyle name="强调文字颜色 3 2 5 3 4" xfId="29020"/>
    <cellStyle name="强调文字颜色 3 2 5 3 5" xfId="29021"/>
    <cellStyle name="强调文字颜色 3 2 5 3 5 2" xfId="4209"/>
    <cellStyle name="强调文字颜色 3 2 5 3 5 3" xfId="29022"/>
    <cellStyle name="强调文字颜色 3 2 5 3 6" xfId="29024"/>
    <cellStyle name="强调文字颜色 3 2 5 4" xfId="11320"/>
    <cellStyle name="强调文字颜色 3 2 5 4 2" xfId="6361"/>
    <cellStyle name="强调文字颜色 3 2 5 4 3" xfId="29025"/>
    <cellStyle name="强调文字颜色 3 2 5 5" xfId="11323"/>
    <cellStyle name="强调文字颜色 3 2 5 5 2" xfId="6471"/>
    <cellStyle name="强调文字颜色 3 2 5 5 3" xfId="6498"/>
    <cellStyle name="强调文字颜色 3 2 5 6" xfId="29026"/>
    <cellStyle name="强调文字颜色 3 2 5 7" xfId="29027"/>
    <cellStyle name="强调文字颜色 3 2 5 7 2" xfId="6608"/>
    <cellStyle name="强调文字颜色 3 2 5 7 3" xfId="29028"/>
    <cellStyle name="强调文字颜色 3 2 5 8" xfId="29029"/>
    <cellStyle name="强调文字颜色 3 2 6" xfId="27215"/>
    <cellStyle name="强调文字颜色 3 2 6 2" xfId="29030"/>
    <cellStyle name="强调文字颜色 3 2 6 2 2" xfId="5753"/>
    <cellStyle name="强调文字颜色 3 2 6 2 2 2" xfId="8904"/>
    <cellStyle name="强调文字颜色 3 2 6 2 2 3" xfId="8909"/>
    <cellStyle name="强调文字颜色 3 2 6 2 3" xfId="8915"/>
    <cellStyle name="强调文字颜色 3 2 6 2 3 2" xfId="9110"/>
    <cellStyle name="强调文字颜色 3 2 6 2 3 3" xfId="9113"/>
    <cellStyle name="强调文字颜色 3 2 6 2 4" xfId="8019"/>
    <cellStyle name="强调文字颜色 3 2 6 2 5" xfId="29031"/>
    <cellStyle name="强调文字颜色 3 2 6 2 5 2" xfId="29033"/>
    <cellStyle name="强调文字颜色 3 2 6 2 5 3" xfId="25790"/>
    <cellStyle name="强调文字颜色 3 2 6 2 6" xfId="10598"/>
    <cellStyle name="强调文字颜色 3 2 6 3" xfId="29034"/>
    <cellStyle name="强调文字颜色 3 2 6 3 2" xfId="8931"/>
    <cellStyle name="强调文字颜色 3 2 6 3 3" xfId="9123"/>
    <cellStyle name="强调文字颜色 3 2 6 4" xfId="29036"/>
    <cellStyle name="强调文字颜色 3 2 6 4 2" xfId="8941"/>
    <cellStyle name="强调文字颜色 3 2 6 4 3" xfId="29038"/>
    <cellStyle name="强调文字颜色 3 2 6 5" xfId="29040"/>
    <cellStyle name="强调文字颜色 3 2 6 6" xfId="29042"/>
    <cellStyle name="强调文字颜色 3 2 6 6 2" xfId="29044"/>
    <cellStyle name="强调文字颜色 3 2 6 6 3" xfId="9827"/>
    <cellStyle name="强调文字颜色 3 2 6 7" xfId="29045"/>
    <cellStyle name="强调文字颜色 3 2 7" xfId="27217"/>
    <cellStyle name="强调文字颜色 3 2 7 2" xfId="26826"/>
    <cellStyle name="强调文字颜色 3 2 7 2 2" xfId="8970"/>
    <cellStyle name="强调文字颜色 3 2 7 2 2 2" xfId="25214"/>
    <cellStyle name="强调文字颜色 3 2 7 2 2 3" xfId="22497"/>
    <cellStyle name="强调文字颜色 3 2 7 2 3" xfId="9140"/>
    <cellStyle name="强调文字颜色 3 2 7 2 3 2" xfId="29047"/>
    <cellStyle name="强调文字颜色 3 2 7 2 3 3" xfId="29048"/>
    <cellStyle name="强调文字颜色 3 2 7 2 4" xfId="9144"/>
    <cellStyle name="强调文字颜色 3 2 7 2 5" xfId="29049"/>
    <cellStyle name="强调文字颜色 3 2 7 2 5 2" xfId="29051"/>
    <cellStyle name="强调文字颜色 3 2 7 2 5 3" xfId="29052"/>
    <cellStyle name="强调文字颜色 3 2 7 2 6" xfId="29053"/>
    <cellStyle name="强调文字颜色 3 2 7 3" xfId="25697"/>
    <cellStyle name="强调文字颜色 3 2 7 3 2" xfId="25700"/>
    <cellStyle name="强调文字颜色 3 2 7 3 3" xfId="25703"/>
    <cellStyle name="强调文字颜色 3 2 7 4" xfId="25706"/>
    <cellStyle name="强调文字颜色 3 2 7 4 2" xfId="25709"/>
    <cellStyle name="强调文字颜色 3 2 7 4 3" xfId="24010"/>
    <cellStyle name="强调文字颜色 3 2 7 5" xfId="25715"/>
    <cellStyle name="强调文字颜色 3 2 7 6" xfId="29055"/>
    <cellStyle name="强调文字颜色 3 2 7 6 2" xfId="29057"/>
    <cellStyle name="强调文字颜色 3 2 7 6 3" xfId="29059"/>
    <cellStyle name="强调文字颜色 3 2 7 7" xfId="26786"/>
    <cellStyle name="强调文字颜色 3 2 8" xfId="29061"/>
    <cellStyle name="强调文字颜色 3 2 8 2" xfId="29062"/>
    <cellStyle name="强调文字颜色 3 2 8 2 2" xfId="29063"/>
    <cellStyle name="强调文字颜色 3 2 8 2 3" xfId="29064"/>
    <cellStyle name="强调文字颜色 3 2 8 3" xfId="25718"/>
    <cellStyle name="强调文字颜色 3 2 8 3 2" xfId="25721"/>
    <cellStyle name="强调文字颜色 3 2 8 3 3" xfId="25724"/>
    <cellStyle name="强调文字颜色 3 2 8 4" xfId="25728"/>
    <cellStyle name="强调文字颜色 3 2 8 5" xfId="25731"/>
    <cellStyle name="强调文字颜色 3 2 8 5 2" xfId="29065"/>
    <cellStyle name="强调文字颜色 3 2 8 5 3" xfId="29067"/>
    <cellStyle name="强调文字颜色 3 2 8 6" xfId="29069"/>
    <cellStyle name="强调文字颜色 3 2 9" xfId="29071"/>
    <cellStyle name="强调文字颜色 3 2 9 2" xfId="29072"/>
    <cellStyle name="强调文字颜色 3 2 9 2 2" xfId="29073"/>
    <cellStyle name="强调文字颜色 3 2 9 2 3" xfId="29074"/>
    <cellStyle name="强调文字颜色 3 2 9 3" xfId="29075"/>
    <cellStyle name="强调文字颜色 3 2 9 4" xfId="29077"/>
    <cellStyle name="强调文字颜色 3 2 9 4 2" xfId="29079"/>
    <cellStyle name="强调文字颜色 3 2 9 4 3" xfId="29080"/>
    <cellStyle name="强调文字颜色 3 2 9 5" xfId="29081"/>
    <cellStyle name="强调文字颜色 3 3" xfId="29083"/>
    <cellStyle name="强调文字颜色 3 3 2" xfId="6885"/>
    <cellStyle name="强调文字颜色 3 3 3" xfId="22505"/>
    <cellStyle name="强调文字颜色 3 4" xfId="29084"/>
    <cellStyle name="强调文字颜色 4 2" xfId="29085"/>
    <cellStyle name="强调文字颜色 4 2 10" xfId="21831"/>
    <cellStyle name="强调文字颜色 4 2 10 2" xfId="19179"/>
    <cellStyle name="强调文字颜色 4 2 10 3" xfId="29087"/>
    <cellStyle name="强调文字颜色 4 2 11" xfId="21834"/>
    <cellStyle name="强调文字颜色 4 2 12" xfId="21836"/>
    <cellStyle name="强调文字颜色 4 2 12 2" xfId="19213"/>
    <cellStyle name="强调文字颜色 4 2 12 3" xfId="29088"/>
    <cellStyle name="强调文字颜色 4 2 13" xfId="28007"/>
    <cellStyle name="强调文字颜色 4 2 2" xfId="29089"/>
    <cellStyle name="强调文字颜色 4 2 2 10" xfId="26215"/>
    <cellStyle name="强调文字颜色 4 2 2 2" xfId="22870"/>
    <cellStyle name="强调文字颜色 4 2 2 2 2" xfId="29090"/>
    <cellStyle name="强调文字颜色 4 2 2 2 2 2" xfId="29091"/>
    <cellStyle name="强调文字颜色 4 2 2 2 2 2 2" xfId="24389"/>
    <cellStyle name="强调文字颜色 4 2 2 2 2 2 2 2" xfId="29092"/>
    <cellStyle name="强调文字颜色 4 2 2 2 2 2 2 3" xfId="29093"/>
    <cellStyle name="强调文字颜色 4 2 2 2 2 2 3" xfId="29094"/>
    <cellStyle name="强调文字颜色 4 2 2 2 2 2 3 2" xfId="29095"/>
    <cellStyle name="强调文字颜色 4 2 2 2 2 2 3 3" xfId="29096"/>
    <cellStyle name="强调文字颜色 4 2 2 2 2 2 4" xfId="29097"/>
    <cellStyle name="强调文字颜色 4 2 2 2 2 2 5" xfId="29098"/>
    <cellStyle name="强调文字颜色 4 2 2 2 2 2 5 2" xfId="23429"/>
    <cellStyle name="强调文字颜色 4 2 2 2 2 2 5 3" xfId="23441"/>
    <cellStyle name="强调文字颜色 4 2 2 2 2 2 6" xfId="29099"/>
    <cellStyle name="强调文字颜色 4 2 2 2 2 3" xfId="29100"/>
    <cellStyle name="强调文字颜色 4 2 2 2 2 3 2" xfId="29101"/>
    <cellStyle name="强调文字颜色 4 2 2 2 2 3 3" xfId="29102"/>
    <cellStyle name="强调文字颜色 4 2 2 2 2 4" xfId="21007"/>
    <cellStyle name="强调文字颜色 4 2 2 2 2 4 2" xfId="29103"/>
    <cellStyle name="强调文字颜色 4 2 2 2 2 4 3" xfId="29104"/>
    <cellStyle name="强调文字颜色 4 2 2 2 2 5" xfId="21010"/>
    <cellStyle name="强调文字颜色 4 2 2 2 2 6" xfId="9643"/>
    <cellStyle name="强调文字颜色 4 2 2 2 2 6 2" xfId="18611"/>
    <cellStyle name="强调文字颜色 4 2 2 2 2 6 3" xfId="2266"/>
    <cellStyle name="强调文字颜色 4 2 2 2 2 7" xfId="9650"/>
    <cellStyle name="强调文字颜色 4 2 2 2 3" xfId="20543"/>
    <cellStyle name="强调文字颜色 4 2 2 2 3 2" xfId="29105"/>
    <cellStyle name="强调文字颜色 4 2 2 2 3 2 2" xfId="29106"/>
    <cellStyle name="强调文字颜色 4 2 2 2 3 2 3" xfId="29107"/>
    <cellStyle name="强调文字颜色 4 2 2 2 3 3" xfId="29108"/>
    <cellStyle name="强调文字颜色 4 2 2 2 3 3 2" xfId="29109"/>
    <cellStyle name="强调文字颜色 4 2 2 2 3 3 3" xfId="29110"/>
    <cellStyle name="强调文字颜色 4 2 2 2 3 4" xfId="29111"/>
    <cellStyle name="强调文字颜色 4 2 2 2 3 5" xfId="28822"/>
    <cellStyle name="强调文字颜色 4 2 2 2 3 5 2" xfId="29112"/>
    <cellStyle name="强调文字颜色 4 2 2 2 3 5 3" xfId="29113"/>
    <cellStyle name="强调文字颜色 4 2 2 2 3 6" xfId="28824"/>
    <cellStyle name="强调文字颜色 4 2 2 2 4" xfId="20545"/>
    <cellStyle name="强调文字颜色 4 2 2 2 4 2" xfId="26250"/>
    <cellStyle name="强调文字颜色 4 2 2 2 4 3" xfId="29114"/>
    <cellStyle name="强调文字颜色 4 2 2 2 5" xfId="20547"/>
    <cellStyle name="强调文字颜色 4 2 2 2 5 2" xfId="26269"/>
    <cellStyle name="强调文字颜色 4 2 2 2 5 3" xfId="26276"/>
    <cellStyle name="强调文字颜色 4 2 2 2 6" xfId="20549"/>
    <cellStyle name="强调文字颜色 4 2 2 2 7" xfId="20551"/>
    <cellStyle name="强调文字颜色 4 2 2 2 7 2" xfId="26284"/>
    <cellStyle name="强调文字颜色 4 2 2 2 7 3" xfId="13728"/>
    <cellStyle name="强调文字颜色 4 2 2 2 8" xfId="20554"/>
    <cellStyle name="强调文字颜色 4 2 2 3" xfId="22872"/>
    <cellStyle name="强调文字颜色 4 2 2 3 2" xfId="6063"/>
    <cellStyle name="强调文字颜色 4 2 2 3 2 2" xfId="10167"/>
    <cellStyle name="强调文字颜色 4 2 2 3 2 2 2" xfId="7228"/>
    <cellStyle name="强调文字颜色 4 2 2 3 2 2 3" xfId="7220"/>
    <cellStyle name="强调文字颜色 4 2 2 3 2 3" xfId="10169"/>
    <cellStyle name="强调文字颜色 4 2 2 3 2 3 2" xfId="7243"/>
    <cellStyle name="强调文字颜色 4 2 2 3 2 3 3" xfId="7329"/>
    <cellStyle name="强调文字颜色 4 2 2 3 2 4" xfId="10171"/>
    <cellStyle name="强调文字颜色 4 2 2 3 2 5" xfId="28837"/>
    <cellStyle name="强调文字颜色 4 2 2 3 2 5 2" xfId="29115"/>
    <cellStyle name="强调文字颜色 4 2 2 3 2 5 3" xfId="29116"/>
    <cellStyle name="强调文字颜色 4 2 2 3 2 6" xfId="28839"/>
    <cellStyle name="强调文字颜色 4 2 2 3 3" xfId="10173"/>
    <cellStyle name="强调文字颜色 4 2 2 3 3 2" xfId="10175"/>
    <cellStyle name="强调文字颜色 4 2 2 3 3 3" xfId="10182"/>
    <cellStyle name="强调文字颜色 4 2 2 3 4" xfId="10189"/>
    <cellStyle name="强调文字颜色 4 2 2 3 4 2" xfId="10191"/>
    <cellStyle name="强调文字颜色 4 2 2 3 4 3" xfId="10194"/>
    <cellStyle name="强调文字颜色 4 2 2 3 5" xfId="10196"/>
    <cellStyle name="强调文字颜色 4 2 2 3 6" xfId="10202"/>
    <cellStyle name="强调文字颜色 4 2 2 3 6 2" xfId="10219"/>
    <cellStyle name="强调文字颜色 4 2 2 3 6 3" xfId="29117"/>
    <cellStyle name="强调文字颜色 4 2 2 3 7" xfId="29118"/>
    <cellStyle name="强调文字颜色 4 2 2 4" xfId="22874"/>
    <cellStyle name="强调文字颜色 4 2 2 4 2" xfId="5455"/>
    <cellStyle name="强调文字颜色 4 2 2 4 2 2" xfId="792"/>
    <cellStyle name="强调文字颜色 4 2 2 4 2 2 2" xfId="7282"/>
    <cellStyle name="强调文字颜色 4 2 2 4 2 2 3" xfId="7695"/>
    <cellStyle name="强调文字颜色 4 2 2 4 2 3" xfId="5459"/>
    <cellStyle name="强调文字颜色 4 2 2 4 2 3 2" xfId="8347"/>
    <cellStyle name="强调文字颜色 4 2 2 4 2 3 3" xfId="7840"/>
    <cellStyle name="强调文字颜色 4 2 2 4 2 4" xfId="10258"/>
    <cellStyle name="强调文字颜色 4 2 2 4 2 5" xfId="11820"/>
    <cellStyle name="强调文字颜色 4 2 2 4 2 5 2" xfId="29119"/>
    <cellStyle name="强调文字颜色 4 2 2 4 2 5 3" xfId="29121"/>
    <cellStyle name="强调文字颜色 4 2 2 4 2 6" xfId="11827"/>
    <cellStyle name="强调文字颜色 4 2 2 4 3" xfId="3295"/>
    <cellStyle name="强调文字颜色 4 2 2 4 3 2" xfId="10260"/>
    <cellStyle name="强调文字颜色 4 2 2 4 3 3" xfId="10274"/>
    <cellStyle name="强调文字颜色 4 2 2 4 4" xfId="3351"/>
    <cellStyle name="强调文字颜色 4 2 2 4 4 2" xfId="10276"/>
    <cellStyle name="强调文字颜色 4 2 2 4 4 3" xfId="10278"/>
    <cellStyle name="强调文字颜色 4 2 2 4 5" xfId="10280"/>
    <cellStyle name="强调文字颜色 4 2 2 4 6" xfId="29122"/>
    <cellStyle name="强调文字颜色 4 2 2 4 6 2" xfId="10234"/>
    <cellStyle name="强调文字颜色 4 2 2 4 6 3" xfId="29123"/>
    <cellStyle name="强调文字颜色 4 2 2 4 7" xfId="29124"/>
    <cellStyle name="强调文字颜色 4 2 2 5" xfId="22876"/>
    <cellStyle name="强调文字颜色 4 2 2 5 2" xfId="5464"/>
    <cellStyle name="强调文字颜色 4 2 2 5 2 2" xfId="29125"/>
    <cellStyle name="强调文字颜色 4 2 2 5 2 3" xfId="29126"/>
    <cellStyle name="强调文字颜色 4 2 2 5 3" xfId="5468"/>
    <cellStyle name="强调文字颜色 4 2 2 5 3 2" xfId="12005"/>
    <cellStyle name="强调文字颜色 4 2 2 5 3 3" xfId="29127"/>
    <cellStyle name="强调文字颜色 4 2 2 5 4" xfId="29128"/>
    <cellStyle name="强调文字颜色 4 2 2 5 5" xfId="29129"/>
    <cellStyle name="强调文字颜色 4 2 2 5 5 2" xfId="26331"/>
    <cellStyle name="强调文字颜色 4 2 2 5 5 3" xfId="29130"/>
    <cellStyle name="强调文字颜色 4 2 2 5 6" xfId="29131"/>
    <cellStyle name="强调文字颜色 4 2 2 6" xfId="22878"/>
    <cellStyle name="强调文字颜色 4 2 2 6 2" xfId="10297"/>
    <cellStyle name="强调文字颜色 4 2 2 6 3" xfId="24853"/>
    <cellStyle name="强调文字颜色 4 2 2 7" xfId="3748"/>
    <cellStyle name="强调文字颜色 4 2 2 7 2" xfId="10319"/>
    <cellStyle name="强调文字颜色 4 2 2 7 3" xfId="26643"/>
    <cellStyle name="强调文字颜色 4 2 2 8" xfId="6551"/>
    <cellStyle name="强调文字颜色 4 2 2 9" xfId="29132"/>
    <cellStyle name="强调文字颜色 4 2 2 9 2" xfId="6200"/>
    <cellStyle name="强调文字颜色 4 2 2 9 3" xfId="29133"/>
    <cellStyle name="强调文字颜色 4 2 3" xfId="28146"/>
    <cellStyle name="强调文字颜色 4 2 3 10" xfId="29134"/>
    <cellStyle name="强调文字颜色 4 2 3 2" xfId="22883"/>
    <cellStyle name="强调文字颜色 4 2 3 2 2" xfId="29135"/>
    <cellStyle name="强调文字颜色 4 2 3 2 2 2" xfId="29136"/>
    <cellStyle name="强调文字颜色 4 2 3 2 2 2 2" xfId="24430"/>
    <cellStyle name="强调文字颜色 4 2 3 2 2 2 2 2" xfId="29137"/>
    <cellStyle name="强调文字颜色 4 2 3 2 2 2 2 3" xfId="29138"/>
    <cellStyle name="强调文字颜色 4 2 3 2 2 2 3" xfId="29139"/>
    <cellStyle name="强调文字颜色 4 2 3 2 2 2 3 2" xfId="29140"/>
    <cellStyle name="强调文字颜色 4 2 3 2 2 2 3 3" xfId="29141"/>
    <cellStyle name="强调文字颜色 4 2 3 2 2 2 4" xfId="29142"/>
    <cellStyle name="强调文字颜色 4 2 3 2 2 2 5" xfId="29143"/>
    <cellStyle name="强调文字颜色 4 2 3 2 2 2 5 2" xfId="29144"/>
    <cellStyle name="强调文字颜色 4 2 3 2 2 2 5 3" xfId="5300"/>
    <cellStyle name="强调文字颜色 4 2 3 2 2 2 6" xfId="29145"/>
    <cellStyle name="强调文字颜色 4 2 3 2 2 3" xfId="29146"/>
    <cellStyle name="强调文字颜色 4 2 3 2 2 3 2" xfId="29147"/>
    <cellStyle name="强调文字颜色 4 2 3 2 2 3 3" xfId="29148"/>
    <cellStyle name="强调文字颜色 4 2 3 2 2 4" xfId="29149"/>
    <cellStyle name="强调文字颜色 4 2 3 2 2 4 2" xfId="29150"/>
    <cellStyle name="强调文字颜色 4 2 3 2 2 4 3" xfId="29151"/>
    <cellStyle name="强调文字颜色 4 2 3 2 2 5" xfId="28862"/>
    <cellStyle name="强调文字颜色 4 2 3 2 2 6" xfId="9733"/>
    <cellStyle name="强调文字颜色 4 2 3 2 2 6 2" xfId="3271"/>
    <cellStyle name="强调文字颜色 4 2 3 2 2 6 3" xfId="29152"/>
    <cellStyle name="强调文字颜色 4 2 3 2 2 7" xfId="8616"/>
    <cellStyle name="强调文字颜色 4 2 3 2 3" xfId="27918"/>
    <cellStyle name="强调文字颜色 4 2 3 2 3 2" xfId="29154"/>
    <cellStyle name="强调文字颜色 4 2 3 2 3 2 2" xfId="29155"/>
    <cellStyle name="强调文字颜色 4 2 3 2 3 2 3" xfId="29156"/>
    <cellStyle name="强调文字颜色 4 2 3 2 3 3" xfId="29157"/>
    <cellStyle name="强调文字颜色 4 2 3 2 3 3 2" xfId="28245"/>
    <cellStyle name="强调文字颜色 4 2 3 2 3 3 3" xfId="29158"/>
    <cellStyle name="强调文字颜色 4 2 3 2 3 4" xfId="29159"/>
    <cellStyle name="强调文字颜色 4 2 3 2 3 5" xfId="29160"/>
    <cellStyle name="强调文字颜色 4 2 3 2 3 5 2" xfId="28270"/>
    <cellStyle name="强调文字颜色 4 2 3 2 3 5 3" xfId="27645"/>
    <cellStyle name="强调文字颜色 4 2 3 2 3 6" xfId="29161"/>
    <cellStyle name="强调文字颜色 4 2 3 2 4" xfId="27920"/>
    <cellStyle name="强调文字颜色 4 2 3 2 4 2" xfId="26345"/>
    <cellStyle name="强调文字颜色 4 2 3 2 4 3" xfId="29163"/>
    <cellStyle name="强调文字颜色 4 2 3 2 5" xfId="29164"/>
    <cellStyle name="强调文字颜色 4 2 3 2 5 2" xfId="26349"/>
    <cellStyle name="强调文字颜色 4 2 3 2 5 3" xfId="29165"/>
    <cellStyle name="强调文字颜色 4 2 3 2 6" xfId="29166"/>
    <cellStyle name="强调文字颜色 4 2 3 2 7" xfId="29167"/>
    <cellStyle name="强调文字颜色 4 2 3 2 7 2" xfId="25970"/>
    <cellStyle name="强调文字颜色 4 2 3 2 7 3" xfId="29168"/>
    <cellStyle name="强调文字颜色 4 2 3 2 8" xfId="26604"/>
    <cellStyle name="强调文字颜色 4 2 3 3" xfId="22886"/>
    <cellStyle name="强调文字颜色 4 2 3 3 2" xfId="7449"/>
    <cellStyle name="强调文字颜色 4 2 3 3 2 2" xfId="5148"/>
    <cellStyle name="强调文字颜色 4 2 3 3 2 2 2" xfId="7344"/>
    <cellStyle name="强调文字颜色 4 2 3 3 2 2 3" xfId="5761"/>
    <cellStyle name="强调文字颜色 4 2 3 3 2 3" xfId="10421"/>
    <cellStyle name="强调文字颜色 4 2 3 3 2 3 2" xfId="10428"/>
    <cellStyle name="强调文字颜色 4 2 3 3 2 3 3" xfId="10431"/>
    <cellStyle name="强调文字颜色 4 2 3 3 2 4" xfId="10435"/>
    <cellStyle name="强调文字颜色 4 2 3 3 2 5" xfId="29169"/>
    <cellStyle name="强调文字颜色 4 2 3 3 2 5 2" xfId="29171"/>
    <cellStyle name="强调文字颜色 4 2 3 3 2 5 3" xfId="29172"/>
    <cellStyle name="强调文字颜色 4 2 3 3 2 6" xfId="29173"/>
    <cellStyle name="强调文字颜色 4 2 3 3 3" xfId="10443"/>
    <cellStyle name="强调文字颜色 4 2 3 3 3 2" xfId="10445"/>
    <cellStyle name="强调文字颜色 4 2 3 3 3 3" xfId="10447"/>
    <cellStyle name="强调文字颜色 4 2 3 3 4" xfId="10450"/>
    <cellStyle name="强调文字颜色 4 2 3 3 4 2" xfId="10452"/>
    <cellStyle name="强调文字颜色 4 2 3 3 4 3" xfId="10454"/>
    <cellStyle name="强调文字颜色 4 2 3 3 5" xfId="10457"/>
    <cellStyle name="强调文字颜色 4 2 3 3 6" xfId="10463"/>
    <cellStyle name="强调文字颜色 4 2 3 3 6 2" xfId="10244"/>
    <cellStyle name="强调文字颜色 4 2 3 3 6 3" xfId="29176"/>
    <cellStyle name="强调文字颜色 4 2 3 3 7" xfId="29177"/>
    <cellStyle name="强调文字颜色 4 2 3 4" xfId="22889"/>
    <cellStyle name="强调文字颜色 4 2 3 4 2" xfId="5474"/>
    <cellStyle name="强调文字颜色 4 2 3 4 2 2" xfId="5480"/>
    <cellStyle name="强调文字颜色 4 2 3 4 2 2 2" xfId="10574"/>
    <cellStyle name="强调文字颜色 4 2 3 4 2 2 3" xfId="10583"/>
    <cellStyle name="强调文字颜色 4 2 3 4 2 3" xfId="5486"/>
    <cellStyle name="强调文字颜色 4 2 3 4 2 3 2" xfId="8693"/>
    <cellStyle name="强调文字颜色 4 2 3 4 2 3 3" xfId="8702"/>
    <cellStyle name="强调文字颜色 4 2 3 4 2 4" xfId="10586"/>
    <cellStyle name="强调文字颜色 4 2 3 4 2 5" xfId="29178"/>
    <cellStyle name="强调文字颜色 4 2 3 4 2 5 2" xfId="29180"/>
    <cellStyle name="强调文字颜色 4 2 3 4 2 5 3" xfId="29182"/>
    <cellStyle name="强调文字颜色 4 2 3 4 2 6" xfId="29184"/>
    <cellStyle name="强调文字颜色 4 2 3 4 3" xfId="5490"/>
    <cellStyle name="强调文字颜色 4 2 3 4 3 2" xfId="10592"/>
    <cellStyle name="强调文字颜色 4 2 3 4 3 3" xfId="10595"/>
    <cellStyle name="强调文字颜色 4 2 3 4 4" xfId="9545"/>
    <cellStyle name="强调文字颜色 4 2 3 4 4 2" xfId="9553"/>
    <cellStyle name="强调文字颜色 4 2 3 4 4 3" xfId="8666"/>
    <cellStyle name="强调文字颜色 4 2 3 4 5" xfId="9558"/>
    <cellStyle name="强调文字颜色 4 2 3 4 6" xfId="15108"/>
    <cellStyle name="强调文字颜色 4 2 3 4 6 2" xfId="29186"/>
    <cellStyle name="强调文字颜色 4 2 3 4 6 3" xfId="29187"/>
    <cellStyle name="强调文字颜色 4 2 3 4 7" xfId="26082"/>
    <cellStyle name="强调文字颜色 4 2 3 5" xfId="22892"/>
    <cellStyle name="强调文字颜色 4 2 3 5 2" xfId="5496"/>
    <cellStyle name="强调文字颜色 4 2 3 5 2 2" xfId="24855"/>
    <cellStyle name="强调文字颜色 4 2 3 5 2 3" xfId="29188"/>
    <cellStyle name="强调文字颜色 4 2 3 5 3" xfId="29189"/>
    <cellStyle name="强调文字颜色 4 2 3 5 3 2" xfId="15823"/>
    <cellStyle name="强调文字颜色 4 2 3 5 3 3" xfId="29190"/>
    <cellStyle name="强调文字颜色 4 2 3 5 4" xfId="29191"/>
    <cellStyle name="强调文字颜色 4 2 3 5 5" xfId="29192"/>
    <cellStyle name="强调文字颜色 4 2 3 5 5 2" xfId="26399"/>
    <cellStyle name="强调文字颜色 4 2 3 5 5 3" xfId="29193"/>
    <cellStyle name="强调文字颜色 4 2 3 5 6" xfId="29194"/>
    <cellStyle name="强调文字颜色 4 2 3 6" xfId="22894"/>
    <cellStyle name="强调文字颜色 4 2 3 6 2" xfId="10603"/>
    <cellStyle name="强调文字颜色 4 2 3 6 3" xfId="29196"/>
    <cellStyle name="强调文字颜色 4 2 3 7" xfId="22896"/>
    <cellStyle name="强调文字颜色 4 2 3 7 2" xfId="10628"/>
    <cellStyle name="强调文字颜色 4 2 3 7 3" xfId="29197"/>
    <cellStyle name="强调文字颜色 4 2 3 8" xfId="29198"/>
    <cellStyle name="强调文字颜色 4 2 3 9" xfId="29199"/>
    <cellStyle name="强调文字颜色 4 2 3 9 2" xfId="29200"/>
    <cellStyle name="强调文字颜色 4 2 3 9 3" xfId="29201"/>
    <cellStyle name="强调文字颜色 4 2 4" xfId="16576"/>
    <cellStyle name="强调文字颜色 4 2 4 10" xfId="29202"/>
    <cellStyle name="强调文字颜色 4 2 4 2" xfId="16579"/>
    <cellStyle name="强调文字颜色 4 2 4 2 2" xfId="9082"/>
    <cellStyle name="强调文字颜色 4 2 4 2 2 2" xfId="9087"/>
    <cellStyle name="强调文字颜色 4 2 4 2 2 2 2" xfId="29203"/>
    <cellStyle name="强调文字颜色 4 2 4 2 2 2 2 2" xfId="21910"/>
    <cellStyle name="强调文字颜色 4 2 4 2 2 2 2 3" xfId="21926"/>
    <cellStyle name="强调文字颜色 4 2 4 2 2 2 3" xfId="29205"/>
    <cellStyle name="强调文字颜色 4 2 4 2 2 2 3 2" xfId="22128"/>
    <cellStyle name="强调文字颜色 4 2 4 2 2 2 3 3" xfId="22137"/>
    <cellStyle name="强调文字颜色 4 2 4 2 2 2 4" xfId="29207"/>
    <cellStyle name="强调文字颜色 4 2 4 2 2 2 5" xfId="29209"/>
    <cellStyle name="强调文字颜色 4 2 4 2 2 2 5 2" xfId="22073"/>
    <cellStyle name="强调文字颜色 4 2 4 2 2 2 5 3" xfId="22083"/>
    <cellStyle name="强调文字颜色 4 2 4 2 2 2 6" xfId="29211"/>
    <cellStyle name="强调文字颜色 4 2 4 2 2 3" xfId="9089"/>
    <cellStyle name="强调文字颜色 4 2 4 2 2 3 2" xfId="29212"/>
    <cellStyle name="强调文字颜色 4 2 4 2 2 3 3" xfId="29214"/>
    <cellStyle name="强调文字颜色 4 2 4 2 2 4" xfId="23928"/>
    <cellStyle name="强调文字颜色 4 2 4 2 2 4 2" xfId="29215"/>
    <cellStyle name="强调文字颜色 4 2 4 2 2 4 3" xfId="29217"/>
    <cellStyle name="强调文字颜色 4 2 4 2 2 5" xfId="23931"/>
    <cellStyle name="强调文字颜色 4 2 4 2 2 6" xfId="9810"/>
    <cellStyle name="强调文字颜色 4 2 4 2 2 6 2" xfId="29218"/>
    <cellStyle name="强调文字颜色 4 2 4 2 2 6 3" xfId="25965"/>
    <cellStyle name="强调文字颜色 4 2 4 2 2 7" xfId="5776"/>
    <cellStyle name="强调文字颜色 4 2 4 2 3" xfId="8316"/>
    <cellStyle name="强调文字颜色 4 2 4 2 3 2" xfId="28478"/>
    <cellStyle name="强调文字颜色 4 2 4 2 3 2 2" xfId="24486"/>
    <cellStyle name="强调文字颜色 4 2 4 2 3 2 3" xfId="29220"/>
    <cellStyle name="强调文字颜色 4 2 4 2 3 3" xfId="23933"/>
    <cellStyle name="强调文字颜色 4 2 4 2 3 3 2" xfId="29221"/>
    <cellStyle name="强调文字颜色 4 2 4 2 3 3 3" xfId="29223"/>
    <cellStyle name="强调文字颜色 4 2 4 2 3 4" xfId="23935"/>
    <cellStyle name="强调文字颜色 4 2 4 2 3 5" xfId="23937"/>
    <cellStyle name="强调文字颜色 4 2 4 2 3 5 2" xfId="29224"/>
    <cellStyle name="强调文字颜色 4 2 4 2 3 5 3" xfId="29226"/>
    <cellStyle name="强调文字颜色 4 2 4 2 3 6" xfId="23939"/>
    <cellStyle name="强调文字颜色 4 2 4 2 4" xfId="29227"/>
    <cellStyle name="强调文字颜色 4 2 4 2 4 2" xfId="26413"/>
    <cellStyle name="强调文字颜色 4 2 4 2 4 3" xfId="23943"/>
    <cellStyle name="强调文字颜色 4 2 4 2 5" xfId="29228"/>
    <cellStyle name="强调文字颜色 4 2 4 2 5 2" xfId="29229"/>
    <cellStyle name="强调文字颜色 4 2 4 2 5 3" xfId="23952"/>
    <cellStyle name="强调文字颜色 4 2 4 2 6" xfId="29230"/>
    <cellStyle name="强调文字颜色 4 2 4 2 7" xfId="29231"/>
    <cellStyle name="强调文字颜色 4 2 4 2 7 2" xfId="27693"/>
    <cellStyle name="强调文字颜色 4 2 4 2 7 3" xfId="29232"/>
    <cellStyle name="强调文字颜色 4 2 4 2 8" xfId="29233"/>
    <cellStyle name="强调文字颜色 4 2 4 3" xfId="16583"/>
    <cellStyle name="强调文字颜色 4 2 4 3 2" xfId="3865"/>
    <cellStyle name="强调文字颜色 4 2 4 3 2 2" xfId="10073"/>
    <cellStyle name="强调文字颜色 4 2 4 3 2 2 2" xfId="10082"/>
    <cellStyle name="强调文字颜色 4 2 4 3 2 2 3" xfId="10093"/>
    <cellStyle name="强调文字颜色 4 2 4 3 2 3" xfId="10101"/>
    <cellStyle name="强调文字颜色 4 2 4 3 2 3 2" xfId="10710"/>
    <cellStyle name="强调文字颜色 4 2 4 3 2 3 3" xfId="10712"/>
    <cellStyle name="强调文字颜色 4 2 4 3 2 4" xfId="10714"/>
    <cellStyle name="强调文字颜色 4 2 4 3 2 5" xfId="17854"/>
    <cellStyle name="强调文字颜色 4 2 4 3 2 5 2" xfId="3952"/>
    <cellStyle name="强调文字颜色 4 2 4 3 2 5 3" xfId="29234"/>
    <cellStyle name="强调文字颜色 4 2 4 3 2 6" xfId="17857"/>
    <cellStyle name="强调文字颜色 4 2 4 3 3" xfId="10719"/>
    <cellStyle name="强调文字颜色 4 2 4 3 3 2" xfId="10723"/>
    <cellStyle name="强调文字颜色 4 2 4 3 3 3" xfId="10737"/>
    <cellStyle name="强调文字颜色 4 2 4 3 4" xfId="10747"/>
    <cellStyle name="强调文字颜色 4 2 4 3 4 2" xfId="10751"/>
    <cellStyle name="强调文字颜色 4 2 4 3 4 3" xfId="10760"/>
    <cellStyle name="强调文字颜色 4 2 4 3 5" xfId="10765"/>
    <cellStyle name="强调文字颜色 4 2 4 3 6" xfId="10777"/>
    <cellStyle name="强调文字颜色 4 2 4 3 6 2" xfId="6145"/>
    <cellStyle name="强调文字颜色 4 2 4 3 6 3" xfId="29235"/>
    <cellStyle name="强调文字颜色 4 2 4 3 7" xfId="29236"/>
    <cellStyle name="强调文字颜色 4 2 4 4" xfId="3191"/>
    <cellStyle name="强调文字颜色 4 2 4 4 2" xfId="5505"/>
    <cellStyle name="强调文字颜色 4 2 4 4 2 2" xfId="10823"/>
    <cellStyle name="强调文字颜色 4 2 4 4 2 2 2" xfId="10828"/>
    <cellStyle name="强调文字颜色 4 2 4 4 2 2 3" xfId="10834"/>
    <cellStyle name="强调文字颜色 4 2 4 4 2 3" xfId="10836"/>
    <cellStyle name="强调文字颜色 4 2 4 4 2 3 2" xfId="10839"/>
    <cellStyle name="强调文字颜色 4 2 4 4 2 3 3" xfId="10842"/>
    <cellStyle name="强调文字颜色 4 2 4 4 2 4" xfId="10847"/>
    <cellStyle name="强调文字颜色 4 2 4 4 2 5" xfId="29237"/>
    <cellStyle name="强调文字颜色 4 2 4 4 2 5 2" xfId="29238"/>
    <cellStyle name="强调文字颜色 4 2 4 4 2 5 3" xfId="29240"/>
    <cellStyle name="强调文字颜色 4 2 4 4 2 6" xfId="29241"/>
    <cellStyle name="强调文字颜色 4 2 4 4 3" xfId="5511"/>
    <cellStyle name="强调文字颜色 4 2 4 4 3 2" xfId="10849"/>
    <cellStyle name="强调文字颜色 4 2 4 4 3 3" xfId="10855"/>
    <cellStyle name="强调文字颜色 4 2 4 4 4" xfId="10858"/>
    <cellStyle name="强调文字颜色 4 2 4 4 4 2" xfId="10864"/>
    <cellStyle name="强调文字颜色 4 2 4 4 4 3" xfId="10869"/>
    <cellStyle name="强调文字颜色 4 2 4 4 5" xfId="10872"/>
    <cellStyle name="强调文字颜色 4 2 4 4 6" xfId="29242"/>
    <cellStyle name="强调文字颜色 4 2 4 4 6 2" xfId="29243"/>
    <cellStyle name="强调文字颜色 4 2 4 4 6 3" xfId="29244"/>
    <cellStyle name="强调文字颜色 4 2 4 4 7" xfId="29245"/>
    <cellStyle name="强调文字颜色 4 2 4 5" xfId="3204"/>
    <cellStyle name="强调文字颜色 4 2 4 5 2" xfId="10890"/>
    <cellStyle name="强调文字颜色 4 2 4 5 2 2" xfId="29246"/>
    <cellStyle name="强调文字颜色 4 2 4 5 2 3" xfId="29247"/>
    <cellStyle name="强调文字颜色 4 2 4 5 3" xfId="15572"/>
    <cellStyle name="强调文字颜色 4 2 4 5 3 2" xfId="29248"/>
    <cellStyle name="强调文字颜色 4 2 4 5 3 3" xfId="29249"/>
    <cellStyle name="强调文字颜色 4 2 4 5 4" xfId="15576"/>
    <cellStyle name="强调文字颜色 4 2 4 5 5" xfId="29250"/>
    <cellStyle name="强调文字颜色 4 2 4 5 5 2" xfId="13020"/>
    <cellStyle name="强调文字颜色 4 2 4 5 5 3" xfId="12352"/>
    <cellStyle name="强调文字颜色 4 2 4 5 6" xfId="29251"/>
    <cellStyle name="强调文字颜色 4 2 4 6" xfId="16587"/>
    <cellStyle name="强调文字颜色 4 2 4 6 2" xfId="10916"/>
    <cellStyle name="强调文字颜色 4 2 4 6 3" xfId="14947"/>
    <cellStyle name="强调文字颜色 4 2 4 7" xfId="16590"/>
    <cellStyle name="强调文字颜色 4 2 4 7 2" xfId="10942"/>
    <cellStyle name="强调文字颜色 4 2 4 7 3" xfId="15592"/>
    <cellStyle name="强调文字颜色 4 2 4 8" xfId="16592"/>
    <cellStyle name="强调文字颜色 4 2 4 9" xfId="29253"/>
    <cellStyle name="强调文字颜色 4 2 4 9 2" xfId="6293"/>
    <cellStyle name="强调文字颜色 4 2 4 9 3" xfId="6902"/>
    <cellStyle name="强调文字颜色 4 2 5" xfId="7830"/>
    <cellStyle name="强调文字颜色 4 2 5 2" xfId="2311"/>
    <cellStyle name="强调文字颜色 4 2 5 2 2" xfId="9179"/>
    <cellStyle name="强调文字颜色 4 2 5 2 2 2" xfId="9181"/>
    <cellStyle name="强调文字颜色 4 2 5 2 2 2 2" xfId="15895"/>
    <cellStyle name="强调文字颜色 4 2 5 2 2 2 3" xfId="15901"/>
    <cellStyle name="强调文字颜色 4 2 5 2 2 3" xfId="9185"/>
    <cellStyle name="强调文字颜色 4 2 5 2 2 3 2" xfId="15914"/>
    <cellStyle name="强调文字颜色 4 2 5 2 2 3 3" xfId="15917"/>
    <cellStyle name="强调文字颜色 4 2 5 2 2 4" xfId="9489"/>
    <cellStyle name="强调文字颜色 4 2 5 2 2 5" xfId="3003"/>
    <cellStyle name="强调文字颜色 4 2 5 2 2 5 2" xfId="24823"/>
    <cellStyle name="强调文字颜色 4 2 5 2 2 5 3" xfId="24826"/>
    <cellStyle name="强调文字颜色 4 2 5 2 2 6" xfId="29254"/>
    <cellStyle name="强调文字颜色 4 2 5 2 3" xfId="9190"/>
    <cellStyle name="强调文字颜色 4 2 5 2 3 2" xfId="28528"/>
    <cellStyle name="强调文字颜色 4 2 5 2 3 3" xfId="29256"/>
    <cellStyle name="强调文字颜色 4 2 5 2 4" xfId="29257"/>
    <cellStyle name="强调文字颜色 4 2 5 2 4 2" xfId="26434"/>
    <cellStyle name="强调文字颜色 4 2 5 2 4 3" xfId="15089"/>
    <cellStyle name="强调文字颜色 4 2 5 2 5" xfId="29259"/>
    <cellStyle name="强调文字颜色 4 2 5 2 6" xfId="29261"/>
    <cellStyle name="强调文字颜色 4 2 5 2 6 2" xfId="29262"/>
    <cellStyle name="强调文字颜色 4 2 5 2 6 3" xfId="5650"/>
    <cellStyle name="强调文字颜色 4 2 5 2 7" xfId="29263"/>
    <cellStyle name="强调文字颜色 4 2 5 3" xfId="10984"/>
    <cellStyle name="强调文字颜色 4 2 5 3 2" xfId="7783"/>
    <cellStyle name="强调文字颜色 4 2 5 3 2 2" xfId="10998"/>
    <cellStyle name="强调文字颜色 4 2 5 3 2 3" xfId="11008"/>
    <cellStyle name="强调文字颜色 4 2 5 3 3" xfId="11018"/>
    <cellStyle name="强调文字颜色 4 2 5 3 3 2" xfId="11022"/>
    <cellStyle name="强调文字颜色 4 2 5 3 3 3" xfId="11031"/>
    <cellStyle name="强调文字颜色 4 2 5 3 4" xfId="11034"/>
    <cellStyle name="强调文字颜色 4 2 5 3 5" xfId="11038"/>
    <cellStyle name="强调文字颜色 4 2 5 3 5 2" xfId="26448"/>
    <cellStyle name="强调文字颜色 4 2 5 3 5 3" xfId="29264"/>
    <cellStyle name="强调文字颜色 4 2 5 3 6" xfId="29265"/>
    <cellStyle name="强调文字颜色 4 2 5 4" xfId="4886"/>
    <cellStyle name="强调文字颜色 4 2 5 4 2" xfId="9201"/>
    <cellStyle name="强调文字颜色 4 2 5 4 3" xfId="11101"/>
    <cellStyle name="强调文字颜色 4 2 5 5" xfId="5516"/>
    <cellStyle name="强调文字颜色 4 2 5 5 2" xfId="11165"/>
    <cellStyle name="强调文字颜色 4 2 5 5 3" xfId="11180"/>
    <cellStyle name="强调文字颜色 4 2 5 6" xfId="16594"/>
    <cellStyle name="强调文字颜色 4 2 5 7" xfId="16596"/>
    <cellStyle name="强调文字颜色 4 2 5 7 2" xfId="11246"/>
    <cellStyle name="强调文字颜色 4 2 5 7 3" xfId="17999"/>
    <cellStyle name="强调文字颜色 4 2 5 8" xfId="16598"/>
    <cellStyle name="强调文字颜色 4 2 6" xfId="10987"/>
    <cellStyle name="强调文字颜色 4 2 6 2" xfId="16600"/>
    <cellStyle name="强调文字颜色 4 2 6 2 2" xfId="8820"/>
    <cellStyle name="强调文字颜色 4 2 6 2 2 2" xfId="9241"/>
    <cellStyle name="强调文字颜色 4 2 6 2 2 3" xfId="9246"/>
    <cellStyle name="强调文字颜色 4 2 6 2 3" xfId="8767"/>
    <cellStyle name="强调文字颜色 4 2 6 2 3 2" xfId="9208"/>
    <cellStyle name="强调文字颜色 4 2 6 2 3 3" xfId="9211"/>
    <cellStyle name="强调文字颜色 4 2 6 2 4" xfId="8772"/>
    <cellStyle name="强调文字颜色 4 2 6 2 5" xfId="29266"/>
    <cellStyle name="强调文字颜色 4 2 6 2 5 2" xfId="28230"/>
    <cellStyle name="强调文字颜色 4 2 6 2 5 3" xfId="29268"/>
    <cellStyle name="强调文字颜色 4 2 6 2 6" xfId="10901"/>
    <cellStyle name="强调文字颜色 4 2 6 3" xfId="16603"/>
    <cellStyle name="强调文字颜色 4 2 6 3 2" xfId="9250"/>
    <cellStyle name="强调文字颜色 4 2 6 3 3" xfId="9213"/>
    <cellStyle name="强调文字颜色 4 2 6 4" xfId="16605"/>
    <cellStyle name="强调文字颜色 4 2 6 4 2" xfId="277"/>
    <cellStyle name="强调文字颜色 4 2 6 4 3" xfId="9501"/>
    <cellStyle name="强调文字颜色 4 2 6 5" xfId="16607"/>
    <cellStyle name="强调文字颜色 4 2 6 6" xfId="16609"/>
    <cellStyle name="强调文字颜色 4 2 6 6 2" xfId="11387"/>
    <cellStyle name="强调文字颜色 4 2 6 6 3" xfId="29269"/>
    <cellStyle name="强调文字颜色 4 2 6 7" xfId="1155"/>
    <cellStyle name="强调文字颜色 4 2 7" xfId="16612"/>
    <cellStyle name="强调文字颜色 4 2 7 2" xfId="16614"/>
    <cellStyle name="强调文字颜色 4 2 7 2 2" xfId="3439"/>
    <cellStyle name="强调文字颜色 4 2 7 2 2 2" xfId="3443"/>
    <cellStyle name="强调文字颜色 4 2 7 2 2 3" xfId="3451"/>
    <cellStyle name="强调文字颜色 4 2 7 2 3" xfId="3458"/>
    <cellStyle name="强调文字颜色 4 2 7 2 3 2" xfId="3461"/>
    <cellStyle name="强调文字颜色 4 2 7 2 3 3" xfId="3469"/>
    <cellStyle name="强调文字颜色 4 2 7 2 4" xfId="3475"/>
    <cellStyle name="强调文字颜色 4 2 7 2 5" xfId="18736"/>
    <cellStyle name="强调文字颜色 4 2 7 2 5 2" xfId="18741"/>
    <cellStyle name="强调文字颜色 4 2 7 2 5 3" xfId="18744"/>
    <cellStyle name="强调文字颜色 4 2 7 2 6" xfId="18755"/>
    <cellStyle name="强调文字颜色 4 2 7 3" xfId="16617"/>
    <cellStyle name="强调文字颜色 4 2 7 3 2" xfId="2471"/>
    <cellStyle name="强调文字颜色 4 2 7 3 3" xfId="2492"/>
    <cellStyle name="强调文字颜色 4 2 7 4" xfId="16620"/>
    <cellStyle name="强调文字颜色 4 2 7 4 2" xfId="2517"/>
    <cellStyle name="强调文字颜色 4 2 7 4 3" xfId="25772"/>
    <cellStyle name="强调文字颜色 4 2 7 5" xfId="16623"/>
    <cellStyle name="强调文字颜色 4 2 7 6" xfId="16625"/>
    <cellStyle name="强调文字颜色 4 2 7 6 2" xfId="29270"/>
    <cellStyle name="强调文字颜色 4 2 7 6 3" xfId="29271"/>
    <cellStyle name="强调文字颜色 4 2 7 7" xfId="16627"/>
    <cellStyle name="强调文字颜色 4 2 8" xfId="16631"/>
    <cellStyle name="强调文字颜色 4 2 8 2" xfId="16633"/>
    <cellStyle name="强调文字颜色 4 2 8 2 2" xfId="29006"/>
    <cellStyle name="强调文字颜色 4 2 8 2 3" xfId="29272"/>
    <cellStyle name="强调文字颜色 4 2 8 3" xfId="16636"/>
    <cellStyle name="强调文字颜色 4 2 8 3 2" xfId="25776"/>
    <cellStyle name="强调文字颜色 4 2 8 3 3" xfId="25779"/>
    <cellStyle name="强调文字颜色 4 2 8 4" xfId="16639"/>
    <cellStyle name="强调文字颜色 4 2 8 5" xfId="16642"/>
    <cellStyle name="强调文字颜色 4 2 8 5 2" xfId="29014"/>
    <cellStyle name="强调文字颜色 4 2 8 5 3" xfId="29273"/>
    <cellStyle name="强调文字颜色 4 2 8 6" xfId="16644"/>
    <cellStyle name="强调文字颜色 4 2 9" xfId="16649"/>
    <cellStyle name="强调文字颜色 4 2 9 2" xfId="16652"/>
    <cellStyle name="强调文字颜色 4 2 9 2 2" xfId="29019"/>
    <cellStyle name="强调文字颜色 4 2 9 2 3" xfId="29274"/>
    <cellStyle name="强调文字颜色 4 2 9 3" xfId="16655"/>
    <cellStyle name="强调文字颜色 4 2 9 4" xfId="16660"/>
    <cellStyle name="强调文字颜色 4 2 9 4 2" xfId="29023"/>
    <cellStyle name="强调文字颜色 4 2 9 4 3" xfId="29275"/>
    <cellStyle name="强调文字颜色 4 2 9 5" xfId="16664"/>
    <cellStyle name="强调文字颜色 4 3" xfId="29276"/>
    <cellStyle name="强调文字颜色 4 3 2" xfId="29277"/>
    <cellStyle name="强调文字颜色 4 3 3" xfId="29278"/>
    <cellStyle name="强调文字颜色 4 4" xfId="29279"/>
    <cellStyle name="强调文字颜色 5 2" xfId="27926"/>
    <cellStyle name="强调文字颜色 5 2 10" xfId="10095"/>
    <cellStyle name="强调文字颜色 5 2 10 2" xfId="29280"/>
    <cellStyle name="强调文字颜色 5 2 10 3" xfId="29281"/>
    <cellStyle name="强调文字颜色 5 2 11" xfId="22391"/>
    <cellStyle name="强调文字颜色 5 2 12" xfId="22394"/>
    <cellStyle name="强调文字颜色 5 2 12 2" xfId="24752"/>
    <cellStyle name="强调文字颜色 5 2 12 3" xfId="24754"/>
    <cellStyle name="强调文字颜色 5 2 13" xfId="24756"/>
    <cellStyle name="强调文字颜色 5 2 2" xfId="29282"/>
    <cellStyle name="强调文字颜色 5 2 2 10" xfId="25673"/>
    <cellStyle name="强调文字颜色 5 2 2 2" xfId="24622"/>
    <cellStyle name="强调文字颜色 5 2 2 2 2" xfId="24625"/>
    <cellStyle name="强调文字颜色 5 2 2 2 2 2" xfId="29283"/>
    <cellStyle name="强调文字颜色 5 2 2 2 2 2 2" xfId="29284"/>
    <cellStyle name="强调文字颜色 5 2 2 2 2 2 2 2" xfId="29285"/>
    <cellStyle name="强调文字颜色 5 2 2 2 2 2 2 3" xfId="29286"/>
    <cellStyle name="强调文字颜色 5 2 2 2 2 2 3" xfId="29287"/>
    <cellStyle name="强调文字颜色 5 2 2 2 2 2 3 2" xfId="29288"/>
    <cellStyle name="强调文字颜色 5 2 2 2 2 2 3 3" xfId="29289"/>
    <cellStyle name="强调文字颜色 5 2 2 2 2 2 4" xfId="15127"/>
    <cellStyle name="强调文字颜色 5 2 2 2 2 2 5" xfId="2361"/>
    <cellStyle name="强调文字颜色 5 2 2 2 2 2 5 2" xfId="29290"/>
    <cellStyle name="强调文字颜色 5 2 2 2 2 2 5 3" xfId="29291"/>
    <cellStyle name="强调文字颜色 5 2 2 2 2 2 6" xfId="534"/>
    <cellStyle name="强调文字颜色 5 2 2 2 2 3" xfId="859"/>
    <cellStyle name="强调文字颜色 5 2 2 2 2 3 2" xfId="876"/>
    <cellStyle name="强调文字颜色 5 2 2 2 2 3 3" xfId="124"/>
    <cellStyle name="强调文字颜色 5 2 2 2 2 4" xfId="893"/>
    <cellStyle name="强调文字颜色 5 2 2 2 2 4 2" xfId="27185"/>
    <cellStyle name="强调文字颜色 5 2 2 2 2 4 3" xfId="29292"/>
    <cellStyle name="强调文字颜色 5 2 2 2 2 5" xfId="29293"/>
    <cellStyle name="强调文字颜色 5 2 2 2 2 6" xfId="9932"/>
    <cellStyle name="强调文字颜色 5 2 2 2 2 6 2" xfId="29294"/>
    <cellStyle name="强调文字颜色 5 2 2 2 2 6 3" xfId="29295"/>
    <cellStyle name="强调文字颜色 5 2 2 2 2 7" xfId="9937"/>
    <cellStyle name="强调文字颜色 5 2 2 2 3" xfId="24463"/>
    <cellStyle name="强调文字颜色 5 2 2 2 3 2" xfId="24465"/>
    <cellStyle name="强调文字颜色 5 2 2 2 3 2 2" xfId="25102"/>
    <cellStyle name="强调文字颜色 5 2 2 2 3 2 3" xfId="21412"/>
    <cellStyle name="强调文字颜色 5 2 2 2 3 3" xfId="900"/>
    <cellStyle name="强调文字颜色 5 2 2 2 3 3 2" xfId="24467"/>
    <cellStyle name="强调文字颜色 5 2 2 2 3 3 3" xfId="29296"/>
    <cellStyle name="强调文字颜色 5 2 2 2 3 4" xfId="905"/>
    <cellStyle name="强调文字颜色 5 2 2 2 3 5" xfId="29297"/>
    <cellStyle name="强调文字颜色 5 2 2 2 3 5 2" xfId="19911"/>
    <cellStyle name="强调文字颜色 5 2 2 2 3 5 3" xfId="29298"/>
    <cellStyle name="强调文字颜色 5 2 2 2 3 6" xfId="29299"/>
    <cellStyle name="强调文字颜色 5 2 2 2 4" xfId="24469"/>
    <cellStyle name="强调文字颜色 5 2 2 2 4 2" xfId="29300"/>
    <cellStyle name="强调文字颜色 5 2 2 2 4 3" xfId="29301"/>
    <cellStyle name="强调文字颜色 5 2 2 2 5" xfId="24471"/>
    <cellStyle name="强调文字颜色 5 2 2 2 5 2" xfId="14939"/>
    <cellStyle name="强调文字颜色 5 2 2 2 5 3" xfId="14941"/>
    <cellStyle name="强调文字颜色 5 2 2 2 6" xfId="29302"/>
    <cellStyle name="强调文字颜色 5 2 2 2 7" xfId="29303"/>
    <cellStyle name="强调文字颜色 5 2 2 2 7 2" xfId="29304"/>
    <cellStyle name="强调文字颜色 5 2 2 2 7 3" xfId="21627"/>
    <cellStyle name="强调文字颜色 5 2 2 2 8" xfId="26729"/>
    <cellStyle name="强调文字颜色 5 2 2 3" xfId="29306"/>
    <cellStyle name="强调文字颜色 5 2 2 3 2" xfId="28309"/>
    <cellStyle name="强调文字颜色 5 2 2 3 2 2" xfId="29307"/>
    <cellStyle name="强调文字颜色 5 2 2 3 2 2 2" xfId="28439"/>
    <cellStyle name="强调文字颜色 5 2 2 3 2 2 3" xfId="28442"/>
    <cellStyle name="强调文字颜色 5 2 2 3 2 3" xfId="1257"/>
    <cellStyle name="强调文字颜色 5 2 2 3 2 3 2" xfId="1260"/>
    <cellStyle name="强调文字颜色 5 2 2 3 2 3 3" xfId="1266"/>
    <cellStyle name="强调文字颜色 5 2 2 3 2 4" xfId="640"/>
    <cellStyle name="强调文字颜色 5 2 2 3 2 5" xfId="29308"/>
    <cellStyle name="强调文字颜色 5 2 2 3 2 5 2" xfId="28453"/>
    <cellStyle name="强调文字颜色 5 2 2 3 2 5 3" xfId="28455"/>
    <cellStyle name="强调文字颜色 5 2 2 3 2 6" xfId="29309"/>
    <cellStyle name="强调文字颜色 5 2 2 3 3" xfId="29310"/>
    <cellStyle name="强调文字颜色 5 2 2 3 3 2" xfId="29311"/>
    <cellStyle name="强调文字颜色 5 2 2 3 3 3" xfId="1276"/>
    <cellStyle name="强调文字颜色 5 2 2 3 4" xfId="29312"/>
    <cellStyle name="强调文字颜色 5 2 2 3 4 2" xfId="29313"/>
    <cellStyle name="强调文字颜色 5 2 2 3 4 3" xfId="29314"/>
    <cellStyle name="强调文字颜色 5 2 2 3 5" xfId="29315"/>
    <cellStyle name="强调文字颜色 5 2 2 3 6" xfId="29316"/>
    <cellStyle name="强调文字颜色 5 2 2 3 6 2" xfId="10473"/>
    <cellStyle name="强调文字颜色 5 2 2 3 6 3" xfId="29317"/>
    <cellStyle name="强调文字颜色 5 2 2 3 7" xfId="25607"/>
    <cellStyle name="强调文字颜色 5 2 2 4" xfId="29318"/>
    <cellStyle name="强调文字颜色 5 2 2 4 2" xfId="11756"/>
    <cellStyle name="强调文字颜色 5 2 2 4 2 2" xfId="29319"/>
    <cellStyle name="强调文字颜色 5 2 2 4 2 2 2" xfId="22565"/>
    <cellStyle name="强调文字颜色 5 2 2 4 2 2 3" xfId="22568"/>
    <cellStyle name="强调文字颜色 5 2 2 4 2 3" xfId="169"/>
    <cellStyle name="强调文字颜色 5 2 2 4 2 3 2" xfId="1604"/>
    <cellStyle name="强调文字颜色 5 2 2 4 2 3 3" xfId="160"/>
    <cellStyle name="强调文字颜色 5 2 2 4 2 4" xfId="113"/>
    <cellStyle name="强调文字颜色 5 2 2 4 2 5" xfId="18696"/>
    <cellStyle name="强调文字颜色 5 2 2 4 2 5 2" xfId="28697"/>
    <cellStyle name="强调文字颜色 5 2 2 4 2 5 3" xfId="28702"/>
    <cellStyle name="强调文字颜色 5 2 2 4 2 6" xfId="12044"/>
    <cellStyle name="强调文字颜色 5 2 2 4 3" xfId="22425"/>
    <cellStyle name="强调文字颜色 5 2 2 4 3 2" xfId="29320"/>
    <cellStyle name="强调文字颜色 5 2 2 4 3 3" xfId="1446"/>
    <cellStyle name="强调文字颜色 5 2 2 4 4" xfId="29321"/>
    <cellStyle name="强调文字颜色 5 2 2 4 4 2" xfId="29322"/>
    <cellStyle name="强调文字颜色 5 2 2 4 4 3" xfId="29323"/>
    <cellStyle name="强调文字颜色 5 2 2 4 5" xfId="29324"/>
    <cellStyle name="强调文字颜色 5 2 2 4 6" xfId="29325"/>
    <cellStyle name="强调文字颜色 5 2 2 4 6 2" xfId="10498"/>
    <cellStyle name="强调文字颜色 5 2 2 4 6 3" xfId="29326"/>
    <cellStyle name="强调文字颜色 5 2 2 4 7" xfId="29327"/>
    <cellStyle name="强调文字颜色 5 2 2 5" xfId="29328"/>
    <cellStyle name="强调文字颜色 5 2 2 5 2" xfId="11762"/>
    <cellStyle name="强调文字颜色 5 2 2 5 2 2" xfId="11765"/>
    <cellStyle name="强调文字颜色 5 2 2 5 2 3" xfId="11772"/>
    <cellStyle name="强调文字颜色 5 2 2 5 3" xfId="11778"/>
    <cellStyle name="强调文字颜色 5 2 2 5 3 2" xfId="29329"/>
    <cellStyle name="强调文字颜色 5 2 2 5 3 3" xfId="29330"/>
    <cellStyle name="强调文字颜色 5 2 2 5 4" xfId="29331"/>
    <cellStyle name="强调文字颜色 5 2 2 5 5" xfId="29332"/>
    <cellStyle name="强调文字颜色 5 2 2 5 5 2" xfId="29333"/>
    <cellStyle name="强调文字颜色 5 2 2 5 5 3" xfId="29334"/>
    <cellStyle name="强调文字颜色 5 2 2 5 6" xfId="29335"/>
    <cellStyle name="强调文字颜色 5 2 2 6" xfId="29336"/>
    <cellStyle name="强调文字颜色 5 2 2 6 2" xfId="11797"/>
    <cellStyle name="强调文字颜色 5 2 2 6 3" xfId="11802"/>
    <cellStyle name="强调文字颜色 5 2 2 7" xfId="29337"/>
    <cellStyle name="强调文字颜色 5 2 2 7 2" xfId="23326"/>
    <cellStyle name="强调文字颜色 5 2 2 7 3" xfId="23334"/>
    <cellStyle name="强调文字颜色 5 2 2 8" xfId="29338"/>
    <cellStyle name="强调文字颜色 5 2 2 9" xfId="29339"/>
    <cellStyle name="强调文字颜色 5 2 2 9 2" xfId="23551"/>
    <cellStyle name="强调文字颜色 5 2 2 9 3" xfId="5214"/>
    <cellStyle name="强调文字颜色 5 2 3" xfId="28153"/>
    <cellStyle name="强调文字颜色 5 2 3 10" xfId="25086"/>
    <cellStyle name="强调文字颜色 5 2 3 2" xfId="29340"/>
    <cellStyle name="强调文字颜色 5 2 3 2 2" xfId="28313"/>
    <cellStyle name="强调文字颜色 5 2 3 2 2 2" xfId="29341"/>
    <cellStyle name="强调文字颜色 5 2 3 2 2 2 2" xfId="19825"/>
    <cellStyle name="强调文字颜色 5 2 3 2 2 2 2 2" xfId="11600"/>
    <cellStyle name="强调文字颜色 5 2 3 2 2 2 2 3" xfId="9539"/>
    <cellStyle name="强调文字颜色 5 2 3 2 2 2 3" xfId="1664"/>
    <cellStyle name="强调文字颜色 5 2 3 2 2 2 3 2" xfId="6776"/>
    <cellStyle name="强调文字颜色 5 2 3 2 2 2 3 3" xfId="6794"/>
    <cellStyle name="强调文字颜色 5 2 3 2 2 2 4" xfId="5889"/>
    <cellStyle name="强调文字颜色 5 2 3 2 2 2 5" xfId="2655"/>
    <cellStyle name="强调文字颜色 5 2 3 2 2 2 5 2" xfId="27980"/>
    <cellStyle name="强调文字颜色 5 2 3 2 2 2 5 3" xfId="29343"/>
    <cellStyle name="强调文字颜色 5 2 3 2 2 2 6" xfId="1990"/>
    <cellStyle name="强调文字颜色 5 2 3 2 2 3" xfId="29344"/>
    <cellStyle name="强调文字颜色 5 2 3 2 2 3 2" xfId="20412"/>
    <cellStyle name="强调文字颜色 5 2 3 2 2 3 3" xfId="1697"/>
    <cellStyle name="强调文字颜色 5 2 3 2 2 4" xfId="29345"/>
    <cellStyle name="强调文字颜色 5 2 3 2 2 4 2" xfId="18609"/>
    <cellStyle name="强调文字颜色 5 2 3 2 2 4 3" xfId="2268"/>
    <cellStyle name="强调文字颜色 5 2 3 2 2 5" xfId="29346"/>
    <cellStyle name="强调文字颜色 5 2 3 2 2 6" xfId="542"/>
    <cellStyle name="强调文字颜色 5 2 3 2 2 6 2" xfId="18637"/>
    <cellStyle name="强调文字颜色 5 2 3 2 2 6 3" xfId="18643"/>
    <cellStyle name="强调文字颜色 5 2 3 2 2 7" xfId="1656"/>
    <cellStyle name="强调文字颜色 5 2 3 2 3" xfId="24476"/>
    <cellStyle name="强调文字颜色 5 2 3 2 3 2" xfId="29347"/>
    <cellStyle name="强调文字颜色 5 2 3 2 3 2 2" xfId="21862"/>
    <cellStyle name="强调文字颜色 5 2 3 2 3 2 3" xfId="21874"/>
    <cellStyle name="强调文字颜色 5 2 3 2 3 3" xfId="29204"/>
    <cellStyle name="强调文字颜色 5 2 3 2 3 3 2" xfId="21911"/>
    <cellStyle name="强调文字颜色 5 2 3 2 3 3 3" xfId="21927"/>
    <cellStyle name="强调文字颜色 5 2 3 2 3 4" xfId="29206"/>
    <cellStyle name="强调文字颜色 5 2 3 2 3 5" xfId="29208"/>
    <cellStyle name="强调文字颜色 5 2 3 2 3 5 2" xfId="5091"/>
    <cellStyle name="强调文字颜色 5 2 3 2 3 5 3" xfId="5116"/>
    <cellStyle name="强调文字颜色 5 2 3 2 3 6" xfId="29210"/>
    <cellStyle name="强调文字颜色 5 2 3 2 4" xfId="24478"/>
    <cellStyle name="强调文字颜色 5 2 3 2 4 2" xfId="29348"/>
    <cellStyle name="强调文字颜色 5 2 3 2 4 3" xfId="29213"/>
    <cellStyle name="强调文字颜色 5 2 3 2 5" xfId="29349"/>
    <cellStyle name="强调文字颜色 5 2 3 2 5 2" xfId="29350"/>
    <cellStyle name="强调文字颜色 5 2 3 2 5 3" xfId="29216"/>
    <cellStyle name="强调文字颜色 5 2 3 2 6" xfId="29351"/>
    <cellStyle name="强调文字颜色 5 2 3 2 7" xfId="29352"/>
    <cellStyle name="强调文字颜色 5 2 3 2 7 2" xfId="26113"/>
    <cellStyle name="强调文字颜色 5 2 3 2 7 3" xfId="29219"/>
    <cellStyle name="强调文字颜色 5 2 3 2 8" xfId="26758"/>
    <cellStyle name="强调文字颜色 5 2 3 3" xfId="29353"/>
    <cellStyle name="强调文字颜色 5 2 3 3 2" xfId="29354"/>
    <cellStyle name="强调文字颜色 5 2 3 3 2 2" xfId="29355"/>
    <cellStyle name="强调文字颜色 5 2 3 3 2 2 2" xfId="29356"/>
    <cellStyle name="强调文字颜色 5 2 3 3 2 2 3" xfId="7387"/>
    <cellStyle name="强调文字颜色 5 2 3 3 2 3" xfId="28474"/>
    <cellStyle name="强调文字颜色 5 2 3 3 2 3 2" xfId="29357"/>
    <cellStyle name="强调文字颜色 5 2 3 3 2 3 3" xfId="2956"/>
    <cellStyle name="强调文字颜色 5 2 3 3 2 4" xfId="28476"/>
    <cellStyle name="强调文字颜色 5 2 3 3 2 5" xfId="29358"/>
    <cellStyle name="强调文字颜色 5 2 3 3 2 5 2" xfId="20833"/>
    <cellStyle name="强调文字颜色 5 2 3 3 2 5 3" xfId="3478"/>
    <cellStyle name="强调文字颜色 5 2 3 3 2 6" xfId="29359"/>
    <cellStyle name="强调文字颜色 5 2 3 3 3" xfId="24482"/>
    <cellStyle name="强调文字颜色 5 2 3 3 3 2" xfId="24484"/>
    <cellStyle name="强调文字颜色 5 2 3 3 3 3" xfId="24487"/>
    <cellStyle name="强调文字颜色 5 2 3 3 4" xfId="24490"/>
    <cellStyle name="强调文字颜色 5 2 3 3 4 2" xfId="29360"/>
    <cellStyle name="强调文字颜色 5 2 3 3 4 3" xfId="29222"/>
    <cellStyle name="强调文字颜色 5 2 3 3 5" xfId="24492"/>
    <cellStyle name="强调文字颜色 5 2 3 3 6" xfId="29361"/>
    <cellStyle name="强调文字颜色 5 2 3 3 6 2" xfId="10534"/>
    <cellStyle name="强调文字颜色 5 2 3 3 6 3" xfId="29225"/>
    <cellStyle name="强调文字颜色 5 2 3 3 7" xfId="29362"/>
    <cellStyle name="强调文字颜色 5 2 3 4" xfId="29363"/>
    <cellStyle name="强调文字颜色 5 2 3 4 2" xfId="11811"/>
    <cellStyle name="强调文字颜色 5 2 3 4 2 2" xfId="10256"/>
    <cellStyle name="强调文字颜色 5 2 3 4 2 2 2" xfId="11814"/>
    <cellStyle name="强调文字颜色 5 2 3 4 2 2 3" xfId="3260"/>
    <cellStyle name="强调文字颜色 5 2 3 4 2 3" xfId="11817"/>
    <cellStyle name="强调文字颜色 5 2 3 4 2 3 2" xfId="29364"/>
    <cellStyle name="强调文字颜色 5 2 3 4 2 3 3" xfId="3921"/>
    <cellStyle name="强调文字颜色 5 2 3 4 2 4" xfId="11823"/>
    <cellStyle name="强调文字颜色 5 2 3 4 2 5" xfId="25572"/>
    <cellStyle name="强调文字颜色 5 2 3 4 2 5 2" xfId="29365"/>
    <cellStyle name="强调文字颜色 5 2 3 4 2 5 3" xfId="4308"/>
    <cellStyle name="强调文字颜色 5 2 3 4 2 6" xfId="29366"/>
    <cellStyle name="强调文字颜色 5 2 3 4 3" xfId="9888"/>
    <cellStyle name="强调文字颜色 5 2 3 4 3 2" xfId="29367"/>
    <cellStyle name="强调文字颜色 5 2 3 4 3 3" xfId="29368"/>
    <cellStyle name="强调文字颜色 5 2 3 4 4" xfId="29369"/>
    <cellStyle name="强调文字颜色 5 2 3 4 4 2" xfId="29370"/>
    <cellStyle name="强调文字颜色 5 2 3 4 4 3" xfId="29371"/>
    <cellStyle name="强调文字颜色 5 2 3 4 5" xfId="12392"/>
    <cellStyle name="强调文字颜色 5 2 3 4 6" xfId="12394"/>
    <cellStyle name="强调文字颜色 5 2 3 4 6 2" xfId="12397"/>
    <cellStyle name="强调文字颜色 5 2 3 4 6 3" xfId="29372"/>
    <cellStyle name="强调文字颜色 5 2 3 4 7" xfId="29374"/>
    <cellStyle name="强调文字颜色 5 2 3 5" xfId="29375"/>
    <cellStyle name="强调文字颜色 5 2 3 5 2" xfId="11837"/>
    <cellStyle name="强调文字颜色 5 2 3 5 2 2" xfId="25370"/>
    <cellStyle name="强调文字颜色 5 2 3 5 2 3" xfId="29376"/>
    <cellStyle name="强调文字颜色 5 2 3 5 3" xfId="9895"/>
    <cellStyle name="强调文字颜色 5 2 3 5 3 2" xfId="29377"/>
    <cellStyle name="强调文字颜色 5 2 3 5 3 3" xfId="29378"/>
    <cellStyle name="强调文字颜色 5 2 3 5 4" xfId="29379"/>
    <cellStyle name="强调文字颜色 5 2 3 5 5" xfId="29380"/>
    <cellStyle name="强调文字颜色 5 2 3 5 5 2" xfId="29381"/>
    <cellStyle name="强调文字颜色 5 2 3 5 5 3" xfId="29382"/>
    <cellStyle name="强调文字颜色 5 2 3 5 6" xfId="29383"/>
    <cellStyle name="强调文字颜色 5 2 3 6" xfId="29384"/>
    <cellStyle name="强调文字颜色 5 2 3 6 2" xfId="23693"/>
    <cellStyle name="强调文字颜色 5 2 3 6 3" xfId="23704"/>
    <cellStyle name="强调文字颜色 5 2 3 7" xfId="29385"/>
    <cellStyle name="强调文字颜色 5 2 3 7 2" xfId="23775"/>
    <cellStyle name="强调文字颜色 5 2 3 7 3" xfId="23781"/>
    <cellStyle name="强调文字颜色 5 2 3 8" xfId="29386"/>
    <cellStyle name="强调文字颜色 5 2 3 9" xfId="29387"/>
    <cellStyle name="强调文字颜色 5 2 3 9 2" xfId="23827"/>
    <cellStyle name="强调文字颜色 5 2 3 9 3" xfId="7080"/>
    <cellStyle name="强调文字颜色 5 2 4" xfId="1153"/>
    <cellStyle name="强调文字颜色 5 2 4 10" xfId="16564"/>
    <cellStyle name="强调文字颜色 5 2 4 2" xfId="2791"/>
    <cellStyle name="强调文字颜色 5 2 4 2 2" xfId="6743"/>
    <cellStyle name="强调文字颜色 5 2 4 2 2 2" xfId="9360"/>
    <cellStyle name="强调文字颜色 5 2 4 2 2 2 2" xfId="27824"/>
    <cellStyle name="强调文字颜色 5 2 4 2 2 2 2 2" xfId="27826"/>
    <cellStyle name="强调文字颜色 5 2 4 2 2 2 2 3" xfId="27828"/>
    <cellStyle name="强调文字颜色 5 2 4 2 2 2 3" xfId="27831"/>
    <cellStyle name="强调文字颜色 5 2 4 2 2 2 3 2" xfId="29388"/>
    <cellStyle name="强调文字颜色 5 2 4 2 2 2 3 3" xfId="29389"/>
    <cellStyle name="强调文字颜色 5 2 4 2 2 2 4" xfId="17032"/>
    <cellStyle name="强调文字颜色 5 2 4 2 2 2 5" xfId="17035"/>
    <cellStyle name="强调文字颜色 5 2 4 2 2 2 5 2" xfId="22189"/>
    <cellStyle name="强调文字颜色 5 2 4 2 2 2 5 3" xfId="22192"/>
    <cellStyle name="强调文字颜色 5 2 4 2 2 2 6" xfId="17038"/>
    <cellStyle name="强调文字颜色 5 2 4 2 2 3" xfId="9370"/>
    <cellStyle name="强调文字颜色 5 2 4 2 2 3 2" xfId="27836"/>
    <cellStyle name="强调文字颜色 5 2 4 2 2 3 3" xfId="29390"/>
    <cellStyle name="强调文字颜色 5 2 4 2 2 4" xfId="28486"/>
    <cellStyle name="强调文字颜色 5 2 4 2 2 4 2" xfId="27840"/>
    <cellStyle name="强调文字颜色 5 2 4 2 2 4 3" xfId="3666"/>
    <cellStyle name="强调文字颜色 5 2 4 2 2 5" xfId="28375"/>
    <cellStyle name="强调文字颜色 5 2 4 2 2 6" xfId="8631"/>
    <cellStyle name="强调文字颜色 5 2 4 2 2 6 2" xfId="29391"/>
    <cellStyle name="强调文字颜色 5 2 4 2 2 6 3" xfId="29392"/>
    <cellStyle name="强调文字颜色 5 2 4 2 2 7" xfId="8637"/>
    <cellStyle name="强调文字颜色 5 2 4 2 3" xfId="7393"/>
    <cellStyle name="强调文字颜色 5 2 4 2 3 2" xfId="28767"/>
    <cellStyle name="强调文字颜色 5 2 4 2 3 2 2" xfId="25165"/>
    <cellStyle name="强调文字颜色 5 2 4 2 3 2 3" xfId="29393"/>
    <cellStyle name="强调文字颜色 5 2 4 2 3 3" xfId="10081"/>
    <cellStyle name="强调文字颜色 5 2 4 2 3 3 2" xfId="3343"/>
    <cellStyle name="强调文字颜色 5 2 4 2 3 3 3" xfId="4445"/>
    <cellStyle name="强调文字颜色 5 2 4 2 3 4" xfId="10092"/>
    <cellStyle name="强调文字颜色 5 2 4 2 3 5" xfId="28379"/>
    <cellStyle name="强调文字颜色 5 2 4 2 3 5 2" xfId="24757"/>
    <cellStyle name="强调文字颜色 5 2 4 2 3 5 3" xfId="24762"/>
    <cellStyle name="强调文字颜色 5 2 4 2 3 6" xfId="28381"/>
    <cellStyle name="强调文字颜色 5 2 4 2 4" xfId="24496"/>
    <cellStyle name="强调文字颜色 5 2 4 2 4 2" xfId="24498"/>
    <cellStyle name="强调文字颜色 5 2 4 2 4 3" xfId="10709"/>
    <cellStyle name="强调文字颜色 5 2 4 2 5" xfId="3932"/>
    <cellStyle name="强调文字颜色 5 2 4 2 5 2" xfId="1912"/>
    <cellStyle name="强调文字颜色 5 2 4 2 5 3" xfId="3943"/>
    <cellStyle name="强调文字颜色 5 2 4 2 6" xfId="1015"/>
    <cellStyle name="强调文字颜色 5 2 4 2 7" xfId="236"/>
    <cellStyle name="强调文字颜色 5 2 4 2 7 2" xfId="29394"/>
    <cellStyle name="强调文字颜色 5 2 4 2 7 3" xfId="29396"/>
    <cellStyle name="强调文字颜色 5 2 4 2 8" xfId="26771"/>
    <cellStyle name="强调文字颜色 5 2 4 3" xfId="2980"/>
    <cellStyle name="强调文字颜色 5 2 4 3 2" xfId="5009"/>
    <cellStyle name="强调文字颜色 5 2 4 3 2 2" xfId="10437"/>
    <cellStyle name="强调文字颜色 5 2 4 3 2 2 2" xfId="29397"/>
    <cellStyle name="强调文字颜色 5 2 4 3 2 2 3" xfId="29398"/>
    <cellStyle name="强调文字颜色 5 2 4 3 2 3" xfId="21306"/>
    <cellStyle name="强调文字颜色 5 2 4 3 2 3 2" xfId="29399"/>
    <cellStyle name="强调文字颜色 5 2 4 3 2 3 3" xfId="29400"/>
    <cellStyle name="强调文字颜色 5 2 4 3 2 4" xfId="21308"/>
    <cellStyle name="强调文字颜色 5 2 4 3 2 5" xfId="21311"/>
    <cellStyle name="强调文字颜色 5 2 4 3 2 5 2" xfId="4608"/>
    <cellStyle name="强调文字颜色 5 2 4 3 2 5 3" xfId="28384"/>
    <cellStyle name="强调文字颜色 5 2 4 3 2 6" xfId="21314"/>
    <cellStyle name="强调文字颜色 5 2 4 3 3" xfId="21319"/>
    <cellStyle name="强调文字颜色 5 2 4 3 3 2" xfId="9902"/>
    <cellStyle name="强调文字颜色 5 2 4 3 3 3" xfId="9904"/>
    <cellStyle name="强调文字颜色 5 2 4 3 4" xfId="21328"/>
    <cellStyle name="强调文字颜色 5 2 4 3 4 2" xfId="21330"/>
    <cellStyle name="强调文字颜色 5 2 4 3 4 3" xfId="10741"/>
    <cellStyle name="强调文字颜色 5 2 4 3 5" xfId="746"/>
    <cellStyle name="强调文字颜色 5 2 4 3 6" xfId="759"/>
    <cellStyle name="强调文字颜色 5 2 4 3 6 2" xfId="10580"/>
    <cellStyle name="强调文字颜色 5 2 4 3 6 3" xfId="29401"/>
    <cellStyle name="强调文字颜色 5 2 4 3 7" xfId="29402"/>
    <cellStyle name="强调文字颜色 5 2 4 4" xfId="29403"/>
    <cellStyle name="强调文字颜色 5 2 4 4 2" xfId="8511"/>
    <cellStyle name="强调文字颜色 5 2 4 4 2 2" xfId="10588"/>
    <cellStyle name="强调文字颜色 5 2 4 4 2 2 2" xfId="20243"/>
    <cellStyle name="强调文字颜色 5 2 4 4 2 2 3" xfId="23677"/>
    <cellStyle name="强调文字颜色 5 2 4 4 2 3" xfId="29404"/>
    <cellStyle name="强调文字颜色 5 2 4 4 2 3 2" xfId="29405"/>
    <cellStyle name="强调文字颜色 5 2 4 4 2 3 3" xfId="29406"/>
    <cellStyle name="强调文字颜色 5 2 4 4 2 4" xfId="29407"/>
    <cellStyle name="强调文字颜色 5 2 4 4 2 5" xfId="28387"/>
    <cellStyle name="强调文字颜色 5 2 4 4 2 5 2" xfId="10251"/>
    <cellStyle name="强调文字颜色 5 2 4 4 2 5 3" xfId="8495"/>
    <cellStyle name="强调文字颜色 5 2 4 4 2 6" xfId="28389"/>
    <cellStyle name="强调文字颜色 5 2 4 4 3" xfId="16306"/>
    <cellStyle name="强调文字颜色 5 2 4 4 3 2" xfId="29408"/>
    <cellStyle name="强调文字颜色 5 2 4 4 3 3" xfId="10756"/>
    <cellStyle name="强调文字颜色 5 2 4 4 4" xfId="16310"/>
    <cellStyle name="强调文字颜色 5 2 4 4 4 2" xfId="29409"/>
    <cellStyle name="强调文字颜色 5 2 4 4 4 3" xfId="29410"/>
    <cellStyle name="强调文字颜色 5 2 4 4 5" xfId="3958"/>
    <cellStyle name="强调文字颜色 5 2 4 4 6" xfId="2652"/>
    <cellStyle name="强调文字颜色 5 2 4 4 6 2" xfId="22316"/>
    <cellStyle name="强调文字颜色 5 2 4 4 6 3" xfId="22333"/>
    <cellStyle name="强调文字颜色 5 2 4 4 7" xfId="26111"/>
    <cellStyle name="强调文字颜色 5 2 4 5" xfId="29411"/>
    <cellStyle name="强调文字颜色 5 2 4 5 2" xfId="11852"/>
    <cellStyle name="强调文字颜色 5 2 4 5 2 2" xfId="29412"/>
    <cellStyle name="强调文字颜色 5 2 4 5 2 3" xfId="29413"/>
    <cellStyle name="强调文字颜色 5 2 4 5 3" xfId="10307"/>
    <cellStyle name="强调文字颜色 5 2 4 5 3 2" xfId="29414"/>
    <cellStyle name="强调文字颜色 5 2 4 5 3 3" xfId="29415"/>
    <cellStyle name="强调文字颜色 5 2 4 5 4" xfId="21347"/>
    <cellStyle name="强调文字颜色 5 2 4 5 5" xfId="29416"/>
    <cellStyle name="强调文字颜色 5 2 4 5 5 2" xfId="29417"/>
    <cellStyle name="强调文字颜色 5 2 4 5 5 3" xfId="29418"/>
    <cellStyle name="强调文字颜色 5 2 4 5 6" xfId="29419"/>
    <cellStyle name="强调文字颜色 5 2 4 6" xfId="29420"/>
    <cellStyle name="强调文字颜色 5 2 4 6 2" xfId="21363"/>
    <cellStyle name="强调文字颜色 5 2 4 6 3" xfId="21367"/>
    <cellStyle name="强调文字颜色 5 2 4 7" xfId="29421"/>
    <cellStyle name="强调文字颜色 5 2 4 7 2" xfId="21377"/>
    <cellStyle name="强调文字颜色 5 2 4 7 3" xfId="21381"/>
    <cellStyle name="强调文字颜色 5 2 4 8" xfId="29422"/>
    <cellStyle name="强调文字颜色 5 2 4 9" xfId="29423"/>
    <cellStyle name="强调文字颜色 5 2 4 9 2" xfId="16763"/>
    <cellStyle name="强调文字颜色 5 2 4 9 3" xfId="7422"/>
    <cellStyle name="强调文字颜色 5 2 5" xfId="2380"/>
    <cellStyle name="强调文字颜色 5 2 5 2" xfId="29424"/>
    <cellStyle name="强调文字颜色 5 2 5 2 2" xfId="700"/>
    <cellStyle name="强调文字颜色 5 2 5 2 2 2" xfId="9413"/>
    <cellStyle name="强调文字颜色 5 2 5 2 2 2 2" xfId="28828"/>
    <cellStyle name="强调文字颜色 5 2 5 2 2 2 3" xfId="28830"/>
    <cellStyle name="强调文字颜色 5 2 5 2 2 3" xfId="9423"/>
    <cellStyle name="强调文字颜色 5 2 5 2 2 3 2" xfId="29425"/>
    <cellStyle name="强调文字颜色 5 2 5 2 2 3 3" xfId="29426"/>
    <cellStyle name="强调文字颜色 5 2 5 2 2 4" xfId="28496"/>
    <cellStyle name="强调文字颜色 5 2 5 2 2 5" xfId="29427"/>
    <cellStyle name="强调文字颜色 5 2 5 2 2 5 2" xfId="29428"/>
    <cellStyle name="强调文字颜色 5 2 5 2 2 5 3" xfId="29429"/>
    <cellStyle name="强调文字颜色 5 2 5 2 2 6" xfId="29430"/>
    <cellStyle name="强调文字颜色 5 2 5 2 3" xfId="9431"/>
    <cellStyle name="强调文字颜色 5 2 5 2 3 2" xfId="28850"/>
    <cellStyle name="强调文字颜色 5 2 5 2 3 3" xfId="10827"/>
    <cellStyle name="强调文字颜色 5 2 5 2 4" xfId="29431"/>
    <cellStyle name="强调文字颜色 5 2 5 2 4 2" xfId="19551"/>
    <cellStyle name="强调文字颜色 5 2 5 2 4 3" xfId="10838"/>
    <cellStyle name="强调文字颜色 5 2 5 2 5" xfId="3972"/>
    <cellStyle name="强调文字颜色 5 2 5 2 6" xfId="3983"/>
    <cellStyle name="强调文字颜色 5 2 5 2 6 2" xfId="29432"/>
    <cellStyle name="强调文字颜色 5 2 5 2 6 3" xfId="29239"/>
    <cellStyle name="强调文字颜色 5 2 5 2 7" xfId="29433"/>
    <cellStyle name="强调文字颜色 5 2 5 3" xfId="27681"/>
    <cellStyle name="强调文字颜色 5 2 5 3 2" xfId="848"/>
    <cellStyle name="强调文字颜色 5 2 5 3 2 2" xfId="28870"/>
    <cellStyle name="强调文字颜色 5 2 5 3 2 3" xfId="29434"/>
    <cellStyle name="强调文字颜色 5 2 5 3 3" xfId="7437"/>
    <cellStyle name="强调文字颜色 5 2 5 3 3 2" xfId="29435"/>
    <cellStyle name="强调文字颜色 5 2 5 3 3 3" xfId="9917"/>
    <cellStyle name="强调文字颜色 5 2 5 3 4" xfId="21436"/>
    <cellStyle name="强调文字颜色 5 2 5 3 5" xfId="3985"/>
    <cellStyle name="强调文字颜色 5 2 5 3 5 2" xfId="29436"/>
    <cellStyle name="强调文字颜色 5 2 5 3 5 3" xfId="29437"/>
    <cellStyle name="强调文字颜色 5 2 5 3 6" xfId="2306"/>
    <cellStyle name="强调文字颜色 5 2 5 4" xfId="27683"/>
    <cellStyle name="强调文字颜色 5 2 5 4 2" xfId="9433"/>
    <cellStyle name="强调文字颜色 5 2 5 4 3" xfId="21439"/>
    <cellStyle name="强调文字颜色 5 2 5 5" xfId="29438"/>
    <cellStyle name="强调文字颜色 5 2 5 5 2" xfId="21448"/>
    <cellStyle name="强调文字颜色 5 2 5 5 3" xfId="21451"/>
    <cellStyle name="强调文字颜色 5 2 5 6" xfId="29439"/>
    <cellStyle name="强调文字颜色 5 2 5 7" xfId="29440"/>
    <cellStyle name="强调文字颜色 5 2 5 7 2" xfId="21474"/>
    <cellStyle name="强调文字颜色 5 2 5 7 3" xfId="21477"/>
    <cellStyle name="强调文字颜色 5 2 5 8" xfId="29441"/>
    <cellStyle name="强调文字颜色 5 2 6" xfId="11006"/>
    <cellStyle name="强调文字颜色 5 2 6 2" xfId="29442"/>
    <cellStyle name="强调文字颜色 5 2 6 2 2" xfId="1163"/>
    <cellStyle name="强调文字颜色 5 2 6 2 2 2" xfId="9492"/>
    <cellStyle name="强调文字颜色 5 2 6 2 2 3" xfId="3005"/>
    <cellStyle name="强调文字颜色 5 2 6 2 3" xfId="2913"/>
    <cellStyle name="强调文字颜色 5 2 6 2 3 2" xfId="28946"/>
    <cellStyle name="强调文字颜色 5 2 6 2 3 3" xfId="29443"/>
    <cellStyle name="强调文字颜色 5 2 6 2 4" xfId="2934"/>
    <cellStyle name="强调文字颜色 5 2 6 2 5" xfId="3996"/>
    <cellStyle name="强调文字颜色 5 2 6 2 5 2" xfId="3419"/>
    <cellStyle name="强调文字颜色 5 2 6 2 5 3" xfId="4007"/>
    <cellStyle name="强调文字颜色 5 2 6 2 6" xfId="4015"/>
    <cellStyle name="强调文字颜色 5 2 6 3" xfId="29444"/>
    <cellStyle name="强调文字颜色 5 2 6 3 2" xfId="1249"/>
    <cellStyle name="强调文字颜色 5 2 6 3 3" xfId="29445"/>
    <cellStyle name="强调文字颜色 5 2 6 4" xfId="26476"/>
    <cellStyle name="强调文字颜色 5 2 6 4 2" xfId="9497"/>
    <cellStyle name="强调文字颜色 5 2 6 4 3" xfId="26496"/>
    <cellStyle name="强调文字颜色 5 2 6 5" xfId="26525"/>
    <cellStyle name="强调文字颜色 5 2 6 6" xfId="26539"/>
    <cellStyle name="强调文字颜色 5 2 6 6 2" xfId="26541"/>
    <cellStyle name="强调文字颜色 5 2 6 6 3" xfId="7096"/>
    <cellStyle name="强调文字颜色 5 2 6 7" xfId="26544"/>
    <cellStyle name="强调文字颜色 5 2 7" xfId="16918"/>
    <cellStyle name="强调文字颜色 5 2 7 2" xfId="29446"/>
    <cellStyle name="强调文字颜色 5 2 7 2 2" xfId="149"/>
    <cellStyle name="强调文字颜色 5 2 7 2 2 2" xfId="29002"/>
    <cellStyle name="强调文字颜色 5 2 7 2 2 3" xfId="29447"/>
    <cellStyle name="强调文字颜色 5 2 7 2 3" xfId="18880"/>
    <cellStyle name="强调文字颜色 5 2 7 2 3 2" xfId="18882"/>
    <cellStyle name="强调文字颜色 5 2 7 2 3 3" xfId="18884"/>
    <cellStyle name="强调文字颜色 5 2 7 2 4" xfId="18889"/>
    <cellStyle name="强调文字颜色 5 2 7 2 5" xfId="4038"/>
    <cellStyle name="强调文字颜色 5 2 7 2 5 2" xfId="18898"/>
    <cellStyle name="强调文字颜色 5 2 7 2 5 3" xfId="18901"/>
    <cellStyle name="强调文字颜色 5 2 7 2 6" xfId="4052"/>
    <cellStyle name="强调文字颜色 5 2 7 3" xfId="8042"/>
    <cellStyle name="强调文字颜色 5 2 7 3 2" xfId="1580"/>
    <cellStyle name="强调文字颜色 5 2 7 3 3" xfId="8046"/>
    <cellStyle name="强调文字颜色 5 2 7 4" xfId="8050"/>
    <cellStyle name="强调文字颜色 5 2 7 4 2" xfId="26554"/>
    <cellStyle name="强调文字颜色 5 2 7 4 3" xfId="18935"/>
    <cellStyle name="强调文字颜色 5 2 7 5" xfId="25828"/>
    <cellStyle name="强调文字颜色 5 2 7 6" xfId="26610"/>
    <cellStyle name="强调文字颜色 5 2 7 6 2" xfId="26612"/>
    <cellStyle name="强调文字颜色 5 2 7 6 3" xfId="18944"/>
    <cellStyle name="强调文字颜色 5 2 7 7" xfId="12114"/>
    <cellStyle name="强调文字颜色 5 2 8" xfId="16921"/>
    <cellStyle name="强调文字颜色 5 2 8 2" xfId="29448"/>
    <cellStyle name="强调文字颜色 5 2 8 2 2" xfId="29449"/>
    <cellStyle name="强调文字颜色 5 2 8 2 3" xfId="19108"/>
    <cellStyle name="强调文字颜色 5 2 8 3" xfId="8052"/>
    <cellStyle name="强调文字颜色 5 2 8 3 2" xfId="29450"/>
    <cellStyle name="强调文字颜色 5 2 8 3 3" xfId="19114"/>
    <cellStyle name="强调文字颜色 5 2 8 4" xfId="8055"/>
    <cellStyle name="强调文字颜色 5 2 8 5" xfId="26707"/>
    <cellStyle name="强调文字颜色 5 2 8 5 2" xfId="26709"/>
    <cellStyle name="强调文字颜色 5 2 8 5 3" xfId="19124"/>
    <cellStyle name="强调文字颜色 5 2 8 6" xfId="26783"/>
    <cellStyle name="强调文字颜色 5 2 9" xfId="16923"/>
    <cellStyle name="强调文字颜色 5 2 9 2" xfId="29451"/>
    <cellStyle name="强调文字颜色 5 2 9 2 2" xfId="29452"/>
    <cellStyle name="强调文字颜色 5 2 9 2 3" xfId="19250"/>
    <cellStyle name="强调文字颜色 5 2 9 3" xfId="29453"/>
    <cellStyle name="强调文字颜色 5 2 9 4" xfId="26818"/>
    <cellStyle name="强调文字颜色 5 2 9 4 2" xfId="17403"/>
    <cellStyle name="强调文字颜色 5 2 9 4 3" xfId="17407"/>
    <cellStyle name="强调文字颜色 5 2 9 5" xfId="26835"/>
    <cellStyle name="强调文字颜色 5 3" xfId="25649"/>
    <cellStyle name="强调文字颜色 5 3 2" xfId="26829"/>
    <cellStyle name="强调文字颜色 5 3 3" xfId="29454"/>
    <cellStyle name="强调文字颜色 5 4" xfId="25652"/>
    <cellStyle name="强调文字颜色 6 2" xfId="29455"/>
    <cellStyle name="强调文字颜色 6 2 10" xfId="23088"/>
    <cellStyle name="强调文字颜色 6 2 10 2" xfId="7468"/>
    <cellStyle name="强调文字颜色 6 2 10 3" xfId="27689"/>
    <cellStyle name="强调文字颜色 6 2 11" xfId="23090"/>
    <cellStyle name="强调文字颜色 6 2 12" xfId="23092"/>
    <cellStyle name="强调文字颜色 6 2 12 2" xfId="27702"/>
    <cellStyle name="强调文字颜色 6 2 12 3" xfId="29457"/>
    <cellStyle name="强调文字颜色 6 2 13" xfId="2742"/>
    <cellStyle name="强调文字颜色 6 2 2" xfId="29458"/>
    <cellStyle name="强调文字颜色 6 2 2 10" xfId="29459"/>
    <cellStyle name="强调文字颜色 6 2 2 2" xfId="29460"/>
    <cellStyle name="强调文字颜色 6 2 2 2 2" xfId="29461"/>
    <cellStyle name="强调文字颜色 6 2 2 2 2 2" xfId="29462"/>
    <cellStyle name="强调文字颜色 6 2 2 2 2 2 2" xfId="29463"/>
    <cellStyle name="强调文字颜色 6 2 2 2 2 2 2 2" xfId="3323"/>
    <cellStyle name="强调文字颜色 6 2 2 2 2 2 2 3" xfId="3334"/>
    <cellStyle name="强调文字颜色 6 2 2 2 2 2 3" xfId="1730"/>
    <cellStyle name="强调文字颜色 6 2 2 2 2 2 3 2" xfId="5552"/>
    <cellStyle name="强调文字颜色 6 2 2 2 2 2 3 3" xfId="5562"/>
    <cellStyle name="强调文字颜色 6 2 2 2 2 2 4" xfId="970"/>
    <cellStyle name="强调文字颜色 6 2 2 2 2 2 5" xfId="979"/>
    <cellStyle name="强调文字颜色 6 2 2 2 2 2 5 2" xfId="4891"/>
    <cellStyle name="强调文字颜色 6 2 2 2 2 2 5 3" xfId="5582"/>
    <cellStyle name="强调文字颜色 6 2 2 2 2 2 6" xfId="3207"/>
    <cellStyle name="强调文字颜色 6 2 2 2 2 3" xfId="29464"/>
    <cellStyle name="强调文字颜色 6 2 2 2 2 3 2" xfId="29465"/>
    <cellStyle name="强调文字颜色 6 2 2 2 2 3 3" xfId="29466"/>
    <cellStyle name="强调文字颜色 6 2 2 2 2 4" xfId="29467"/>
    <cellStyle name="强调文字颜色 6 2 2 2 2 4 2" xfId="29468"/>
    <cellStyle name="强调文字颜色 6 2 2 2 2 4 3" xfId="29469"/>
    <cellStyle name="强调文字颜色 6 2 2 2 2 5" xfId="5687"/>
    <cellStyle name="强调文字颜色 6 2 2 2 2 6" xfId="3738"/>
    <cellStyle name="强调文字颜色 6 2 2 2 2 6 2" xfId="5746"/>
    <cellStyle name="强调文字颜色 6 2 2 2 2 6 3" xfId="5751"/>
    <cellStyle name="强调文字颜色 6 2 2 2 2 7" xfId="1344"/>
    <cellStyle name="强调文字颜色 6 2 2 2 3" xfId="24642"/>
    <cellStyle name="强调文字颜色 6 2 2 2 3 2" xfId="24645"/>
    <cellStyle name="强调文字颜色 6 2 2 2 3 2 2" xfId="25584"/>
    <cellStyle name="强调文字颜色 6 2 2 2 3 2 3" xfId="18208"/>
    <cellStyle name="强调文字颜色 6 2 2 2 3 3" xfId="24648"/>
    <cellStyle name="强调文字颜色 6 2 2 2 3 3 2" xfId="24651"/>
    <cellStyle name="强调文字颜色 6 2 2 2 3 3 3" xfId="29470"/>
    <cellStyle name="强调文字颜色 6 2 2 2 3 4" xfId="29471"/>
    <cellStyle name="强调文字颜色 6 2 2 2 3 5" xfId="12516"/>
    <cellStyle name="强调文字颜色 6 2 2 2 3 5 2" xfId="12520"/>
    <cellStyle name="强调文字颜色 6 2 2 2 3 5 3" xfId="12533"/>
    <cellStyle name="强调文字颜色 6 2 2 2 3 6" xfId="12535"/>
    <cellStyle name="强调文字颜色 6 2 2 2 4" xfId="24654"/>
    <cellStyle name="强调文字颜色 6 2 2 2 4 2" xfId="29472"/>
    <cellStyle name="强调文字颜色 6 2 2 2 4 3" xfId="28170"/>
    <cellStyle name="强调文字颜色 6 2 2 2 5" xfId="24657"/>
    <cellStyle name="强调文字颜色 6 2 2 2 5 2" xfId="9398"/>
    <cellStyle name="强调文字颜色 6 2 2 2 5 3" xfId="17438"/>
    <cellStyle name="强调文字颜色 6 2 2 2 6" xfId="29473"/>
    <cellStyle name="强调文字颜色 6 2 2 2 7" xfId="29474"/>
    <cellStyle name="强调文字颜色 6 2 2 2 7 2" xfId="26241"/>
    <cellStyle name="强调文字颜色 6 2 2 2 7 3" xfId="17469"/>
    <cellStyle name="强调文字颜色 6 2 2 2 8" xfId="26848"/>
    <cellStyle name="强调文字颜色 6 2 2 3" xfId="29475"/>
    <cellStyle name="强调文字颜色 6 2 2 3 2" xfId="23448"/>
    <cellStyle name="强调文字颜色 6 2 2 3 2 2" xfId="23450"/>
    <cellStyle name="强调文字颜色 6 2 2 3 2 2 2" xfId="8186"/>
    <cellStyle name="强调文字颜色 6 2 2 3 2 2 3" xfId="12741"/>
    <cellStyle name="强调文字颜色 6 2 2 3 2 3" xfId="23452"/>
    <cellStyle name="强调文字颜色 6 2 2 3 2 3 2" xfId="8202"/>
    <cellStyle name="强调文字颜色 6 2 2 3 2 3 3" xfId="12748"/>
    <cellStyle name="强调文字颜色 6 2 2 3 2 4" xfId="23454"/>
    <cellStyle name="强调文字颜色 6 2 2 3 2 5" xfId="12624"/>
    <cellStyle name="强调文字颜色 6 2 2 3 2 5 2" xfId="5294"/>
    <cellStyle name="强调文字颜色 6 2 2 3 2 5 3" xfId="12634"/>
    <cellStyle name="强调文字颜色 6 2 2 3 2 6" xfId="12638"/>
    <cellStyle name="强调文字颜色 6 2 2 3 3" xfId="23456"/>
    <cellStyle name="强调文字颜色 6 2 2 3 3 2" xfId="23458"/>
    <cellStyle name="强调文字颜色 6 2 2 3 3 3" xfId="23461"/>
    <cellStyle name="强调文字颜色 6 2 2 3 4" xfId="23465"/>
    <cellStyle name="强调文字颜色 6 2 2 3 4 2" xfId="23467"/>
    <cellStyle name="强调文字颜色 6 2 2 3 4 3" xfId="23469"/>
    <cellStyle name="强调文字颜色 6 2 2 3 5" xfId="23471"/>
    <cellStyle name="强调文字颜色 6 2 2 3 6" xfId="29476"/>
    <cellStyle name="强调文字颜色 6 2 2 3 6 2" xfId="10787"/>
    <cellStyle name="强调文字颜色 6 2 2 3 6 3" xfId="29477"/>
    <cellStyle name="强调文字颜色 6 2 2 3 7" xfId="25695"/>
    <cellStyle name="强调文字颜色 6 2 2 4" xfId="29478"/>
    <cellStyle name="强调文字颜色 6 2 2 4 2" xfId="4580"/>
    <cellStyle name="强调文字颜色 6 2 2 4 2 2" xfId="17078"/>
    <cellStyle name="强调文字颜色 6 2 2 4 2 2 2" xfId="29479"/>
    <cellStyle name="强调文字颜色 6 2 2 4 2 2 3" xfId="29481"/>
    <cellStyle name="强调文字颜色 6 2 2 4 2 3" xfId="17081"/>
    <cellStyle name="强调文字颜色 6 2 2 4 2 3 2" xfId="29482"/>
    <cellStyle name="强调文字颜色 6 2 2 4 2 3 3" xfId="29483"/>
    <cellStyle name="强调文字颜色 6 2 2 4 2 4" xfId="17083"/>
    <cellStyle name="强调文字颜色 6 2 2 4 2 5" xfId="12738"/>
    <cellStyle name="强调文字颜色 6 2 2 4 2 5 2" xfId="5443"/>
    <cellStyle name="强调文字颜色 6 2 2 4 2 5 3" xfId="24365"/>
    <cellStyle name="强调文字颜色 6 2 2 4 2 6" xfId="12137"/>
    <cellStyle name="强调文字颜色 6 2 2 4 3" xfId="23478"/>
    <cellStyle name="强调文字颜色 6 2 2 4 3 2" xfId="17087"/>
    <cellStyle name="强调文字颜色 6 2 2 4 3 3" xfId="17089"/>
    <cellStyle name="强调文字颜色 6 2 2 4 4" xfId="23480"/>
    <cellStyle name="强调文字颜色 6 2 2 4 4 2" xfId="17101"/>
    <cellStyle name="强调文字颜色 6 2 2 4 4 3" xfId="17103"/>
    <cellStyle name="强调文字颜色 6 2 2 4 5" xfId="12483"/>
    <cellStyle name="强调文字颜色 6 2 2 4 6" xfId="12485"/>
    <cellStyle name="强调文字颜色 6 2 2 4 6 2" xfId="10800"/>
    <cellStyle name="强调文字颜色 6 2 2 4 6 3" xfId="29484"/>
    <cellStyle name="强调文字颜色 6 2 2 4 7" xfId="29485"/>
    <cellStyle name="强调文字颜色 6 2 2 5" xfId="29486"/>
    <cellStyle name="强调文字颜色 6 2 2 5 2" xfId="8112"/>
    <cellStyle name="强调文字颜色 6 2 2 5 2 2" xfId="29487"/>
    <cellStyle name="强调文字颜色 6 2 2 5 2 3" xfId="29490"/>
    <cellStyle name="强调文字颜色 6 2 2 5 3" xfId="23487"/>
    <cellStyle name="强调文字颜色 6 2 2 5 3 2" xfId="29492"/>
    <cellStyle name="强调文字颜色 6 2 2 5 3 3" xfId="29494"/>
    <cellStyle name="强调文字颜色 6 2 2 5 4" xfId="23489"/>
    <cellStyle name="强调文字颜色 6 2 2 5 5" xfId="11988"/>
    <cellStyle name="强调文字颜色 6 2 2 5 5 2" xfId="11991"/>
    <cellStyle name="强调文字颜色 6 2 2 5 5 3" xfId="12007"/>
    <cellStyle name="强调文字颜色 6 2 2 5 6" xfId="12012"/>
    <cellStyle name="强调文字颜色 6 2 2 6" xfId="11676"/>
    <cellStyle name="强调文字颜色 6 2 2 6 2" xfId="8123"/>
    <cellStyle name="强调文字颜色 6 2 2 6 3" xfId="23496"/>
    <cellStyle name="强调文字颜色 6 2 2 7" xfId="7919"/>
    <cellStyle name="强调文字颜色 6 2 2 7 2" xfId="10122"/>
    <cellStyle name="强调文字颜色 6 2 2 7 3" xfId="10126"/>
    <cellStyle name="强调文字颜色 6 2 2 8" xfId="7926"/>
    <cellStyle name="强调文字颜色 6 2 2 9" xfId="10134"/>
    <cellStyle name="强调文字颜色 6 2 2 9 2" xfId="23519"/>
    <cellStyle name="强调文字颜色 6 2 2 9 3" xfId="23521"/>
    <cellStyle name="强调文字颜色 6 2 3" xfId="29496"/>
    <cellStyle name="强调文字颜色 6 2 3 10" xfId="25490"/>
    <cellStyle name="强调文字颜色 6 2 3 2" xfId="29497"/>
    <cellStyle name="强调文字颜色 6 2 3 2 2" xfId="29498"/>
    <cellStyle name="强调文字颜色 6 2 3 2 2 2" xfId="29499"/>
    <cellStyle name="强调文字颜色 6 2 3 2 2 2 2" xfId="20987"/>
    <cellStyle name="强调文字颜色 6 2 3 2 2 2 2 2" xfId="15867"/>
    <cellStyle name="强调文字颜色 6 2 3 2 2 2 2 3" xfId="20258"/>
    <cellStyle name="强调文字颜色 6 2 3 2 2 2 3" xfId="20989"/>
    <cellStyle name="强调文字颜色 6 2 3 2 2 2 3 2" xfId="15879"/>
    <cellStyle name="强调文字颜色 6 2 3 2 2 2 3 3" xfId="20264"/>
    <cellStyle name="强调文字颜色 6 2 3 2 2 2 4" xfId="29500"/>
    <cellStyle name="强调文字颜色 6 2 3 2 2 2 5" xfId="29501"/>
    <cellStyle name="强调文字颜色 6 2 3 2 2 2 5 2" xfId="15886"/>
    <cellStyle name="强调文字颜色 6 2 3 2 2 2 5 3" xfId="9550"/>
    <cellStyle name="强调文字颜色 6 2 3 2 2 2 6" xfId="728"/>
    <cellStyle name="强调文字颜色 6 2 3 2 2 3" xfId="29502"/>
    <cellStyle name="强调文字颜色 6 2 3 2 2 3 2" xfId="20997"/>
    <cellStyle name="强调文字颜色 6 2 3 2 2 3 3" xfId="29503"/>
    <cellStyle name="强调文字颜色 6 2 3 2 2 4" xfId="29504"/>
    <cellStyle name="强调文字颜色 6 2 3 2 2 4 2" xfId="29505"/>
    <cellStyle name="强调文字颜色 6 2 3 2 2 4 3" xfId="29506"/>
    <cellStyle name="强调文字颜色 6 2 3 2 2 5" xfId="29507"/>
    <cellStyle name="强调文字颜色 6 2 3 2 2 6" xfId="29508"/>
    <cellStyle name="强调文字颜色 6 2 3 2 2 6 2" xfId="12319"/>
    <cellStyle name="强调文字颜色 6 2 3 2 2 6 3" xfId="12334"/>
    <cellStyle name="强调文字颜色 6 2 3 2 2 7" xfId="29509"/>
    <cellStyle name="强调文字颜色 6 2 3 2 3" xfId="24663"/>
    <cellStyle name="强调文字颜色 6 2 3 2 3 2" xfId="29510"/>
    <cellStyle name="强调文字颜色 6 2 3 2 3 2 2" xfId="25592"/>
    <cellStyle name="强调文字颜色 6 2 3 2 3 2 3" xfId="29511"/>
    <cellStyle name="强调文字颜色 6 2 3 2 3 3" xfId="29512"/>
    <cellStyle name="强调文字颜色 6 2 3 2 3 3 2" xfId="29513"/>
    <cellStyle name="强调文字颜色 6 2 3 2 3 3 3" xfId="25121"/>
    <cellStyle name="强调文字颜色 6 2 3 2 3 4" xfId="29514"/>
    <cellStyle name="强调文字颜色 6 2 3 2 3 5" xfId="29515"/>
    <cellStyle name="强调文字颜色 6 2 3 2 3 5 2" xfId="29516"/>
    <cellStyle name="强调文字颜色 6 2 3 2 3 5 3" xfId="11505"/>
    <cellStyle name="强调文字颜色 6 2 3 2 3 6" xfId="29517"/>
    <cellStyle name="强调文字颜色 6 2 3 2 4" xfId="24665"/>
    <cellStyle name="强调文字颜色 6 2 3 2 4 2" xfId="29518"/>
    <cellStyle name="强调文字颜色 6 2 3 2 4 3" xfId="28176"/>
    <cellStyle name="强调文字颜色 6 2 3 2 5" xfId="29519"/>
    <cellStyle name="强调文字颜色 6 2 3 2 5 2" xfId="29520"/>
    <cellStyle name="强调文字颜色 6 2 3 2 5 3" xfId="29521"/>
    <cellStyle name="强调文字颜色 6 2 3 2 6" xfId="29522"/>
    <cellStyle name="强调文字颜色 6 2 3 2 7" xfId="28160"/>
    <cellStyle name="强调文字颜色 6 2 3 2 7 2" xfId="28162"/>
    <cellStyle name="强调文字颜色 6 2 3 2 7 3" xfId="28164"/>
    <cellStyle name="强调文字颜色 6 2 3 2 8" xfId="26859"/>
    <cellStyle name="强调文字颜色 6 2 3 3" xfId="29523"/>
    <cellStyle name="强调文字颜色 6 2 3 3 2" xfId="23536"/>
    <cellStyle name="强调文字颜色 6 2 3 3 2 2" xfId="29524"/>
    <cellStyle name="强调文字颜色 6 2 3 3 2 2 2" xfId="29525"/>
    <cellStyle name="强调文字颜色 6 2 3 3 2 2 3" xfId="29526"/>
    <cellStyle name="强调文字颜色 6 2 3 3 2 3" xfId="29527"/>
    <cellStyle name="强调文字颜色 6 2 3 3 2 3 2" xfId="29528"/>
    <cellStyle name="强调文字颜色 6 2 3 3 2 3 3" xfId="29529"/>
    <cellStyle name="强调文字颜色 6 2 3 3 2 4" xfId="29530"/>
    <cellStyle name="强调文字颜色 6 2 3 3 2 5" xfId="29531"/>
    <cellStyle name="强调文字颜色 6 2 3 3 2 5 2" xfId="29532"/>
    <cellStyle name="强调文字颜色 6 2 3 3 2 5 3" xfId="29533"/>
    <cellStyle name="强调文字颜色 6 2 3 3 2 6" xfId="29534"/>
    <cellStyle name="强调文字颜色 6 2 3 3 3" xfId="23539"/>
    <cellStyle name="强调文字颜色 6 2 3 3 3 2" xfId="1280"/>
    <cellStyle name="强调文字颜色 6 2 3 3 3 3" xfId="24669"/>
    <cellStyle name="强调文字颜色 6 2 3 3 4" xfId="23542"/>
    <cellStyle name="强调文字颜色 6 2 3 3 4 2" xfId="13742"/>
    <cellStyle name="强调文字颜色 6 2 3 3 4 3" xfId="13744"/>
    <cellStyle name="强调文字颜色 6 2 3 3 5" xfId="24672"/>
    <cellStyle name="强调文字颜色 6 2 3 3 6" xfId="29535"/>
    <cellStyle name="强调文字颜色 6 2 3 3 6 2" xfId="10812"/>
    <cellStyle name="强调文字颜色 6 2 3 3 6 3" xfId="29536"/>
    <cellStyle name="强调文字颜色 6 2 3 3 7" xfId="28183"/>
    <cellStyle name="强调文字颜色 6 2 3 4" xfId="29537"/>
    <cellStyle name="强调文字颜色 6 2 3 4 2" xfId="11958"/>
    <cellStyle name="强调文字颜色 6 2 3 4 2 2" xfId="29538"/>
    <cellStyle name="强调文字颜色 6 2 3 4 2 2 2" xfId="29540"/>
    <cellStyle name="强调文字颜色 6 2 3 4 2 2 3" xfId="29541"/>
    <cellStyle name="强调文字颜色 6 2 3 4 2 3" xfId="29542"/>
    <cellStyle name="强调文字颜色 6 2 3 4 2 3 2" xfId="23261"/>
    <cellStyle name="强调文字颜色 6 2 3 4 2 3 3" xfId="23263"/>
    <cellStyle name="强调文字颜色 6 2 3 4 2 4" xfId="29543"/>
    <cellStyle name="强调文字颜色 6 2 3 4 2 5" xfId="29544"/>
    <cellStyle name="强调文字颜色 6 2 3 4 2 5 2" xfId="29545"/>
    <cellStyle name="强调文字颜色 6 2 3 4 2 5 3" xfId="29546"/>
    <cellStyle name="强调文字颜色 6 2 3 4 2 6" xfId="29547"/>
    <cellStyle name="强调文字颜色 6 2 3 4 3" xfId="23547"/>
    <cellStyle name="强调文字颜色 6 2 3 4 3 2" xfId="29548"/>
    <cellStyle name="强调文字颜色 6 2 3 4 3 3" xfId="29549"/>
    <cellStyle name="强调文字颜色 6 2 3 4 4" xfId="23549"/>
    <cellStyle name="强调文字颜色 6 2 3 4 4 2" xfId="29550"/>
    <cellStyle name="强调文字颜色 6 2 3 4 4 3" xfId="29551"/>
    <cellStyle name="强调文字颜色 6 2 3 4 5" xfId="12491"/>
    <cellStyle name="强调文字颜色 6 2 3 4 6" xfId="12494"/>
    <cellStyle name="强调文字颜色 6 2 3 4 6 2" xfId="12497"/>
    <cellStyle name="强调文字颜色 6 2 3 4 6 3" xfId="29552"/>
    <cellStyle name="强调文字颜色 6 2 3 4 7" xfId="28197"/>
    <cellStyle name="强调文字颜色 6 2 3 5" xfId="29553"/>
    <cellStyle name="强调文字颜色 6 2 3 5 2" xfId="8141"/>
    <cellStyle name="强调文字颜色 6 2 3 5 2 2" xfId="25834"/>
    <cellStyle name="强调文字颜色 6 2 3 5 2 3" xfId="29554"/>
    <cellStyle name="强调文字颜色 6 2 3 5 3" xfId="18871"/>
    <cellStyle name="强调文字颜色 6 2 3 5 3 2" xfId="29555"/>
    <cellStyle name="强调文字颜色 6 2 3 5 3 3" xfId="29556"/>
    <cellStyle name="强调文字颜色 6 2 3 5 4" xfId="18874"/>
    <cellStyle name="强调文字颜色 6 2 3 5 5" xfId="18876"/>
    <cellStyle name="强调文字颜色 6 2 3 5 5 2" xfId="29557"/>
    <cellStyle name="强调文字颜色 6 2 3 5 5 3" xfId="29558"/>
    <cellStyle name="强调文字颜色 6 2 3 5 6" xfId="29559"/>
    <cellStyle name="强调文字颜色 6 2 3 6" xfId="29560"/>
    <cellStyle name="强调文字颜色 6 2 3 6 2" xfId="2261"/>
    <cellStyle name="强调文字颜色 6 2 3 6 3" xfId="2625"/>
    <cellStyle name="强调文字颜色 6 2 3 7" xfId="10137"/>
    <cellStyle name="强调文字颜色 6 2 3 7 2" xfId="6932"/>
    <cellStyle name="强调文字颜色 6 2 3 7 3" xfId="6936"/>
    <cellStyle name="强调文字颜色 6 2 3 8" xfId="10139"/>
    <cellStyle name="强调文字颜色 6 2 3 9" xfId="29561"/>
    <cellStyle name="强调文字颜色 6 2 3 9 2" xfId="23556"/>
    <cellStyle name="强调文字颜色 6 2 3 9 3" xfId="23558"/>
    <cellStyle name="强调文字颜色 6 2 4" xfId="1239"/>
    <cellStyle name="强调文字颜色 6 2 4 10" xfId="29562"/>
    <cellStyle name="强调文字颜色 6 2 4 2" xfId="29563"/>
    <cellStyle name="强调文字颜色 6 2 4 2 2" xfId="9640"/>
    <cellStyle name="强调文字颜色 6 2 4 2 2 2" xfId="9642"/>
    <cellStyle name="强调文字颜色 6 2 4 2 2 2 2" xfId="18612"/>
    <cellStyle name="强调文字颜色 6 2 4 2 2 2 2 2" xfId="20144"/>
    <cellStyle name="强调文字颜色 6 2 4 2 2 2 2 3" xfId="9745"/>
    <cellStyle name="强调文字颜色 6 2 4 2 2 2 3" xfId="2265"/>
    <cellStyle name="强调文字颜色 6 2 4 2 2 2 3 2" xfId="2285"/>
    <cellStyle name="强调文字颜色 6 2 4 2 2 2 3 3" xfId="2367"/>
    <cellStyle name="强调文字颜色 6 2 4 2 2 2 4" xfId="2452"/>
    <cellStyle name="强调文字颜色 6 2 4 2 2 2 5" xfId="2546"/>
    <cellStyle name="强调文字颜色 6 2 4 2 2 2 5 2" xfId="20169"/>
    <cellStyle name="强调文字颜色 6 2 4 2 2 2 5 3" xfId="2578"/>
    <cellStyle name="强调文字颜色 6 2 4 2 2 2 6" xfId="29565"/>
    <cellStyle name="强调文字颜色 6 2 4 2 2 3" xfId="9649"/>
    <cellStyle name="强调文字颜色 6 2 4 2 2 3 2" xfId="18619"/>
    <cellStyle name="强调文字颜色 6 2 4 2 2 3 3" xfId="2628"/>
    <cellStyle name="强调文字颜色 6 2 4 2 2 4" xfId="544"/>
    <cellStyle name="强调文字颜色 6 2 4 2 2 4 2" xfId="18640"/>
    <cellStyle name="强调文字颜色 6 2 4 2 2 4 3" xfId="18646"/>
    <cellStyle name="强调文字颜色 6 2 4 2 2 5" xfId="1654"/>
    <cellStyle name="强调文字颜色 6 2 4 2 2 6" xfId="29566"/>
    <cellStyle name="强调文字颜色 6 2 4 2 2 6 2" xfId="12575"/>
    <cellStyle name="强调文字颜色 6 2 4 2 2 6 3" xfId="27175"/>
    <cellStyle name="强调文字颜色 6 2 4 2 2 7" xfId="29567"/>
    <cellStyle name="强调文字颜色 6 2 4 2 3" xfId="9654"/>
    <cellStyle name="强调文字颜色 6 2 4 2 3 2" xfId="28825"/>
    <cellStyle name="强调文字颜色 6 2 4 2 3 2 2" xfId="25599"/>
    <cellStyle name="强调文字颜色 6 2 4 2 3 2 3" xfId="29568"/>
    <cellStyle name="强调文字颜色 6 2 4 2 3 3" xfId="29569"/>
    <cellStyle name="强调文字颜色 6 2 4 2 3 3 2" xfId="29570"/>
    <cellStyle name="强调文字颜色 6 2 4 2 3 3 3" xfId="25253"/>
    <cellStyle name="强调文字颜色 6 2 4 2 3 4" xfId="29571"/>
    <cellStyle name="强调文字颜色 6 2 4 2 3 5" xfId="29572"/>
    <cellStyle name="强调文字颜色 6 2 4 2 3 5 2" xfId="27458"/>
    <cellStyle name="强调文字颜色 6 2 4 2 3 5 3" xfId="5693"/>
    <cellStyle name="强调文字颜色 6 2 4 2 3 6" xfId="29573"/>
    <cellStyle name="强调文字颜色 6 2 4 2 4" xfId="24676"/>
    <cellStyle name="强调文字颜色 6 2 4 2 4 2" xfId="24678"/>
    <cellStyle name="强调文字颜色 6 2 4 2 4 3" xfId="29574"/>
    <cellStyle name="强调文字颜色 6 2 4 2 5" xfId="29575"/>
    <cellStyle name="强调文字颜色 6 2 4 2 5 2" xfId="28831"/>
    <cellStyle name="强调文字颜色 6 2 4 2 5 3" xfId="29576"/>
    <cellStyle name="强调文字颜色 6 2 4 2 6" xfId="29577"/>
    <cellStyle name="强调文字颜色 6 2 4 2 7" xfId="29578"/>
    <cellStyle name="强调文字颜色 6 2 4 2 7 2" xfId="16343"/>
    <cellStyle name="强调文字颜色 6 2 4 2 7 3" xfId="16345"/>
    <cellStyle name="强调文字颜色 6 2 4 2 8" xfId="29579"/>
    <cellStyle name="强调文字颜色 6 2 4 3" xfId="29580"/>
    <cellStyle name="强调文字颜色 6 2 4 3 2" xfId="9664"/>
    <cellStyle name="强调文字颜色 6 2 4 3 2 2" xfId="28840"/>
    <cellStyle name="强调文字颜色 6 2 4 3 2 2 2" xfId="29582"/>
    <cellStyle name="强调文字颜色 6 2 4 3 2 2 3" xfId="29583"/>
    <cellStyle name="强调文字颜色 6 2 4 3 2 3" xfId="29584"/>
    <cellStyle name="强调文字颜色 6 2 4 3 2 3 2" xfId="29585"/>
    <cellStyle name="强调文字颜色 6 2 4 3 2 3 3" xfId="29586"/>
    <cellStyle name="强调文字颜色 6 2 4 3 2 4" xfId="13155"/>
    <cellStyle name="强调文字颜色 6 2 4 3 2 5" xfId="13157"/>
    <cellStyle name="强调文字颜色 6 2 4 3 2 5 2" xfId="5290"/>
    <cellStyle name="强调文字颜色 6 2 4 3 2 5 3" xfId="29587"/>
    <cellStyle name="强调文字颜色 6 2 4 3 2 6" xfId="13159"/>
    <cellStyle name="强调文字颜色 6 2 4 3 3" xfId="29588"/>
    <cellStyle name="强调文字颜色 6 2 4 3 3 2" xfId="29590"/>
    <cellStyle name="强调文字颜色 6 2 4 3 3 3" xfId="29592"/>
    <cellStyle name="强调文字颜色 6 2 4 3 4" xfId="29593"/>
    <cellStyle name="强调文字颜色 6 2 4 3 4 2" xfId="28848"/>
    <cellStyle name="强调文字颜色 6 2 4 3 4 3" xfId="29594"/>
    <cellStyle name="强调文字颜色 6 2 4 3 5" xfId="29595"/>
    <cellStyle name="强调文字颜色 6 2 4 3 6" xfId="29596"/>
    <cellStyle name="强调文字颜色 6 2 4 3 6 2" xfId="10832"/>
    <cellStyle name="强调文字颜色 6 2 4 3 6 3" xfId="29597"/>
    <cellStyle name="强调文字颜色 6 2 4 3 7" xfId="29598"/>
    <cellStyle name="强调文字颜色 6 2 4 4" xfId="29599"/>
    <cellStyle name="强调文字颜色 6 2 4 4 2" xfId="9672"/>
    <cellStyle name="强调文字颜色 6 2 4 4 2 2" xfId="11826"/>
    <cellStyle name="强调文字颜色 6 2 4 4 2 2 2" xfId="29601"/>
    <cellStyle name="强调文字颜色 6 2 4 4 2 2 3" xfId="29603"/>
    <cellStyle name="强调文字颜色 6 2 4 4 2 3" xfId="19539"/>
    <cellStyle name="强调文字颜色 6 2 4 4 2 3 2" xfId="29604"/>
    <cellStyle name="强调文字颜色 6 2 4 4 2 3 3" xfId="29606"/>
    <cellStyle name="强调文字颜色 6 2 4 4 2 4" xfId="19541"/>
    <cellStyle name="强调文字颜色 6 2 4 4 2 5" xfId="19543"/>
    <cellStyle name="强调文字颜色 6 2 4 4 2 5 2" xfId="29608"/>
    <cellStyle name="强调文字颜色 6 2 4 4 2 5 3" xfId="29609"/>
    <cellStyle name="强调文字颜色 6 2 4 4 2 6" xfId="19545"/>
    <cellStyle name="强调文字颜色 6 2 4 4 3" xfId="29610"/>
    <cellStyle name="强调文字颜色 6 2 4 4 3 2" xfId="29611"/>
    <cellStyle name="强调文字颜色 6 2 4 4 3 3" xfId="29612"/>
    <cellStyle name="强调文字颜色 6 2 4 4 4" xfId="29613"/>
    <cellStyle name="强调文字颜色 6 2 4 4 4 2" xfId="29614"/>
    <cellStyle name="强调文字颜色 6 2 4 4 4 3" xfId="29615"/>
    <cellStyle name="强调文字颜色 6 2 4 4 5" xfId="29616"/>
    <cellStyle name="强调文字颜色 6 2 4 4 6" xfId="29617"/>
    <cellStyle name="强调文字颜色 6 2 4 4 6 2" xfId="29618"/>
    <cellStyle name="强调文字颜色 6 2 4 4 6 3" xfId="29619"/>
    <cellStyle name="强调文字颜色 6 2 4 4 7" xfId="29620"/>
    <cellStyle name="强调文字颜色 6 2 4 5" xfId="29621"/>
    <cellStyle name="强调文字颜色 6 2 4 5 2" xfId="8168"/>
    <cellStyle name="强调文字颜色 6 2 4 5 2 2" xfId="29623"/>
    <cellStyle name="强调文字颜色 6 2 4 5 2 3" xfId="29625"/>
    <cellStyle name="强调文字颜色 6 2 4 5 3" xfId="10610"/>
    <cellStyle name="强调文字颜色 6 2 4 5 3 2" xfId="29626"/>
    <cellStyle name="强调文字颜色 6 2 4 5 3 3" xfId="29627"/>
    <cellStyle name="强调文字颜色 6 2 4 5 4" xfId="10614"/>
    <cellStyle name="强调文字颜色 6 2 4 5 5" xfId="12201"/>
    <cellStyle name="强调文字颜色 6 2 4 5 5 2" xfId="29628"/>
    <cellStyle name="强调文字颜色 6 2 4 5 5 3" xfId="29629"/>
    <cellStyle name="强调文字颜色 6 2 4 5 6" xfId="12213"/>
    <cellStyle name="强调文字颜色 6 2 4 6" xfId="29630"/>
    <cellStyle name="强调文字颜色 6 2 4 6 2" xfId="29632"/>
    <cellStyle name="强调文字颜色 6 2 4 6 3" xfId="29633"/>
    <cellStyle name="强调文字颜色 6 2 4 7" xfId="10145"/>
    <cellStyle name="强调文字颜色 6 2 4 7 2" xfId="29634"/>
    <cellStyle name="强调文字颜色 6 2 4 7 3" xfId="29635"/>
    <cellStyle name="强调文字颜色 6 2 4 8" xfId="10149"/>
    <cellStyle name="强调文字颜色 6 2 4 9" xfId="29636"/>
    <cellStyle name="强调文字颜色 6 2 4 9 2" xfId="29637"/>
    <cellStyle name="强调文字颜色 6 2 4 9 3" xfId="11626"/>
    <cellStyle name="强调文字颜色 6 2 5" xfId="2776"/>
    <cellStyle name="强调文字颜色 6 2 5 2" xfId="29638"/>
    <cellStyle name="强调文字颜色 6 2 5 2 2" xfId="2170"/>
    <cellStyle name="强调文字颜色 6 2 5 2 2 2" xfId="9732"/>
    <cellStyle name="强调文字颜色 6 2 5 2 2 2 2" xfId="3270"/>
    <cellStyle name="强调文字颜色 6 2 5 2 2 2 3" xfId="29153"/>
    <cellStyle name="强调文字颜色 6 2 5 2 2 3" xfId="8615"/>
    <cellStyle name="强调文字颜色 6 2 5 2 2 3 2" xfId="8619"/>
    <cellStyle name="强调文字颜色 6 2 5 2 2 3 3" xfId="8460"/>
    <cellStyle name="强调文字颜色 6 2 5 2 2 4" xfId="8629"/>
    <cellStyle name="强调文字颜色 6 2 5 2 2 5" xfId="8635"/>
    <cellStyle name="强调文字颜色 6 2 5 2 2 5 2" xfId="29640"/>
    <cellStyle name="强调文字颜色 6 2 5 2 2 5 3" xfId="28727"/>
    <cellStyle name="强调文字颜色 6 2 5 2 2 6" xfId="29641"/>
    <cellStyle name="强调文字颜色 6 2 5 2 3" xfId="9736"/>
    <cellStyle name="强调文字颜色 6 2 5 2 3 2" xfId="29162"/>
    <cellStyle name="强调文字颜色 6 2 5 2 3 3" xfId="8651"/>
    <cellStyle name="强调文字颜色 6 2 5 2 4" xfId="29643"/>
    <cellStyle name="强调文字颜色 6 2 5 2 4 2" xfId="28868"/>
    <cellStyle name="强调文字颜色 6 2 5 2 4 3" xfId="190"/>
    <cellStyle name="强调文字颜色 6 2 5 2 5" xfId="29644"/>
    <cellStyle name="强调文字颜色 6 2 5 2 6" xfId="29645"/>
    <cellStyle name="强调文字颜色 6 2 5 2 6 2" xfId="29646"/>
    <cellStyle name="强调文字颜色 6 2 5 2 6 3" xfId="29647"/>
    <cellStyle name="强调文字颜色 6 2 5 2 7" xfId="29648"/>
    <cellStyle name="强调文字颜色 6 2 5 3" xfId="29649"/>
    <cellStyle name="强调文字颜色 6 2 5 3 2" xfId="873"/>
    <cellStyle name="强调文字颜色 6 2 5 3 2 2" xfId="29174"/>
    <cellStyle name="强调文字颜色 6 2 5 3 2 3" xfId="29651"/>
    <cellStyle name="强调文字颜色 6 2 5 3 3" xfId="29652"/>
    <cellStyle name="强调文字颜色 6 2 5 3 3 2" xfId="29653"/>
    <cellStyle name="强调文字颜色 6 2 5 3 3 3" xfId="29654"/>
    <cellStyle name="强调文字颜色 6 2 5 3 4" xfId="29655"/>
    <cellStyle name="强调文字颜色 6 2 5 3 5" xfId="29656"/>
    <cellStyle name="强调文字颜色 6 2 5 3 5 2" xfId="29657"/>
    <cellStyle name="强调文字颜色 6 2 5 3 5 3" xfId="29658"/>
    <cellStyle name="强调文字颜色 6 2 5 3 6" xfId="29659"/>
    <cellStyle name="强调文字颜色 6 2 5 4" xfId="29660"/>
    <cellStyle name="强调文字颜色 6 2 5 4 2" xfId="9741"/>
    <cellStyle name="强调文字颜色 6 2 5 4 3" xfId="29661"/>
    <cellStyle name="强调文字颜色 6 2 5 5" xfId="29662"/>
    <cellStyle name="强调文字颜色 6 2 5 5 2" xfId="29663"/>
    <cellStyle name="强调文字颜色 6 2 5 5 3" xfId="29664"/>
    <cellStyle name="强调文字颜色 6 2 5 6" xfId="29665"/>
    <cellStyle name="强调文字颜色 6 2 5 7" xfId="29666"/>
    <cellStyle name="强调文字颜色 6 2 5 7 2" xfId="29667"/>
    <cellStyle name="强调文字颜色 6 2 5 7 3" xfId="29668"/>
    <cellStyle name="强调文字颜色 6 2 5 8" xfId="29669"/>
    <cellStyle name="强调文字颜色 6 2 6" xfId="11028"/>
    <cellStyle name="强调文字颜色 6 2 6 2" xfId="29670"/>
    <cellStyle name="强调文字颜色 6 2 6 2 2" xfId="2541"/>
    <cellStyle name="强调文字颜色 6 2 6 2 2 2" xfId="9809"/>
    <cellStyle name="强调文字颜色 6 2 6 2 2 3" xfId="5777"/>
    <cellStyle name="强调文字颜色 6 2 6 2 3" xfId="115"/>
    <cellStyle name="强调文字颜色 6 2 6 2 3 2" xfId="23940"/>
    <cellStyle name="强调文字颜色 6 2 6 2 3 3" xfId="5878"/>
    <cellStyle name="强调文字颜色 6 2 6 2 4" xfId="29672"/>
    <cellStyle name="强调文字颜色 6 2 6 2 5" xfId="29673"/>
    <cellStyle name="强调文字颜色 6 2 6 2 5 2" xfId="23956"/>
    <cellStyle name="强调文字颜色 6 2 6 2 5 3" xfId="23958"/>
    <cellStyle name="强调文字颜色 6 2 6 2 6" xfId="11380"/>
    <cellStyle name="强调文字颜色 6 2 6 3" xfId="29674"/>
    <cellStyle name="强调文字颜色 6 2 6 3 2" xfId="2614"/>
    <cellStyle name="强调文字颜色 6 2 6 3 3" xfId="29676"/>
    <cellStyle name="强调文字颜色 6 2 6 4" xfId="29677"/>
    <cellStyle name="强调文字颜色 6 2 6 4 2" xfId="9817"/>
    <cellStyle name="强调文字颜色 6 2 6 4 3" xfId="29678"/>
    <cellStyle name="强调文字颜色 6 2 6 5" xfId="29679"/>
    <cellStyle name="强调文字颜色 6 2 6 6" xfId="29680"/>
    <cellStyle name="强调文字颜色 6 2 6 6 2" xfId="29681"/>
    <cellStyle name="强调文字颜色 6 2 6 6 3" xfId="29682"/>
    <cellStyle name="强调文字颜色 6 2 6 7" xfId="29683"/>
    <cellStyle name="强调文字颜色 6 2 7" xfId="17120"/>
    <cellStyle name="强调文字颜色 6 2 7 2" xfId="29684"/>
    <cellStyle name="强调文字颜色 6 2 7 2 2" xfId="2410"/>
    <cellStyle name="强调文字颜色 6 2 7 2 2 2" xfId="29255"/>
    <cellStyle name="强调文字颜色 6 2 7 2 2 3" xfId="6179"/>
    <cellStyle name="强调文字颜色 6 2 7 2 3" xfId="14276"/>
    <cellStyle name="强调文字颜色 6 2 7 2 3 2" xfId="29685"/>
    <cellStyle name="强调文字颜色 6 2 7 2 3 3" xfId="6323"/>
    <cellStyle name="强调文字颜色 6 2 7 2 4" xfId="6021"/>
    <cellStyle name="强调文字颜色 6 2 7 2 5" xfId="6029"/>
    <cellStyle name="强调文字颜色 6 2 7 2 5 2" xfId="15094"/>
    <cellStyle name="强调文字颜色 6 2 7 2 5 3" xfId="6544"/>
    <cellStyle name="强调文字颜色 6 2 7 2 6" xfId="14758"/>
    <cellStyle name="强调文字颜色 6 2 7 3" xfId="8105"/>
    <cellStyle name="强调文字颜色 6 2 7 3 2" xfId="29686"/>
    <cellStyle name="强调文字颜色 6 2 7 3 3" xfId="19982"/>
    <cellStyle name="强调文字颜色 6 2 7 4" xfId="8107"/>
    <cellStyle name="强调文字颜色 6 2 7 4 2" xfId="29687"/>
    <cellStyle name="强调文字颜色 6 2 7 4 3" xfId="19985"/>
    <cellStyle name="强调文字颜色 6 2 7 5" xfId="29688"/>
    <cellStyle name="强调文字颜色 6 2 7 6" xfId="12027"/>
    <cellStyle name="强调文字颜色 6 2 7 6 2" xfId="12031"/>
    <cellStyle name="强调文字颜色 6 2 7 6 3" xfId="5526"/>
    <cellStyle name="强调文字颜色 6 2 7 7" xfId="12744"/>
    <cellStyle name="强调文字颜色 6 2 8" xfId="17125"/>
    <cellStyle name="强调文字颜色 6 2 8 2" xfId="29689"/>
    <cellStyle name="强调文字颜色 6 2 8 2 2" xfId="29691"/>
    <cellStyle name="强调文字颜色 6 2 8 2 3" xfId="20020"/>
    <cellStyle name="强调文字颜色 6 2 8 3" xfId="29488"/>
    <cellStyle name="强调文字颜色 6 2 8 3 2" xfId="29692"/>
    <cellStyle name="强调文字颜色 6 2 8 3 3" xfId="20027"/>
    <cellStyle name="强调文字颜色 6 2 8 4" xfId="29491"/>
    <cellStyle name="强调文字颜色 6 2 8 5" xfId="29694"/>
    <cellStyle name="强调文字颜色 6 2 8 5 2" xfId="29695"/>
    <cellStyle name="强调文字颜色 6 2 8 5 3" xfId="20038"/>
    <cellStyle name="强调文字颜色 6 2 8 6" xfId="12746"/>
    <cellStyle name="强调文字颜色 6 2 9" xfId="17130"/>
    <cellStyle name="强调文字颜色 6 2 9 2" xfId="12529"/>
    <cellStyle name="强调文字颜色 6 2 9 2 2" xfId="4354"/>
    <cellStyle name="强调文字颜色 6 2 9 2 3" xfId="29696"/>
    <cellStyle name="强调文字颜色 6 2 9 3" xfId="29493"/>
    <cellStyle name="强调文字颜色 6 2 9 4" xfId="29495"/>
    <cellStyle name="强调文字颜色 6 2 9 4 2" xfId="29697"/>
    <cellStyle name="强调文字颜色 6 2 9 4 3" xfId="29698"/>
    <cellStyle name="强调文字颜色 6 2 9 5" xfId="29699"/>
    <cellStyle name="强调文字颜色 6 3" xfId="25655"/>
    <cellStyle name="强调文字颜色 6 3 2" xfId="25657"/>
    <cellStyle name="强调文字颜色 6 3 3" xfId="25659"/>
    <cellStyle name="强调文字颜色 6 4" xfId="25662"/>
    <cellStyle name="适中 2" xfId="29700"/>
    <cellStyle name="适中 2 10" xfId="19878"/>
    <cellStyle name="适中 2 10 2" xfId="19880"/>
    <cellStyle name="适中 2 10 3" xfId="14924"/>
    <cellStyle name="适中 2 11" xfId="19882"/>
    <cellStyle name="适中 2 12" xfId="19885"/>
    <cellStyle name="适中 2 12 2" xfId="29701"/>
    <cellStyle name="适中 2 12 3" xfId="29702"/>
    <cellStyle name="适中 2 13" xfId="19890"/>
    <cellStyle name="适中 2 2" xfId="29703"/>
    <cellStyle name="适中 2 2 10" xfId="16256"/>
    <cellStyle name="适中 2 2 2" xfId="9589"/>
    <cellStyle name="适中 2 2 2 2" xfId="19968"/>
    <cellStyle name="适中 2 2 2 2 2" xfId="27806"/>
    <cellStyle name="适中 2 2 2 2 2 2" xfId="6804"/>
    <cellStyle name="适中 2 2 2 2 2 2 2" xfId="6809"/>
    <cellStyle name="适中 2 2 2 2 2 2 3" xfId="6879"/>
    <cellStyle name="适中 2 2 2 2 2 3" xfId="6627"/>
    <cellStyle name="适中 2 2 2 2 2 3 2" xfId="6636"/>
    <cellStyle name="适中 2 2 2 2 2 3 3" xfId="6693"/>
    <cellStyle name="适中 2 2 2 2 2 4" xfId="6729"/>
    <cellStyle name="适中 2 2 2 2 2 5" xfId="6768"/>
    <cellStyle name="适中 2 2 2 2 2 5 2" xfId="1665"/>
    <cellStyle name="适中 2 2 2 2 2 5 3" xfId="5890"/>
    <cellStyle name="适中 2 2 2 2 2 6" xfId="1970"/>
    <cellStyle name="适中 2 2 2 2 3" xfId="23410"/>
    <cellStyle name="适中 2 2 2 2 3 2" xfId="21993"/>
    <cellStyle name="适中 2 2 2 2 3 3" xfId="21997"/>
    <cellStyle name="适中 2 2 2 2 4" xfId="23412"/>
    <cellStyle name="适中 2 2 2 2 4 2" xfId="22010"/>
    <cellStyle name="适中 2 2 2 2 4 3" xfId="22014"/>
    <cellStyle name="适中 2 2 2 2 5" xfId="23414"/>
    <cellStyle name="适中 2 2 2 2 6" xfId="23416"/>
    <cellStyle name="适中 2 2 2 2 6 2" xfId="22054"/>
    <cellStyle name="适中 2 2 2 2 6 3" xfId="22058"/>
    <cellStyle name="适中 2 2 2 2 7" xfId="23418"/>
    <cellStyle name="适中 2 2 2 3" xfId="19970"/>
    <cellStyle name="适中 2 2 2 3 2" xfId="29704"/>
    <cellStyle name="适中 2 2 2 3 2 2" xfId="7163"/>
    <cellStyle name="适中 2 2 2 3 2 3" xfId="7214"/>
    <cellStyle name="适中 2 2 2 3 3" xfId="23425"/>
    <cellStyle name="适中 2 2 2 3 3 2" xfId="15135"/>
    <cellStyle name="适中 2 2 2 3 3 3" xfId="15139"/>
    <cellStyle name="适中 2 2 2 3 4" xfId="23427"/>
    <cellStyle name="适中 2 2 2 3 5" xfId="13287"/>
    <cellStyle name="适中 2 2 2 3 5 2" xfId="13290"/>
    <cellStyle name="适中 2 2 2 3 5 3" xfId="13295"/>
    <cellStyle name="适中 2 2 2 3 6" xfId="13306"/>
    <cellStyle name="适中 2 2 2 4" xfId="19973"/>
    <cellStyle name="适中 2 2 2 4 2" xfId="6395"/>
    <cellStyle name="适中 2 2 2 4 3" xfId="23431"/>
    <cellStyle name="适中 2 2 2 5" xfId="19976"/>
    <cellStyle name="适中 2 2 2 5 2" xfId="6402"/>
    <cellStyle name="适中 2 2 2 5 3" xfId="23443"/>
    <cellStyle name="适中 2 2 2 6" xfId="19978"/>
    <cellStyle name="适中 2 2 2 7" xfId="9042"/>
    <cellStyle name="适中 2 2 2 7 2" xfId="29705"/>
    <cellStyle name="适中 2 2 2 7 3" xfId="23459"/>
    <cellStyle name="适中 2 2 2 8" xfId="9047"/>
    <cellStyle name="适中 2 2 3" xfId="5072"/>
    <cellStyle name="适中 2 2 3 2" xfId="17030"/>
    <cellStyle name="适中 2 2 3 2 2" xfId="17033"/>
    <cellStyle name="适中 2 2 3 2 2 2" xfId="29706"/>
    <cellStyle name="适中 2 2 3 2 2 3" xfId="24629"/>
    <cellStyle name="适中 2 2 3 2 3" xfId="17036"/>
    <cellStyle name="适中 2 2 3 2 3 2" xfId="22190"/>
    <cellStyle name="适中 2 2 3 2 3 3" xfId="22193"/>
    <cellStyle name="适中 2 2 3 2 4" xfId="17039"/>
    <cellStyle name="适中 2 2 3 2 5" xfId="17041"/>
    <cellStyle name="适中 2 2 3 2 5 2" xfId="8027"/>
    <cellStyle name="适中 2 2 3 2 5 3" xfId="22207"/>
    <cellStyle name="适中 2 2 3 2 6" xfId="17043"/>
    <cellStyle name="适中 2 2 3 3" xfId="17050"/>
    <cellStyle name="适中 2 2 3 3 2" xfId="17052"/>
    <cellStyle name="适中 2 2 3 3 3" xfId="17054"/>
    <cellStyle name="适中 2 2 3 4" xfId="17062"/>
    <cellStyle name="适中 2 2 3 4 2" xfId="3753"/>
    <cellStyle name="适中 2 2 3 4 3" xfId="6547"/>
    <cellStyle name="适中 2 2 3 5" xfId="17071"/>
    <cellStyle name="适中 2 2 3 6" xfId="55"/>
    <cellStyle name="适中 2 2 3 6 2" xfId="17076"/>
    <cellStyle name="适中 2 2 3 6 3" xfId="17079"/>
    <cellStyle name="适中 2 2 3 7" xfId="6790"/>
    <cellStyle name="适中 2 2 4" xfId="3025"/>
    <cellStyle name="适中 2 2 4 2" xfId="1240"/>
    <cellStyle name="适中 2 2 4 2 2" xfId="29564"/>
    <cellStyle name="适中 2 2 4 2 2 2" xfId="9639"/>
    <cellStyle name="适中 2 2 4 2 2 3" xfId="9653"/>
    <cellStyle name="适中 2 2 4 2 3" xfId="29581"/>
    <cellStyle name="适中 2 2 4 2 3 2" xfId="9663"/>
    <cellStyle name="适中 2 2 4 2 3 3" xfId="29589"/>
    <cellStyle name="适中 2 2 4 2 4" xfId="29600"/>
    <cellStyle name="适中 2 2 4 2 5" xfId="29622"/>
    <cellStyle name="适中 2 2 4 2 5 2" xfId="8167"/>
    <cellStyle name="适中 2 2 4 2 5 3" xfId="10609"/>
    <cellStyle name="适中 2 2 4 2 6" xfId="29631"/>
    <cellStyle name="适中 2 2 4 3" xfId="2775"/>
    <cellStyle name="适中 2 2 4 3 2" xfId="29639"/>
    <cellStyle name="适中 2 2 4 3 3" xfId="29650"/>
    <cellStyle name="适中 2 2 4 4" xfId="11027"/>
    <cellStyle name="适中 2 2 4 4 2" xfId="29671"/>
    <cellStyle name="适中 2 2 4 4 3" xfId="29675"/>
    <cellStyle name="适中 2 2 4 5" xfId="17121"/>
    <cellStyle name="适中 2 2 4 6" xfId="17126"/>
    <cellStyle name="适中 2 2 4 6 2" xfId="29690"/>
    <cellStyle name="适中 2 2 4 6 3" xfId="29489"/>
    <cellStyle name="适中 2 2 4 7" xfId="17131"/>
    <cellStyle name="适中 2 2 5" xfId="3034"/>
    <cellStyle name="适中 2 2 5 2" xfId="17137"/>
    <cellStyle name="适中 2 2 5 2 2" xfId="29707"/>
    <cellStyle name="适中 2 2 5 2 3" xfId="29708"/>
    <cellStyle name="适中 2 2 5 3" xfId="17140"/>
    <cellStyle name="适中 2 2 5 3 2" xfId="29709"/>
    <cellStyle name="适中 2 2 5 3 3" xfId="29710"/>
    <cellStyle name="适中 2 2 5 4" xfId="17143"/>
    <cellStyle name="适中 2 2 5 5" xfId="17146"/>
    <cellStyle name="适中 2 2 5 5 2" xfId="170"/>
    <cellStyle name="适中 2 2 5 5 3" xfId="11289"/>
    <cellStyle name="适中 2 2 5 6" xfId="5281"/>
    <cellStyle name="适中 2 2 6" xfId="4132"/>
    <cellStyle name="适中 2 2 6 2" xfId="4137"/>
    <cellStyle name="适中 2 2 6 3" xfId="4141"/>
    <cellStyle name="适中 2 2 7" xfId="2705"/>
    <cellStyle name="适中 2 2 7 2" xfId="17165"/>
    <cellStyle name="适中 2 2 7 3" xfId="17169"/>
    <cellStyle name="适中 2 2 8" xfId="2709"/>
    <cellStyle name="适中 2 2 9" xfId="4980"/>
    <cellStyle name="适中 2 2 9 2" xfId="17182"/>
    <cellStyle name="适中 2 2 9 3" xfId="17185"/>
    <cellStyle name="适中 2 3" xfId="29711"/>
    <cellStyle name="适中 2 3 10" xfId="10558"/>
    <cellStyle name="适中 2 3 2" xfId="9606"/>
    <cellStyle name="适中 2 3 2 2" xfId="25900"/>
    <cellStyle name="适中 2 3 2 2 2" xfId="25902"/>
    <cellStyle name="适中 2 3 2 2 2 2" xfId="23523"/>
    <cellStyle name="适中 2 3 2 2 2 2 2" xfId="29712"/>
    <cellStyle name="适中 2 3 2 2 2 2 3" xfId="29713"/>
    <cellStyle name="适中 2 3 2 2 2 3" xfId="24797"/>
    <cellStyle name="适中 2 3 2 2 2 3 2" xfId="24799"/>
    <cellStyle name="适中 2 3 2 2 2 3 3" xfId="24801"/>
    <cellStyle name="适中 2 3 2 2 2 4" xfId="24803"/>
    <cellStyle name="适中 2 3 2 2 2 5" xfId="24812"/>
    <cellStyle name="适中 2 3 2 2 2 5 2" xfId="29714"/>
    <cellStyle name="适中 2 3 2 2 2 5 3" xfId="15845"/>
    <cellStyle name="适中 2 3 2 2 2 6" xfId="29715"/>
    <cellStyle name="适中 2 3 2 2 3" xfId="29716"/>
    <cellStyle name="适中 2 3 2 2 3 2" xfId="19472"/>
    <cellStyle name="适中 2 3 2 2 3 3" xfId="22833"/>
    <cellStyle name="适中 2 3 2 2 4" xfId="29717"/>
    <cellStyle name="适中 2 3 2 2 4 2" xfId="22842"/>
    <cellStyle name="适中 2 3 2 2 4 3" xfId="22844"/>
    <cellStyle name="适中 2 3 2 2 5" xfId="29718"/>
    <cellStyle name="适中 2 3 2 2 6" xfId="29719"/>
    <cellStyle name="适中 2 3 2 2 6 2" xfId="22861"/>
    <cellStyle name="适中 2 3 2 2 6 3" xfId="22863"/>
    <cellStyle name="适中 2 3 2 2 7" xfId="29720"/>
    <cellStyle name="适中 2 3 2 3" xfId="29722"/>
    <cellStyle name="适中 2 3 2 3 2" xfId="939"/>
    <cellStyle name="适中 2 3 2 3 2 2" xfId="942"/>
    <cellStyle name="适中 2 3 2 3 2 3" xfId="1012"/>
    <cellStyle name="适中 2 3 2 3 3" xfId="1023"/>
    <cellStyle name="适中 2 3 2 3 3 2" xfId="1036"/>
    <cellStyle name="适中 2 3 2 3 3 3" xfId="1053"/>
    <cellStyle name="适中 2 3 2 3 4" xfId="1056"/>
    <cellStyle name="适中 2 3 2 3 5" xfId="1084"/>
    <cellStyle name="适中 2 3 2 3 5 2" xfId="136"/>
    <cellStyle name="适中 2 3 2 3 5 3" xfId="15996"/>
    <cellStyle name="适中 2 3 2 3 6" xfId="2879"/>
    <cellStyle name="适中 2 3 2 4" xfId="29723"/>
    <cellStyle name="适中 2 3 2 4 2" xfId="1107"/>
    <cellStyle name="适中 2 3 2 4 3" xfId="29724"/>
    <cellStyle name="适中 2 3 2 5" xfId="29725"/>
    <cellStyle name="适中 2 3 2 5 2" xfId="1177"/>
    <cellStyle name="适中 2 3 2 5 3" xfId="29726"/>
    <cellStyle name="适中 2 3 2 6" xfId="29727"/>
    <cellStyle name="适中 2 3 2 7" xfId="29728"/>
    <cellStyle name="适中 2 3 2 7 2" xfId="1274"/>
    <cellStyle name="适中 2 3 2 7 3" xfId="1281"/>
    <cellStyle name="适中 2 3 2 8" xfId="29729"/>
    <cellStyle name="适中 2 3 3" xfId="9612"/>
    <cellStyle name="适中 2 3 3 2" xfId="17241"/>
    <cellStyle name="适中 2 3 3 2 2" xfId="29731"/>
    <cellStyle name="适中 2 3 3 2 2 2" xfId="29732"/>
    <cellStyle name="适中 2 3 3 2 2 3" xfId="24845"/>
    <cellStyle name="适中 2 3 3 2 3" xfId="29733"/>
    <cellStyle name="适中 2 3 3 2 3 2" xfId="29734"/>
    <cellStyle name="适中 2 3 3 2 3 3" xfId="29735"/>
    <cellStyle name="适中 2 3 3 2 4" xfId="29736"/>
    <cellStyle name="适中 2 3 3 2 5" xfId="29737"/>
    <cellStyle name="适中 2 3 3 2 5 2" xfId="26229"/>
    <cellStyle name="适中 2 3 3 2 5 3" xfId="29738"/>
    <cellStyle name="适中 2 3 3 2 6" xfId="29739"/>
    <cellStyle name="适中 2 3 3 3" xfId="1303"/>
    <cellStyle name="适中 2 3 3 3 2" xfId="29740"/>
    <cellStyle name="适中 2 3 3 3 3" xfId="29741"/>
    <cellStyle name="适中 2 3 3 4" xfId="1407"/>
    <cellStyle name="适中 2 3 3 4 2" xfId="1417"/>
    <cellStyle name="适中 2 3 3 4 3" xfId="29742"/>
    <cellStyle name="适中 2 3 3 5" xfId="1473"/>
    <cellStyle name="适中 2 3 3 6" xfId="1583"/>
    <cellStyle name="适中 2 3 3 6 2" xfId="29743"/>
    <cellStyle name="适中 2 3 3 6 3" xfId="29539"/>
    <cellStyle name="适中 2 3 3 7" xfId="1608"/>
    <cellStyle name="适中 2 3 4" xfId="1800"/>
    <cellStyle name="适中 2 3 4 2" xfId="17243"/>
    <cellStyle name="适中 2 3 4 2 2" xfId="29744"/>
    <cellStyle name="适中 2 3 4 2 2 2" xfId="9930"/>
    <cellStyle name="适中 2 3 4 2 2 3" xfId="9940"/>
    <cellStyle name="适中 2 3 4 2 3" xfId="29745"/>
    <cellStyle name="适中 2 3 4 2 3 2" xfId="9523"/>
    <cellStyle name="适中 2 3 4 2 3 3" xfId="29746"/>
    <cellStyle name="适中 2 3 4 2 4" xfId="29748"/>
    <cellStyle name="适中 2 3 4 2 5" xfId="29749"/>
    <cellStyle name="适中 2 3 4 2 5 2" xfId="29750"/>
    <cellStyle name="适中 2 3 4 2 5 3" xfId="29751"/>
    <cellStyle name="适中 2 3 4 2 6" xfId="29752"/>
    <cellStyle name="适中 2 3 4 3" xfId="1640"/>
    <cellStyle name="适中 2 3 4 3 2" xfId="29753"/>
    <cellStyle name="适中 2 3 4 3 3" xfId="29754"/>
    <cellStyle name="适中 2 3 4 4" xfId="1709"/>
    <cellStyle name="适中 2 3 4 4 2" xfId="29755"/>
    <cellStyle name="适中 2 3 4 4 3" xfId="29756"/>
    <cellStyle name="适中 2 3 4 5" xfId="1754"/>
    <cellStyle name="适中 2 3 4 6" xfId="1778"/>
    <cellStyle name="适中 2 3 4 6 2" xfId="29757"/>
    <cellStyle name="适中 2 3 4 6 3" xfId="25835"/>
    <cellStyle name="适中 2 3 4 7" xfId="17245"/>
    <cellStyle name="适中 2 3 5" xfId="1808"/>
    <cellStyle name="适中 2 3 5 2" xfId="17248"/>
    <cellStyle name="适中 2 3 5 2 2" xfId="29758"/>
    <cellStyle name="适中 2 3 5 2 3" xfId="6640"/>
    <cellStyle name="适中 2 3 5 3" xfId="1791"/>
    <cellStyle name="适中 2 3 5 3 2" xfId="29760"/>
    <cellStyle name="适中 2 3 5 3 3" xfId="1820"/>
    <cellStyle name="适中 2 3 5 4" xfId="307"/>
    <cellStyle name="适中 2 3 5 5" xfId="1669"/>
    <cellStyle name="适中 2 3 5 5 2" xfId="29762"/>
    <cellStyle name="适中 2 3 5 5 3" xfId="1690"/>
    <cellStyle name="适中 2 3 5 6" xfId="17251"/>
    <cellStyle name="适中 2 3 6" xfId="4143"/>
    <cellStyle name="适中 2 3 6 2" xfId="17258"/>
    <cellStyle name="适中 2 3 6 3" xfId="1842"/>
    <cellStyle name="适中 2 3 7" xfId="4162"/>
    <cellStyle name="适中 2 3 7 2" xfId="17261"/>
    <cellStyle name="适中 2 3 7 3" xfId="1896"/>
    <cellStyle name="适中 2 3 8" xfId="4498"/>
    <cellStyle name="适中 2 3 9" xfId="4994"/>
    <cellStyle name="适中 2 3 9 2" xfId="17268"/>
    <cellStyle name="适中 2 3 9 3" xfId="17271"/>
    <cellStyle name="适中 2 4" xfId="29764"/>
    <cellStyle name="适中 2 4 10" xfId="27933"/>
    <cellStyle name="适中 2 4 2" xfId="147"/>
    <cellStyle name="适中 2 4 2 2" xfId="18464"/>
    <cellStyle name="适中 2 4 2 2 2" xfId="21765"/>
    <cellStyle name="适中 2 4 2 2 2 2" xfId="29765"/>
    <cellStyle name="适中 2 4 2 2 2 2 2" xfId="1767"/>
    <cellStyle name="适中 2 4 2 2 2 2 3" xfId="1775"/>
    <cellStyle name="适中 2 4 2 2 2 3" xfId="24905"/>
    <cellStyle name="适中 2 4 2 2 2 3 2" xfId="4708"/>
    <cellStyle name="适中 2 4 2 2 2 3 3" xfId="4715"/>
    <cellStyle name="适中 2 4 2 2 2 4" xfId="24907"/>
    <cellStyle name="适中 2 4 2 2 2 5" xfId="29766"/>
    <cellStyle name="适中 2 4 2 2 2 5 2" xfId="1568"/>
    <cellStyle name="适中 2 4 2 2 2 5 3" xfId="6072"/>
    <cellStyle name="适中 2 4 2 2 2 6" xfId="29767"/>
    <cellStyle name="适中 2 4 2 2 3" xfId="21767"/>
    <cellStyle name="适中 2 4 2 2 3 2" xfId="23419"/>
    <cellStyle name="适中 2 4 2 2 3 3" xfId="23421"/>
    <cellStyle name="适中 2 4 2 2 4" xfId="21769"/>
    <cellStyle name="适中 2 4 2 2 4 2" xfId="13323"/>
    <cellStyle name="适中 2 4 2 2 4 3" xfId="13331"/>
    <cellStyle name="适中 2 4 2 2 5" xfId="3775"/>
    <cellStyle name="适中 2 4 2 2 6" xfId="3820"/>
    <cellStyle name="适中 2 4 2 2 6 2" xfId="12607"/>
    <cellStyle name="适中 2 4 2 2 6 3" xfId="11126"/>
    <cellStyle name="适中 2 4 2 2 7" xfId="13125"/>
    <cellStyle name="适中 2 4 2 3" xfId="29768"/>
    <cellStyle name="适中 2 4 2 3 2" xfId="21775"/>
    <cellStyle name="适中 2 4 2 3 2 2" xfId="29769"/>
    <cellStyle name="适中 2 4 2 3 2 3" xfId="29770"/>
    <cellStyle name="适中 2 4 2 3 3" xfId="21777"/>
    <cellStyle name="适中 2 4 2 3 3 2" xfId="17045"/>
    <cellStyle name="适中 2 4 2 3 3 3" xfId="17047"/>
    <cellStyle name="适中 2 4 2 3 4" xfId="21779"/>
    <cellStyle name="适中 2 4 2 3 5" xfId="13143"/>
    <cellStyle name="适中 2 4 2 3 5 2" xfId="17066"/>
    <cellStyle name="适中 2 4 2 3 5 3" xfId="17068"/>
    <cellStyle name="适中 2 4 2 3 6" xfId="12126"/>
    <cellStyle name="适中 2 4 2 4" xfId="29771"/>
    <cellStyle name="适中 2 4 2 4 2" xfId="7933"/>
    <cellStyle name="适中 2 4 2 4 3" xfId="10142"/>
    <cellStyle name="适中 2 4 2 5" xfId="28833"/>
    <cellStyle name="适中 2 4 2 5 2" xfId="7947"/>
    <cellStyle name="适中 2 4 2 5 3" xfId="9658"/>
    <cellStyle name="适中 2 4 2 6" xfId="28835"/>
    <cellStyle name="适中 2 4 2 7" xfId="28842"/>
    <cellStyle name="适中 2 4 2 7 2" xfId="29772"/>
    <cellStyle name="适中 2 4 2 7 3" xfId="29591"/>
    <cellStyle name="适中 2 4 2 8" xfId="28844"/>
    <cellStyle name="适中 2 4 3" xfId="14780"/>
    <cellStyle name="适中 2 4 3 2" xfId="18475"/>
    <cellStyle name="适中 2 4 3 2 2" xfId="23679"/>
    <cellStyle name="适中 2 4 3 2 2 2" xfId="29773"/>
    <cellStyle name="适中 2 4 3 2 2 3" xfId="29774"/>
    <cellStyle name="适中 2 4 3 2 3" xfId="23681"/>
    <cellStyle name="适中 2 4 3 2 3 2" xfId="29721"/>
    <cellStyle name="适中 2 4 3 2 3 3" xfId="29775"/>
    <cellStyle name="适中 2 4 3 2 4" xfId="23683"/>
    <cellStyle name="适中 2 4 3 2 5" xfId="29776"/>
    <cellStyle name="适中 2 4 3 2 5 2" xfId="26666"/>
    <cellStyle name="适中 2 4 3 2 5 3" xfId="29777"/>
    <cellStyle name="适中 2 4 3 2 6" xfId="26301"/>
    <cellStyle name="适中 2 4 3 3" xfId="29778"/>
    <cellStyle name="适中 2 4 3 3 2" xfId="29779"/>
    <cellStyle name="适中 2 4 3 3 3" xfId="29780"/>
    <cellStyle name="适中 2 4 3 4" xfId="19518"/>
    <cellStyle name="适中 2 4 3 4 2" xfId="7973"/>
    <cellStyle name="适中 2 4 3 4 3" xfId="19520"/>
    <cellStyle name="适中 2 4 3 5" xfId="19528"/>
    <cellStyle name="适中 2 4 3 6" xfId="19537"/>
    <cellStyle name="适中 2 4 3 6 2" xfId="11819"/>
    <cellStyle name="适中 2 4 3 6 3" xfId="11825"/>
    <cellStyle name="适中 2 4 3 7" xfId="19547"/>
    <cellStyle name="适中 2 4 4" xfId="14786"/>
    <cellStyle name="适中 2 4 4 2" xfId="18482"/>
    <cellStyle name="适中 2 4 4 2 2" xfId="17549"/>
    <cellStyle name="适中 2 4 4 2 2 2" xfId="13117"/>
    <cellStyle name="适中 2 4 4 2 2 3" xfId="13119"/>
    <cellStyle name="适中 2 4 4 2 3" xfId="17553"/>
    <cellStyle name="适中 2 4 4 2 3 2" xfId="13124"/>
    <cellStyle name="适中 2 4 4 2 3 3" xfId="13129"/>
    <cellStyle name="适中 2 4 4 2 4" xfId="29781"/>
    <cellStyle name="适中 2 4 4 2 5" xfId="29782"/>
    <cellStyle name="适中 2 4 4 2 5 2" xfId="4221"/>
    <cellStyle name="适中 2 4 4 2 5 3" xfId="4248"/>
    <cellStyle name="适中 2 4 4 2 6" xfId="4253"/>
    <cellStyle name="适中 2 4 4 3" xfId="29783"/>
    <cellStyle name="适中 2 4 4 3 2" xfId="29784"/>
    <cellStyle name="适中 2 4 4 3 3" xfId="12988"/>
    <cellStyle name="适中 2 4 4 4" xfId="29785"/>
    <cellStyle name="适中 2 4 4 4 2" xfId="18734"/>
    <cellStyle name="适中 2 4 4 4 3" xfId="29786"/>
    <cellStyle name="适中 2 4 4 5" xfId="28853"/>
    <cellStyle name="适中 2 4 4 6" xfId="28855"/>
    <cellStyle name="适中 2 4 4 6 2" xfId="29787"/>
    <cellStyle name="适中 2 4 4 6 3" xfId="29624"/>
    <cellStyle name="适中 2 4 4 7" xfId="29788"/>
    <cellStyle name="适中 2 4 5" xfId="14791"/>
    <cellStyle name="适中 2 4 5 2" xfId="18488"/>
    <cellStyle name="适中 2 4 5 2 2" xfId="29789"/>
    <cellStyle name="适中 2 4 5 2 3" xfId="29791"/>
    <cellStyle name="适中 2 4 5 3" xfId="29793"/>
    <cellStyle name="适中 2 4 5 3 2" xfId="29795"/>
    <cellStyle name="适中 2 4 5 3 3" xfId="29797"/>
    <cellStyle name="适中 2 4 5 4" xfId="80"/>
    <cellStyle name="适中 2 4 5 5" xfId="29799"/>
    <cellStyle name="适中 2 4 5 5 2" xfId="29801"/>
    <cellStyle name="适中 2 4 5 5 3" xfId="29803"/>
    <cellStyle name="适中 2 4 5 6" xfId="29805"/>
    <cellStyle name="适中 2 4 6" xfId="17298"/>
    <cellStyle name="适中 2 4 6 2" xfId="18499"/>
    <cellStyle name="适中 2 4 6 3" xfId="29807"/>
    <cellStyle name="适中 2 4 7" xfId="17300"/>
    <cellStyle name="适中 2 4 7 2" xfId="29809"/>
    <cellStyle name="适中 2 4 7 3" xfId="29811"/>
    <cellStyle name="适中 2 4 8" xfId="17302"/>
    <cellStyle name="适中 2 4 9" xfId="17304"/>
    <cellStyle name="适中 2 4 9 2" xfId="29813"/>
    <cellStyle name="适中 2 4 9 3" xfId="29815"/>
    <cellStyle name="适中 2 5" xfId="29817"/>
    <cellStyle name="适中 2 5 2" xfId="14809"/>
    <cellStyle name="适中 2 5 2 2" xfId="29818"/>
    <cellStyle name="适中 2 5 2 2 2" xfId="29820"/>
    <cellStyle name="适中 2 5 2 2 2 2" xfId="29821"/>
    <cellStyle name="适中 2 5 2 2 2 3" xfId="29822"/>
    <cellStyle name="适中 2 5 2 2 3" xfId="28635"/>
    <cellStyle name="适中 2 5 2 2 3 2" xfId="29823"/>
    <cellStyle name="适中 2 5 2 2 3 3" xfId="29824"/>
    <cellStyle name="适中 2 5 2 2 4" xfId="28637"/>
    <cellStyle name="适中 2 5 2 2 5" xfId="29825"/>
    <cellStyle name="适中 2 5 2 2 5 2" xfId="29826"/>
    <cellStyle name="适中 2 5 2 2 5 3" xfId="29827"/>
    <cellStyle name="适中 2 5 2 2 6" xfId="29828"/>
    <cellStyle name="适中 2 5 2 3" xfId="29829"/>
    <cellStyle name="适中 2 5 2 3 2" xfId="29831"/>
    <cellStyle name="适中 2 5 2 3 3" xfId="28639"/>
    <cellStyle name="适中 2 5 2 4" xfId="29833"/>
    <cellStyle name="适中 2 5 2 4 2" xfId="8080"/>
    <cellStyle name="适中 2 5 2 4 3" xfId="291"/>
    <cellStyle name="适中 2 5 2 5" xfId="28873"/>
    <cellStyle name="适中 2 5 2 6" xfId="28875"/>
    <cellStyle name="适中 2 5 2 6 2" xfId="29170"/>
    <cellStyle name="适中 2 5 2 6 3" xfId="29175"/>
    <cellStyle name="适中 2 5 2 7" xfId="29835"/>
    <cellStyle name="适中 2 5 3" xfId="14814"/>
    <cellStyle name="适中 2 5 3 2" xfId="29836"/>
    <cellStyle name="适中 2 5 3 2 2" xfId="29838"/>
    <cellStyle name="适中 2 5 3 2 3" xfId="29840"/>
    <cellStyle name="适中 2 5 3 3" xfId="29842"/>
    <cellStyle name="适中 2 5 3 3 2" xfId="29844"/>
    <cellStyle name="适中 2 5 3 3 3" xfId="28675"/>
    <cellStyle name="适中 2 5 3 4" xfId="29847"/>
    <cellStyle name="适中 2 5 3 5" xfId="28877"/>
    <cellStyle name="适中 2 5 3 5 2" xfId="29849"/>
    <cellStyle name="适中 2 5 3 5 3" xfId="29851"/>
    <cellStyle name="适中 2 5 3 6" xfId="28879"/>
    <cellStyle name="适中 2 5 4" xfId="14820"/>
    <cellStyle name="适中 2 5 4 2" xfId="29853"/>
    <cellStyle name="适中 2 5 4 3" xfId="29855"/>
    <cellStyle name="适中 2 5 5" xfId="14824"/>
    <cellStyle name="适中 2 5 5 2" xfId="29857"/>
    <cellStyle name="适中 2 5 5 3" xfId="29860"/>
    <cellStyle name="适中 2 5 6" xfId="17309"/>
    <cellStyle name="适中 2 5 7" xfId="17311"/>
    <cellStyle name="适中 2 5 7 2" xfId="29863"/>
    <cellStyle name="适中 2 5 7 3" xfId="29865"/>
    <cellStyle name="适中 2 5 8" xfId="17313"/>
    <cellStyle name="适中 2 6" xfId="29867"/>
    <cellStyle name="适中 2 6 2" xfId="224"/>
    <cellStyle name="适中 2 6 2 2" xfId="9268"/>
    <cellStyle name="适中 2 6 2 2 2" xfId="9270"/>
    <cellStyle name="适中 2 6 2 2 3" xfId="9374"/>
    <cellStyle name="适中 2 6 2 3" xfId="29868"/>
    <cellStyle name="适中 2 6 2 3 2" xfId="17840"/>
    <cellStyle name="适中 2 6 2 3 3" xfId="17843"/>
    <cellStyle name="适中 2 6 2 4" xfId="29869"/>
    <cellStyle name="适中 2 6 2 5" xfId="28893"/>
    <cellStyle name="适中 2 6 2 5 2" xfId="833"/>
    <cellStyle name="适中 2 6 2 5 3" xfId="2593"/>
    <cellStyle name="适中 2 6 2 6" xfId="28895"/>
    <cellStyle name="适中 2 6 3" xfId="422"/>
    <cellStyle name="适中 2 6 3 2" xfId="9532"/>
    <cellStyle name="适中 2 6 3 3" xfId="29870"/>
    <cellStyle name="适中 2 6 4" xfId="442"/>
    <cellStyle name="适中 2 6 4 2" xfId="9867"/>
    <cellStyle name="适中 2 6 4 3" xfId="29871"/>
    <cellStyle name="适中 2 6 5" xfId="14828"/>
    <cellStyle name="适中 2 6 6" xfId="17316"/>
    <cellStyle name="适中 2 6 6 2" xfId="10476"/>
    <cellStyle name="适中 2 6 6 3" xfId="10490"/>
    <cellStyle name="适中 2 6 7" xfId="17318"/>
    <cellStyle name="适中 2 7" xfId="29872"/>
    <cellStyle name="适中 2 7 2" xfId="14843"/>
    <cellStyle name="适中 2 7 2 2" xfId="29873"/>
    <cellStyle name="适中 2 7 2 2 2" xfId="15059"/>
    <cellStyle name="适中 2 7 2 2 3" xfId="29874"/>
    <cellStyle name="适中 2 7 2 3" xfId="29875"/>
    <cellStyle name="适中 2 7 2 3 2" xfId="15070"/>
    <cellStyle name="适中 2 7 2 3 3" xfId="29876"/>
    <cellStyle name="适中 2 7 2 4" xfId="29877"/>
    <cellStyle name="适中 2 7 2 5" xfId="28911"/>
    <cellStyle name="适中 2 7 2 5 2" xfId="1235"/>
    <cellStyle name="适中 2 7 2 5 3" xfId="29878"/>
    <cellStyle name="适中 2 7 2 6" xfId="28913"/>
    <cellStyle name="适中 2 7 3" xfId="14847"/>
    <cellStyle name="适中 2 7 3 2" xfId="29879"/>
    <cellStyle name="适中 2 7 3 3" xfId="29880"/>
    <cellStyle name="适中 2 7 4" xfId="11576"/>
    <cellStyle name="适中 2 7 4 2" xfId="29881"/>
    <cellStyle name="适中 2 7 4 3" xfId="29882"/>
    <cellStyle name="适中 2 7 5" xfId="11581"/>
    <cellStyle name="适中 2 7 6" xfId="17322"/>
    <cellStyle name="适中 2 7 6 2" xfId="10542"/>
    <cellStyle name="适中 2 7 6 3" xfId="29883"/>
    <cellStyle name="适中 2 7 7" xfId="17324"/>
    <cellStyle name="适中 2 8" xfId="9451"/>
    <cellStyle name="适中 2 8 2" xfId="9798"/>
    <cellStyle name="适中 2 8 2 2" xfId="11668"/>
    <cellStyle name="适中 2 8 2 3" xfId="11695"/>
    <cellStyle name="适中 2 8 3" xfId="14859"/>
    <cellStyle name="适中 2 8 3 2" xfId="29885"/>
    <cellStyle name="适中 2 8 3 3" xfId="29886"/>
    <cellStyle name="适中 2 8 4" xfId="29887"/>
    <cellStyle name="适中 2 8 5" xfId="29888"/>
    <cellStyle name="适中 2 8 5 2" xfId="29889"/>
    <cellStyle name="适中 2 8 5 3" xfId="29891"/>
    <cellStyle name="适中 2 8 6" xfId="29893"/>
    <cellStyle name="适中 2 9" xfId="9455"/>
    <cellStyle name="适中 2 9 2" xfId="8983"/>
    <cellStyle name="适中 2 9 2 2" xfId="17462"/>
    <cellStyle name="适中 2 9 2 3" xfId="29894"/>
    <cellStyle name="适中 2 9 3" xfId="13369"/>
    <cellStyle name="适中 2 9 4" xfId="13373"/>
    <cellStyle name="适中 2 9 4 2" xfId="17494"/>
    <cellStyle name="适中 2 9 4 3" xfId="29895"/>
    <cellStyle name="适中 2 9 5" xfId="13376"/>
    <cellStyle name="适中 3" xfId="29896"/>
    <cellStyle name="适中 3 2" xfId="29897"/>
    <cellStyle name="适中 3 3" xfId="29898"/>
    <cellStyle name="适中 4" xfId="29899"/>
    <cellStyle name="输出 2" xfId="29900"/>
    <cellStyle name="输出 2 10" xfId="6928"/>
    <cellStyle name="输出 2 10 2" xfId="29901"/>
    <cellStyle name="输出 2 10 3" xfId="29902"/>
    <cellStyle name="输出 2 11" xfId="6912"/>
    <cellStyle name="输出 2 12" xfId="29903"/>
    <cellStyle name="输出 2 12 2" xfId="29904"/>
    <cellStyle name="输出 2 12 3" xfId="29905"/>
    <cellStyle name="输出 2 13" xfId="29906"/>
    <cellStyle name="输出 2 2" xfId="17396"/>
    <cellStyle name="输出 2 2 10" xfId="29907"/>
    <cellStyle name="输出 2 2 2" xfId="13365"/>
    <cellStyle name="输出 2 2 2 2" xfId="29908"/>
    <cellStyle name="输出 2 2 2 2 2" xfId="26980"/>
    <cellStyle name="输出 2 2 2 2 2 2" xfId="26982"/>
    <cellStyle name="输出 2 2 2 2 2 2 2" xfId="23847"/>
    <cellStyle name="输出 2 2 2 2 2 2 3" xfId="23849"/>
    <cellStyle name="输出 2 2 2 2 2 3" xfId="26985"/>
    <cellStyle name="输出 2 2 2 2 2 3 2" xfId="23859"/>
    <cellStyle name="输出 2 2 2 2 2 3 3" xfId="23861"/>
    <cellStyle name="输出 2 2 2 2 2 4" xfId="28595"/>
    <cellStyle name="输出 2 2 2 2 2 5" xfId="29909"/>
    <cellStyle name="输出 2 2 2 2 2 5 2" xfId="10640"/>
    <cellStyle name="输出 2 2 2 2 2 5 3" xfId="29910"/>
    <cellStyle name="输出 2 2 2 2 2 6" xfId="28228"/>
    <cellStyle name="输出 2 2 2 2 3" xfId="26987"/>
    <cellStyle name="输出 2 2 2 2 3 2" xfId="29911"/>
    <cellStyle name="输出 2 2 2 2 3 3" xfId="29912"/>
    <cellStyle name="输出 2 2 2 2 4" xfId="29913"/>
    <cellStyle name="输出 2 2 2 2 4 2" xfId="25994"/>
    <cellStyle name="输出 2 2 2 2 4 3" xfId="28599"/>
    <cellStyle name="输出 2 2 2 2 5" xfId="29914"/>
    <cellStyle name="输出 2 2 2 2 6" xfId="29915"/>
    <cellStyle name="输出 2 2 2 2 6 2" xfId="29916"/>
    <cellStyle name="输出 2 2 2 2 6 3" xfId="8302"/>
    <cellStyle name="输出 2 2 2 2 7" xfId="29917"/>
    <cellStyle name="输出 2 2 2 3" xfId="29918"/>
    <cellStyle name="输出 2 2 2 3 2" xfId="26996"/>
    <cellStyle name="输出 2 2 2 3 2 2" xfId="26998"/>
    <cellStyle name="输出 2 2 2 3 2 3" xfId="27000"/>
    <cellStyle name="输出 2 2 2 3 3" xfId="27002"/>
    <cellStyle name="输出 2 2 2 3 3 2" xfId="29919"/>
    <cellStyle name="输出 2 2 2 3 3 3" xfId="28610"/>
    <cellStyle name="输出 2 2 2 3 4" xfId="29920"/>
    <cellStyle name="输出 2 2 2 3 5" xfId="29921"/>
    <cellStyle name="输出 2 2 2 3 5 2" xfId="14720"/>
    <cellStyle name="输出 2 2 2 3 5 3" xfId="14724"/>
    <cellStyle name="输出 2 2 2 3 6" xfId="29922"/>
    <cellStyle name="输出 2 2 2 4" xfId="29923"/>
    <cellStyle name="输出 2 2 2 4 2" xfId="27010"/>
    <cellStyle name="输出 2 2 2 4 3" xfId="29924"/>
    <cellStyle name="输出 2 2 2 5" xfId="29925"/>
    <cellStyle name="输出 2 2 2 5 2" xfId="17801"/>
    <cellStyle name="输出 2 2 2 5 3" xfId="17806"/>
    <cellStyle name="输出 2 2 2 6" xfId="29926"/>
    <cellStyle name="输出 2 2 2 7" xfId="29927"/>
    <cellStyle name="输出 2 2 2 7 2" xfId="5938"/>
    <cellStyle name="输出 2 2 2 7 3" xfId="29480"/>
    <cellStyle name="输出 2 2 2 8" xfId="29928"/>
    <cellStyle name="输出 2 2 3" xfId="13367"/>
    <cellStyle name="输出 2 2 3 2" xfId="19448"/>
    <cellStyle name="输出 2 2 3 2 2" xfId="13877"/>
    <cellStyle name="输出 2 2 3 2 2 2" xfId="27025"/>
    <cellStyle name="输出 2 2 3 2 2 3" xfId="27027"/>
    <cellStyle name="输出 2 2 3 2 3" xfId="13883"/>
    <cellStyle name="输出 2 2 3 2 3 2" xfId="29929"/>
    <cellStyle name="输出 2 2 3 2 3 3" xfId="28658"/>
    <cellStyle name="输出 2 2 3 2 4" xfId="6946"/>
    <cellStyle name="输出 2 2 3 2 5" xfId="6955"/>
    <cellStyle name="输出 2 2 3 2 5 2" xfId="23868"/>
    <cellStyle name="输出 2 2 3 2 5 3" xfId="23881"/>
    <cellStyle name="输出 2 2 3 2 6" xfId="10404"/>
    <cellStyle name="输出 2 2 3 3" xfId="19450"/>
    <cellStyle name="输出 2 2 3 3 2" xfId="13895"/>
    <cellStyle name="输出 2 2 3 3 3" xfId="13901"/>
    <cellStyle name="输出 2 2 3 4" xfId="19452"/>
    <cellStyle name="输出 2 2 3 4 2" xfId="13926"/>
    <cellStyle name="输出 2 2 3 4 3" xfId="13932"/>
    <cellStyle name="输出 2 2 3 5" xfId="19455"/>
    <cellStyle name="输出 2 2 3 6" xfId="29930"/>
    <cellStyle name="输出 2 2 3 6 2" xfId="29931"/>
    <cellStyle name="输出 2 2 3 6 3" xfId="29932"/>
    <cellStyle name="输出 2 2 3 7" xfId="29933"/>
    <cellStyle name="输出 2 2 4" xfId="10936"/>
    <cellStyle name="输出 2 2 4 2" xfId="19015"/>
    <cellStyle name="输出 2 2 4 2 2" xfId="14145"/>
    <cellStyle name="输出 2 2 4 2 2 2" xfId="27058"/>
    <cellStyle name="输出 2 2 4 2 2 3" xfId="27061"/>
    <cellStyle name="输出 2 2 4 2 3" xfId="14151"/>
    <cellStyle name="输出 2 2 4 2 3 2" xfId="29934"/>
    <cellStyle name="输出 2 2 4 2 3 3" xfId="29935"/>
    <cellStyle name="输出 2 2 4 2 4" xfId="14157"/>
    <cellStyle name="输出 2 2 4 2 5" xfId="14162"/>
    <cellStyle name="输出 2 2 4 2 5 2" xfId="20557"/>
    <cellStyle name="输出 2 2 4 2 5 3" xfId="12298"/>
    <cellStyle name="输出 2 2 4 2 6" xfId="14167"/>
    <cellStyle name="输出 2 2 4 3" xfId="19018"/>
    <cellStyle name="输出 2 2 4 3 2" xfId="14176"/>
    <cellStyle name="输出 2 2 4 3 3" xfId="14182"/>
    <cellStyle name="输出 2 2 4 4" xfId="19021"/>
    <cellStyle name="输出 2 2 4 4 2" xfId="14200"/>
    <cellStyle name="输出 2 2 4 4 3" xfId="14207"/>
    <cellStyle name="输出 2 2 4 5" xfId="19024"/>
    <cellStyle name="输出 2 2 4 6" xfId="29936"/>
    <cellStyle name="输出 2 2 4 6 2" xfId="29937"/>
    <cellStyle name="输出 2 2 4 6 3" xfId="29938"/>
    <cellStyle name="输出 2 2 4 7" xfId="29939"/>
    <cellStyle name="输出 2 2 5" xfId="29940"/>
    <cellStyle name="输出 2 2 5 2" xfId="19034"/>
    <cellStyle name="输出 2 2 5 2 2" xfId="27078"/>
    <cellStyle name="输出 2 2 5 2 3" xfId="26025"/>
    <cellStyle name="输出 2 2 5 3" xfId="19037"/>
    <cellStyle name="输出 2 2 5 3 2" xfId="684"/>
    <cellStyle name="输出 2 2 5 3 3" xfId="2509"/>
    <cellStyle name="输出 2 2 5 4" xfId="19040"/>
    <cellStyle name="输出 2 2 5 5" xfId="29941"/>
    <cellStyle name="输出 2 2 5 5 2" xfId="10337"/>
    <cellStyle name="输出 2 2 5 5 3" xfId="29943"/>
    <cellStyle name="输出 2 2 5 6" xfId="29944"/>
    <cellStyle name="输出 2 2 6" xfId="29945"/>
    <cellStyle name="输出 2 2 6 2" xfId="19050"/>
    <cellStyle name="输出 2 2 6 3" xfId="19054"/>
    <cellStyle name="输出 2 2 7" xfId="29946"/>
    <cellStyle name="输出 2 2 7 2" xfId="19067"/>
    <cellStyle name="输出 2 2 7 3" xfId="19071"/>
    <cellStyle name="输出 2 2 8" xfId="29947"/>
    <cellStyle name="输出 2 2 9" xfId="29948"/>
    <cellStyle name="输出 2 2 9 2" xfId="19083"/>
    <cellStyle name="输出 2 2 9 3" xfId="19087"/>
    <cellStyle name="输出 2 3" xfId="28922"/>
    <cellStyle name="输出 2 3 10" xfId="16382"/>
    <cellStyle name="输出 2 3 2" xfId="6202"/>
    <cellStyle name="输出 2 3 2 2" xfId="5660"/>
    <cellStyle name="输出 2 3 2 2 2" xfId="27118"/>
    <cellStyle name="输出 2 3 2 2 2 2" xfId="27120"/>
    <cellStyle name="输出 2 3 2 2 2 2 2" xfId="17158"/>
    <cellStyle name="输出 2 3 2 2 2 2 3" xfId="17160"/>
    <cellStyle name="输出 2 3 2 2 2 3" xfId="27122"/>
    <cellStyle name="输出 2 3 2 2 2 3 2" xfId="3713"/>
    <cellStyle name="输出 2 3 2 2 2 3 3" xfId="17173"/>
    <cellStyle name="输出 2 3 2 2 2 4" xfId="29949"/>
    <cellStyle name="输出 2 3 2 2 2 5" xfId="29950"/>
    <cellStyle name="输出 2 3 2 2 2 5 2" xfId="193"/>
    <cellStyle name="输出 2 3 2 2 2 5 3" xfId="17190"/>
    <cellStyle name="输出 2 3 2 2 2 6" xfId="25527"/>
    <cellStyle name="输出 2 3 2 2 3" xfId="27124"/>
    <cellStyle name="输出 2 3 2 2 3 2" xfId="29951"/>
    <cellStyle name="输出 2 3 2 2 3 3" xfId="29952"/>
    <cellStyle name="输出 2 3 2 2 4" xfId="14561"/>
    <cellStyle name="输出 2 3 2 2 4 2" xfId="14565"/>
    <cellStyle name="输出 2 3 2 2 4 3" xfId="14570"/>
    <cellStyle name="输出 2 3 2 2 5" xfId="14580"/>
    <cellStyle name="输出 2 3 2 2 6" xfId="10502"/>
    <cellStyle name="输出 2 3 2 2 6 2" xfId="29953"/>
    <cellStyle name="输出 2 3 2 2 6 3" xfId="29954"/>
    <cellStyle name="输出 2 3 2 2 7" xfId="10508"/>
    <cellStyle name="输出 2 3 2 3" xfId="3106"/>
    <cellStyle name="输出 2 3 2 3 2" xfId="27130"/>
    <cellStyle name="输出 2 3 2 3 2 2" xfId="27132"/>
    <cellStyle name="输出 2 3 2 3 2 3" xfId="27134"/>
    <cellStyle name="输出 2 3 2 3 3" xfId="24767"/>
    <cellStyle name="输出 2 3 2 3 3 2" xfId="29955"/>
    <cellStyle name="输出 2 3 2 3 3 3" xfId="29956"/>
    <cellStyle name="输出 2 3 2 3 4" xfId="24769"/>
    <cellStyle name="输出 2 3 2 3 5" xfId="29957"/>
    <cellStyle name="输出 2 3 2 3 5 2" xfId="19288"/>
    <cellStyle name="输出 2 3 2 3 5 3" xfId="29958"/>
    <cellStyle name="输出 2 3 2 3 6" xfId="29959"/>
    <cellStyle name="输出 2 3 2 4" xfId="4345"/>
    <cellStyle name="输出 2 3 2 4 2" xfId="9854"/>
    <cellStyle name="输出 2 3 2 4 3" xfId="9862"/>
    <cellStyle name="输出 2 3 2 5" xfId="7644"/>
    <cellStyle name="输出 2 3 2 5 2" xfId="2465"/>
    <cellStyle name="输出 2 3 2 5 3" xfId="2479"/>
    <cellStyle name="输出 2 3 2 6" xfId="7651"/>
    <cellStyle name="输出 2 3 2 7" xfId="21260"/>
    <cellStyle name="输出 2 3 2 7 2" xfId="29960"/>
    <cellStyle name="输出 2 3 2 7 3" xfId="29693"/>
    <cellStyle name="输出 2 3 2 8" xfId="29961"/>
    <cellStyle name="输出 2 3 3" xfId="6206"/>
    <cellStyle name="输出 2 3 3 2" xfId="5680"/>
    <cellStyle name="输出 2 3 3 2 2" xfId="6821"/>
    <cellStyle name="输出 2 3 3 2 2 2" xfId="27150"/>
    <cellStyle name="输出 2 3 3 2 2 3" xfId="27152"/>
    <cellStyle name="输出 2 3 3 2 3" xfId="6828"/>
    <cellStyle name="输出 2 3 3 2 3 2" xfId="29962"/>
    <cellStyle name="输出 2 3 3 2 3 3" xfId="29963"/>
    <cellStyle name="输出 2 3 3 2 4" xfId="14383"/>
    <cellStyle name="输出 2 3 3 2 5" xfId="14389"/>
    <cellStyle name="输出 2 3 3 2 5 2" xfId="29964"/>
    <cellStyle name="输出 2 3 3 2 5 3" xfId="29965"/>
    <cellStyle name="输出 2 3 3 2 6" xfId="14395"/>
    <cellStyle name="输出 2 3 3 3" xfId="4365"/>
    <cellStyle name="输出 2 3 3 3 2" xfId="14908"/>
    <cellStyle name="输出 2 3 3 3 3" xfId="14915"/>
    <cellStyle name="输出 2 3 3 4" xfId="4374"/>
    <cellStyle name="输出 2 3 3 4 2" xfId="7089"/>
    <cellStyle name="输出 2 3 3 4 3" xfId="7112"/>
    <cellStyle name="输出 2 3 3 5" xfId="7139"/>
    <cellStyle name="输出 2 3 3 6" xfId="4316"/>
    <cellStyle name="输出 2 3 3 6 2" xfId="29966"/>
    <cellStyle name="输出 2 3 3 6 3" xfId="4355"/>
    <cellStyle name="输出 2 3 3 7" xfId="29967"/>
    <cellStyle name="输出 2 3 4" xfId="24259"/>
    <cellStyle name="输出 2 3 4 2" xfId="5734"/>
    <cellStyle name="输出 2 3 4 2 2" xfId="24262"/>
    <cellStyle name="输出 2 3 4 2 2 2" xfId="24265"/>
    <cellStyle name="输出 2 3 4 2 2 3" xfId="24274"/>
    <cellStyle name="输出 2 3 4 2 3" xfId="24295"/>
    <cellStyle name="输出 2 3 4 2 3 2" xfId="24297"/>
    <cellStyle name="输出 2 3 4 2 3 3" xfId="24311"/>
    <cellStyle name="输出 2 3 4 2 4" xfId="24322"/>
    <cellStyle name="输出 2 3 4 2 5" xfId="24331"/>
    <cellStyle name="输出 2 3 4 2 5 2" xfId="24333"/>
    <cellStyle name="输出 2 3 4 2 5 3" xfId="24337"/>
    <cellStyle name="输出 2 3 4 2 6" xfId="24340"/>
    <cellStyle name="输出 2 3 4 3" xfId="4230"/>
    <cellStyle name="输出 2 3 4 3 2" xfId="24343"/>
    <cellStyle name="输出 2 3 4 3 3" xfId="24352"/>
    <cellStyle name="输出 2 3 4 4" xfId="334"/>
    <cellStyle name="输出 2 3 4 4 2" xfId="1074"/>
    <cellStyle name="输出 2 3 4 4 3" xfId="2348"/>
    <cellStyle name="输出 2 3 4 5" xfId="287"/>
    <cellStyle name="输出 2 3 4 6" xfId="24382"/>
    <cellStyle name="输出 2 3 4 6 2" xfId="29968"/>
    <cellStyle name="输出 2 3 4 6 3" xfId="24256"/>
    <cellStyle name="输出 2 3 4 7" xfId="29969"/>
    <cellStyle name="输出 2 3 5" xfId="6834"/>
    <cellStyle name="输出 2 3 5 2" xfId="7225"/>
    <cellStyle name="输出 2 3 5 2 2" xfId="1123"/>
    <cellStyle name="输出 2 3 5 2 3" xfId="2679"/>
    <cellStyle name="输出 2 3 5 3" xfId="7232"/>
    <cellStyle name="输出 2 3 5 3 2" xfId="1146"/>
    <cellStyle name="输出 2 3 5 3 3" xfId="24392"/>
    <cellStyle name="输出 2 3 5 4" xfId="7218"/>
    <cellStyle name="输出 2 3 5 5" xfId="24404"/>
    <cellStyle name="输出 2 3 5 5 2" xfId="24406"/>
    <cellStyle name="输出 2 3 5 5 3" xfId="24411"/>
    <cellStyle name="输出 2 3 5 6" xfId="24413"/>
    <cellStyle name="输出 2 3 6" xfId="7235"/>
    <cellStyle name="输出 2 3 6 2" xfId="7240"/>
    <cellStyle name="输出 2 3 6 3" xfId="7249"/>
    <cellStyle name="输出 2 3 7" xfId="7253"/>
    <cellStyle name="输出 2 3 7 2" xfId="7852"/>
    <cellStyle name="输出 2 3 7 3" xfId="7858"/>
    <cellStyle name="输出 2 3 8" xfId="24502"/>
    <cellStyle name="输出 2 3 9" xfId="8282"/>
    <cellStyle name="输出 2 3 9 2" xfId="18781"/>
    <cellStyle name="输出 2 3 9 3" xfId="18786"/>
    <cellStyle name="输出 2 4" xfId="28924"/>
    <cellStyle name="输出 2 4 10" xfId="16425"/>
    <cellStyle name="输出 2 4 2" xfId="6221"/>
    <cellStyle name="输出 2 4 2 2" xfId="16942"/>
    <cellStyle name="输出 2 4 2 2 2" xfId="27302"/>
    <cellStyle name="输出 2 4 2 2 2 2" xfId="27304"/>
    <cellStyle name="输出 2 4 2 2 2 2 2" xfId="27306"/>
    <cellStyle name="输出 2 4 2 2 2 2 3" xfId="27308"/>
    <cellStyle name="输出 2 4 2 2 2 3" xfId="27310"/>
    <cellStyle name="输出 2 4 2 2 2 3 2" xfId="27312"/>
    <cellStyle name="输出 2 4 2 2 2 3 3" xfId="27318"/>
    <cellStyle name="输出 2 4 2 2 2 4" xfId="27321"/>
    <cellStyle name="输出 2 4 2 2 2 5" xfId="29970"/>
    <cellStyle name="输出 2 4 2 2 2 5 2" xfId="17778"/>
    <cellStyle name="输出 2 4 2 2 2 5 3" xfId="17781"/>
    <cellStyle name="输出 2 4 2 2 2 6" xfId="18982"/>
    <cellStyle name="输出 2 4 2 2 3" xfId="27323"/>
    <cellStyle name="输出 2 4 2 2 3 2" xfId="27325"/>
    <cellStyle name="输出 2 4 2 2 3 3" xfId="27330"/>
    <cellStyle name="输出 2 4 2 2 4" xfId="4804"/>
    <cellStyle name="输出 2 4 2 2 4 2" xfId="234"/>
    <cellStyle name="输出 2 4 2 2 4 3" xfId="4808"/>
    <cellStyle name="输出 2 4 2 2 5" xfId="4848"/>
    <cellStyle name="输出 2 4 2 2 6" xfId="1687"/>
    <cellStyle name="输出 2 4 2 2 6 2" xfId="1972"/>
    <cellStyle name="输出 2 4 2 2 6 3" xfId="2031"/>
    <cellStyle name="输出 2 4 2 2 7" xfId="2103"/>
    <cellStyle name="输出 2 4 2 3" xfId="29971"/>
    <cellStyle name="输出 2 4 2 3 2" xfId="27345"/>
    <cellStyle name="输出 2 4 2 3 2 2" xfId="27347"/>
    <cellStyle name="输出 2 4 2 3 2 3" xfId="27349"/>
    <cellStyle name="输出 2 4 2 3 3" xfId="24779"/>
    <cellStyle name="输出 2 4 2 3 3 2" xfId="27356"/>
    <cellStyle name="输出 2 4 2 3 3 3" xfId="27358"/>
    <cellStyle name="输出 2 4 2 3 4" xfId="4872"/>
    <cellStyle name="输出 2 4 2 3 5" xfId="4880"/>
    <cellStyle name="输出 2 4 2 3 5 2" xfId="2324"/>
    <cellStyle name="输出 2 4 2 3 5 3" xfId="4883"/>
    <cellStyle name="输出 2 4 2 3 6" xfId="2276"/>
    <cellStyle name="输出 2 4 2 4" xfId="29972"/>
    <cellStyle name="输出 2 4 2 4 2" xfId="27372"/>
    <cellStyle name="输出 2 4 2 4 3" xfId="24783"/>
    <cellStyle name="输出 2 4 2 5" xfId="29973"/>
    <cellStyle name="输出 2 4 2 5 2" xfId="27394"/>
    <cellStyle name="输出 2 4 2 5 3" xfId="27397"/>
    <cellStyle name="输出 2 4 2 6" xfId="7673"/>
    <cellStyle name="输出 2 4 2 7" xfId="8236"/>
    <cellStyle name="输出 2 4 2 7 2" xfId="29974"/>
    <cellStyle name="输出 2 4 2 7 3" xfId="29975"/>
    <cellStyle name="输出 2 4 2 8" xfId="29976"/>
    <cellStyle name="输出 2 4 3" xfId="29977"/>
    <cellStyle name="输出 2 4 3 2" xfId="6843"/>
    <cellStyle name="输出 2 4 3 2 2" xfId="15170"/>
    <cellStyle name="输出 2 4 3 2 2 2" xfId="20006"/>
    <cellStyle name="输出 2 4 3 2 2 3" xfId="20009"/>
    <cellStyle name="输出 2 4 3 2 3" xfId="15174"/>
    <cellStyle name="输出 2 4 3 2 3 2" xfId="16714"/>
    <cellStyle name="输出 2 4 3 2 3 3" xfId="16722"/>
    <cellStyle name="输出 2 4 3 2 4" xfId="4948"/>
    <cellStyle name="输出 2 4 3 2 5" xfId="4968"/>
    <cellStyle name="输出 2 4 3 2 5 2" xfId="2708"/>
    <cellStyle name="输出 2 4 3 2 5 3" xfId="4981"/>
    <cellStyle name="输出 2 4 3 2 6" xfId="4984"/>
    <cellStyle name="输出 2 4 3 3" xfId="6846"/>
    <cellStyle name="输出 2 4 3 3 2" xfId="15180"/>
    <cellStyle name="输出 2 4 3 3 3" xfId="15184"/>
    <cellStyle name="输出 2 4 3 4" xfId="19640"/>
    <cellStyle name="输出 2 4 3 4 2" xfId="15192"/>
    <cellStyle name="输出 2 4 3 4 3" xfId="15196"/>
    <cellStyle name="输出 2 4 3 5" xfId="15771"/>
    <cellStyle name="输出 2 4 3 6" xfId="29978"/>
    <cellStyle name="输出 2 4 3 6 2" xfId="27479"/>
    <cellStyle name="输出 2 4 3 6 3" xfId="27481"/>
    <cellStyle name="输出 2 4 3 7" xfId="29979"/>
    <cellStyle name="输出 2 4 4" xfId="24507"/>
    <cellStyle name="输出 2 4 4 2" xfId="19645"/>
    <cellStyle name="输出 2 4 4 2 2" xfId="24510"/>
    <cellStyle name="输出 2 4 4 2 2 2" xfId="24513"/>
    <cellStyle name="输出 2 4 4 2 2 3" xfId="24526"/>
    <cellStyle name="输出 2 4 4 2 3" xfId="24529"/>
    <cellStyle name="输出 2 4 4 2 3 2" xfId="20759"/>
    <cellStyle name="输出 2 4 4 2 3 3" xfId="20771"/>
    <cellStyle name="输出 2 4 4 2 4" xfId="2831"/>
    <cellStyle name="输出 2 4 4 2 5" xfId="3788"/>
    <cellStyle name="输出 2 4 4 2 5 2" xfId="19"/>
    <cellStyle name="输出 2 4 4 2 5 3" xfId="3045"/>
    <cellStyle name="输出 2 4 4 2 6" xfId="3800"/>
    <cellStyle name="输出 2 4 4 3" xfId="19648"/>
    <cellStyle name="输出 2 4 4 3 2" xfId="24535"/>
    <cellStyle name="输出 2 4 4 3 3" xfId="24556"/>
    <cellStyle name="输出 2 4 4 4" xfId="19651"/>
    <cellStyle name="输出 2 4 4 4 2" xfId="24559"/>
    <cellStyle name="输出 2 4 4 4 3" xfId="24566"/>
    <cellStyle name="输出 2 4 4 5" xfId="24569"/>
    <cellStyle name="输出 2 4 4 6" xfId="24579"/>
    <cellStyle name="输出 2 4 4 6 2" xfId="29980"/>
    <cellStyle name="输出 2 4 4 6 3" xfId="29981"/>
    <cellStyle name="输出 2 4 4 7" xfId="29982"/>
    <cellStyle name="输出 2 4 5" xfId="7259"/>
    <cellStyle name="输出 2 4 5 2" xfId="7263"/>
    <cellStyle name="输出 2 4 5 2 2" xfId="24582"/>
    <cellStyle name="输出 2 4 5 2 3" xfId="24585"/>
    <cellStyle name="输出 2 4 5 3" xfId="7270"/>
    <cellStyle name="输出 2 4 5 3 2" xfId="24588"/>
    <cellStyle name="输出 2 4 5 3 3" xfId="24591"/>
    <cellStyle name="输出 2 4 5 4" xfId="19663"/>
    <cellStyle name="输出 2 4 5 5" xfId="24599"/>
    <cellStyle name="输出 2 4 5 5 2" xfId="27599"/>
    <cellStyle name="输出 2 4 5 5 3" xfId="27601"/>
    <cellStyle name="输出 2 4 5 6" xfId="29983"/>
    <cellStyle name="输出 2 4 6" xfId="7273"/>
    <cellStyle name="输出 2 4 6 2" xfId="19674"/>
    <cellStyle name="输出 2 4 6 3" xfId="19678"/>
    <cellStyle name="输出 2 4 7" xfId="24637"/>
    <cellStyle name="输出 2 4 7 2" xfId="19690"/>
    <cellStyle name="输出 2 4 7 3" xfId="9877"/>
    <cellStyle name="输出 2 4 8" xfId="24684"/>
    <cellStyle name="输出 2 4 9" xfId="24700"/>
    <cellStyle name="输出 2 4 9 2" xfId="19710"/>
    <cellStyle name="输出 2 4 9 3" xfId="19714"/>
    <cellStyle name="输出 2 5" xfId="29984"/>
    <cellStyle name="输出 2 5 2" xfId="6229"/>
    <cellStyle name="输出 2 5 2 2" xfId="17191"/>
    <cellStyle name="输出 2 5 2 2 2" xfId="16956"/>
    <cellStyle name="输出 2 5 2 2 2 2" xfId="29985"/>
    <cellStyle name="输出 2 5 2 2 2 3" xfId="28337"/>
    <cellStyle name="输出 2 5 2 2 3" xfId="16959"/>
    <cellStyle name="输出 2 5 2 2 3 2" xfId="29986"/>
    <cellStyle name="输出 2 5 2 2 3 3" xfId="28340"/>
    <cellStyle name="输出 2 5 2 2 4" xfId="16962"/>
    <cellStyle name="输出 2 5 2 2 5" xfId="16965"/>
    <cellStyle name="输出 2 5 2 2 5 2" xfId="27661"/>
    <cellStyle name="输出 2 5 2 2 5 3" xfId="25421"/>
    <cellStyle name="输出 2 5 2 2 6" xfId="29987"/>
    <cellStyle name="输出 2 5 2 3" xfId="20215"/>
    <cellStyle name="输出 2 5 2 3 2" xfId="16979"/>
    <cellStyle name="输出 2 5 2 3 3" xfId="16984"/>
    <cellStyle name="输出 2 5 2 4" xfId="20217"/>
    <cellStyle name="输出 2 5 2 4 2" xfId="17005"/>
    <cellStyle name="输出 2 5 2 4 3" xfId="17009"/>
    <cellStyle name="输出 2 5 2 5" xfId="15890"/>
    <cellStyle name="输出 2 5 2 6" xfId="15894"/>
    <cellStyle name="输出 2 5 2 6 2" xfId="29988"/>
    <cellStyle name="输出 2 5 2 6 3" xfId="29989"/>
    <cellStyle name="输出 2 5 2 7" xfId="15900"/>
    <cellStyle name="输出 2 5 3" xfId="6860"/>
    <cellStyle name="输出 2 5 3 2" xfId="17220"/>
    <cellStyle name="输出 2 5 3 2 2" xfId="29990"/>
    <cellStyle name="输出 2 5 3 2 3" xfId="29991"/>
    <cellStyle name="输出 2 5 3 3" xfId="19744"/>
    <cellStyle name="输出 2 5 3 3 2" xfId="29992"/>
    <cellStyle name="输出 2 5 3 3 3" xfId="29993"/>
    <cellStyle name="输出 2 5 3 4" xfId="19747"/>
    <cellStyle name="输出 2 5 3 5" xfId="15909"/>
    <cellStyle name="输出 2 5 3 5 2" xfId="22355"/>
    <cellStyle name="输出 2 5 3 5 3" xfId="11938"/>
    <cellStyle name="输出 2 5 3 6" xfId="15913"/>
    <cellStyle name="输出 2 5 4" xfId="6866"/>
    <cellStyle name="输出 2 5 4 2" xfId="19751"/>
    <cellStyle name="输出 2 5 4 3" xfId="19757"/>
    <cellStyle name="输出 2 5 5" xfId="6193"/>
    <cellStyle name="输出 2 5 5 2" xfId="19767"/>
    <cellStyle name="输出 2 5 5 3" xfId="19770"/>
    <cellStyle name="输出 2 5 6" xfId="6217"/>
    <cellStyle name="输出 2 5 7" xfId="20220"/>
    <cellStyle name="输出 2 5 7 2" xfId="19793"/>
    <cellStyle name="输出 2 5 7 3" xfId="19797"/>
    <cellStyle name="输出 2 5 8" xfId="20224"/>
    <cellStyle name="输出 2 6" xfId="29994"/>
    <cellStyle name="输出 2 6 2" xfId="29995"/>
    <cellStyle name="输出 2 6 2 2" xfId="17276"/>
    <cellStyle name="输出 2 6 2 2 2" xfId="29996"/>
    <cellStyle name="输出 2 6 2 2 3" xfId="29997"/>
    <cellStyle name="输出 2 6 2 3" xfId="29998"/>
    <cellStyle name="输出 2 6 2 3 2" xfId="29999"/>
    <cellStyle name="输出 2 6 2 3 3" xfId="24819"/>
    <cellStyle name="输出 2 6 2 4" xfId="30000"/>
    <cellStyle name="输出 2 6 2 5" xfId="30001"/>
    <cellStyle name="输出 2 6 2 5 2" xfId="30002"/>
    <cellStyle name="输出 2 6 2 5 3" xfId="30003"/>
    <cellStyle name="输出 2 6 2 6" xfId="30004"/>
    <cellStyle name="输出 2 6 3" xfId="27620"/>
    <cellStyle name="输出 2 6 3 2" xfId="17293"/>
    <cellStyle name="输出 2 6 3 3" xfId="30005"/>
    <cellStyle name="输出 2 6 4" xfId="24858"/>
    <cellStyle name="输出 2 6 4 2" xfId="24862"/>
    <cellStyle name="输出 2 6 4 3" xfId="24873"/>
    <cellStyle name="输出 2 6 5" xfId="24882"/>
    <cellStyle name="输出 2 6 6" xfId="24912"/>
    <cellStyle name="输出 2 6 6 2" xfId="24914"/>
    <cellStyle name="输出 2 6 6 3" xfId="24925"/>
    <cellStyle name="输出 2 6 7" xfId="24934"/>
    <cellStyle name="输出 2 7" xfId="30006"/>
    <cellStyle name="输出 2 7 2" xfId="30008"/>
    <cellStyle name="输出 2 7 2 2" xfId="30010"/>
    <cellStyle name="输出 2 7 2 2 2" xfId="20625"/>
    <cellStyle name="输出 2 7 2 2 3" xfId="20627"/>
    <cellStyle name="输出 2 7 2 3" xfId="30012"/>
    <cellStyle name="输出 2 7 2 3 2" xfId="20636"/>
    <cellStyle name="输出 2 7 2 3 3" xfId="20638"/>
    <cellStyle name="输出 2 7 2 4" xfId="30014"/>
    <cellStyle name="输出 2 7 2 5" xfId="30015"/>
    <cellStyle name="输出 2 7 2 5 2" xfId="20656"/>
    <cellStyle name="输出 2 7 2 5 3" xfId="20658"/>
    <cellStyle name="输出 2 7 2 6" xfId="30016"/>
    <cellStyle name="输出 2 7 3" xfId="30017"/>
    <cellStyle name="输出 2 7 3 2" xfId="25542"/>
    <cellStyle name="输出 2 7 3 3" xfId="30019"/>
    <cellStyle name="输出 2 7 4" xfId="24958"/>
    <cellStyle name="输出 2 7 4 2" xfId="9970"/>
    <cellStyle name="输出 2 7 4 3" xfId="24963"/>
    <cellStyle name="输出 2 7 5" xfId="24966"/>
    <cellStyle name="输出 2 7 6" xfId="24973"/>
    <cellStyle name="输出 2 7 6 2" xfId="19734"/>
    <cellStyle name="输出 2 7 6 3" xfId="19737"/>
    <cellStyle name="输出 2 7 7" xfId="24975"/>
    <cellStyle name="输出 2 8" xfId="30020"/>
    <cellStyle name="输出 2 8 2" xfId="30022"/>
    <cellStyle name="输出 2 8 2 2" xfId="30024"/>
    <cellStyle name="输出 2 8 2 3" xfId="30025"/>
    <cellStyle name="输出 2 8 3" xfId="4059"/>
    <cellStyle name="输出 2 8 3 2" xfId="30026"/>
    <cellStyle name="输出 2 8 3 3" xfId="30027"/>
    <cellStyle name="输出 2 8 4" xfId="885"/>
    <cellStyle name="输出 2 8 5" xfId="24982"/>
    <cellStyle name="输出 2 8 5 2" xfId="24984"/>
    <cellStyle name="输出 2 8 5 3" xfId="24986"/>
    <cellStyle name="输出 2 8 6" xfId="24990"/>
    <cellStyle name="输出 2 9" xfId="26292"/>
    <cellStyle name="输出 2 9 2" xfId="30028"/>
    <cellStyle name="输出 2 9 2 2" xfId="30030"/>
    <cellStyle name="输出 2 9 2 3" xfId="30031"/>
    <cellStyle name="输出 2 9 3" xfId="30032"/>
    <cellStyle name="输出 2 9 4" xfId="24998"/>
    <cellStyle name="输出 2 9 4 2" xfId="25001"/>
    <cellStyle name="输出 2 9 4 3" xfId="25004"/>
    <cellStyle name="输出 2 9 5" xfId="25007"/>
    <cellStyle name="输出 3" xfId="30034"/>
    <cellStyle name="输出 3 2" xfId="30035"/>
    <cellStyle name="输出 3 3" xfId="30036"/>
    <cellStyle name="输出 4" xfId="28959"/>
    <cellStyle name="输入 2" xfId="24996"/>
    <cellStyle name="输入 2 10" xfId="30037"/>
    <cellStyle name="输入 2 10 2" xfId="30039"/>
    <cellStyle name="输入 2 10 3" xfId="30040"/>
    <cellStyle name="输入 2 11" xfId="30042"/>
    <cellStyle name="输入 2 12" xfId="30043"/>
    <cellStyle name="输入 2 12 2" xfId="30044"/>
    <cellStyle name="输入 2 12 3" xfId="30046"/>
    <cellStyle name="输入 2 13" xfId="8464"/>
    <cellStyle name="输入 2 2" xfId="24999"/>
    <cellStyle name="输入 2 2 10" xfId="23069"/>
    <cellStyle name="输入 2 2 2" xfId="25002"/>
    <cellStyle name="输入 2 2 2 2" xfId="18324"/>
    <cellStyle name="输入 2 2 2 2 2" xfId="12207"/>
    <cellStyle name="输入 2 2 2 2 2 2" xfId="8249"/>
    <cellStyle name="输入 2 2 2 2 2 2 2" xfId="26792"/>
    <cellStyle name="输入 2 2 2 2 2 2 3" xfId="30048"/>
    <cellStyle name="输入 2 2 2 2 2 3" xfId="30049"/>
    <cellStyle name="输入 2 2 2 2 2 3 2" xfId="30050"/>
    <cellStyle name="输入 2 2 2 2 2 3 3" xfId="30051"/>
    <cellStyle name="输入 2 2 2 2 2 4" xfId="30052"/>
    <cellStyle name="输入 2 2 2 2 2 5" xfId="30053"/>
    <cellStyle name="输入 2 2 2 2 2 5 2" xfId="30054"/>
    <cellStyle name="输入 2 2 2 2 2 5 3" xfId="30055"/>
    <cellStyle name="输入 2 2 2 2 2 6" xfId="30056"/>
    <cellStyle name="输入 2 2 2 2 3" xfId="14203"/>
    <cellStyle name="输入 2 2 2 2 3 2" xfId="30057"/>
    <cellStyle name="输入 2 2 2 2 3 3" xfId="30058"/>
    <cellStyle name="输入 2 2 2 2 4" xfId="14209"/>
    <cellStyle name="输入 2 2 2 2 4 2" xfId="30059"/>
    <cellStyle name="输入 2 2 2 2 4 3" xfId="30060"/>
    <cellStyle name="输入 2 2 2 2 5" xfId="14214"/>
    <cellStyle name="输入 2 2 2 2 6" xfId="3542"/>
    <cellStyle name="输入 2 2 2 2 6 2" xfId="30061"/>
    <cellStyle name="输入 2 2 2 2 6 3" xfId="30062"/>
    <cellStyle name="输入 2 2 2 2 7" xfId="3558"/>
    <cellStyle name="输入 2 2 2 3" xfId="18332"/>
    <cellStyle name="输入 2 2 2 3 2" xfId="14222"/>
    <cellStyle name="输入 2 2 2 3 2 2" xfId="30063"/>
    <cellStyle name="输入 2 2 2 3 2 3" xfId="30064"/>
    <cellStyle name="输入 2 2 2 3 3" xfId="14229"/>
    <cellStyle name="输入 2 2 2 3 3 2" xfId="30065"/>
    <cellStyle name="输入 2 2 2 3 3 3" xfId="30066"/>
    <cellStyle name="输入 2 2 2 3 4" xfId="14236"/>
    <cellStyle name="输入 2 2 2 3 5" xfId="14242"/>
    <cellStyle name="输入 2 2 2 3 5 2" xfId="30067"/>
    <cellStyle name="输入 2 2 2 3 5 3" xfId="302"/>
    <cellStyle name="输入 2 2 2 3 6" xfId="4636"/>
    <cellStyle name="输入 2 2 2 4" xfId="30068"/>
    <cellStyle name="输入 2 2 2 4 2" xfId="30069"/>
    <cellStyle name="输入 2 2 2 4 3" xfId="22674"/>
    <cellStyle name="输入 2 2 2 5" xfId="22881"/>
    <cellStyle name="输入 2 2 2 5 2" xfId="30070"/>
    <cellStyle name="输入 2 2 2 5 3" xfId="30071"/>
    <cellStyle name="输入 2 2 2 6" xfId="22884"/>
    <cellStyle name="输入 2 2 2 7" xfId="22887"/>
    <cellStyle name="输入 2 2 2 7 2" xfId="7450"/>
    <cellStyle name="输入 2 2 2 7 3" xfId="10442"/>
    <cellStyle name="输入 2 2 2 8" xfId="22890"/>
    <cellStyle name="输入 2 2 3" xfId="25005"/>
    <cellStyle name="输入 2 2 3 2" xfId="18376"/>
    <cellStyle name="输入 2 2 3 2 2" xfId="14538"/>
    <cellStyle name="输入 2 2 3 2 2 2" xfId="30072"/>
    <cellStyle name="输入 2 2 3 2 2 3" xfId="30073"/>
    <cellStyle name="输入 2 2 3 2 3" xfId="9419"/>
    <cellStyle name="输入 2 2 3 2 3 2" xfId="30074"/>
    <cellStyle name="输入 2 2 3 2 3 3" xfId="30038"/>
    <cellStyle name="输入 2 2 3 2 4" xfId="9803"/>
    <cellStyle name="输入 2 2 3 2 5" xfId="14542"/>
    <cellStyle name="输入 2 2 3 2 5 2" xfId="30075"/>
    <cellStyle name="输入 2 2 3 2 5 3" xfId="5812"/>
    <cellStyle name="输入 2 2 3 2 6" xfId="4651"/>
    <cellStyle name="输入 2 2 3 3" xfId="9428"/>
    <cellStyle name="输入 2 2 3 3 2" xfId="10333"/>
    <cellStyle name="输入 2 2 3 3 3" xfId="10339"/>
    <cellStyle name="输入 2 2 3 4" xfId="30076"/>
    <cellStyle name="输入 2 2 3 4 2" xfId="9021"/>
    <cellStyle name="输入 2 2 3 4 3" xfId="9038"/>
    <cellStyle name="输入 2 2 3 5" xfId="22899"/>
    <cellStyle name="输入 2 2 3 6" xfId="16580"/>
    <cellStyle name="输入 2 2 3 6 2" xfId="9081"/>
    <cellStyle name="输入 2 2 3 6 3" xfId="8315"/>
    <cellStyle name="输入 2 2 3 7" xfId="16584"/>
    <cellStyle name="输入 2 2 4" xfId="26355"/>
    <cellStyle name="输入 2 2 4 2" xfId="21849"/>
    <cellStyle name="输入 2 2 4 2 2" xfId="14623"/>
    <cellStyle name="输入 2 2 4 2 2 2" xfId="30077"/>
    <cellStyle name="输入 2 2 4 2 2 3" xfId="30078"/>
    <cellStyle name="输入 2 2 4 2 3" xfId="14626"/>
    <cellStyle name="输入 2 2 4 2 3 2" xfId="30079"/>
    <cellStyle name="输入 2 2 4 2 3 3" xfId="30080"/>
    <cellStyle name="输入 2 2 4 2 4" xfId="14631"/>
    <cellStyle name="输入 2 2 4 2 5" xfId="14636"/>
    <cellStyle name="输入 2 2 4 2 5 2" xfId="4834"/>
    <cellStyle name="输入 2 2 4 2 5 3" xfId="12722"/>
    <cellStyle name="输入 2 2 4 2 6" xfId="14639"/>
    <cellStyle name="输入 2 2 4 3" xfId="30081"/>
    <cellStyle name="输入 2 2 4 3 2" xfId="14647"/>
    <cellStyle name="输入 2 2 4 3 3" xfId="14649"/>
    <cellStyle name="输入 2 2 4 4" xfId="9922"/>
    <cellStyle name="输入 2 2 4 4 2" xfId="9130"/>
    <cellStyle name="输入 2 2 4 4 3" xfId="9148"/>
    <cellStyle name="输入 2 2 4 5" xfId="3987"/>
    <cellStyle name="输入 2 2 4 6" xfId="2310"/>
    <cellStyle name="输入 2 2 4 6 2" xfId="9178"/>
    <cellStyle name="输入 2 2 4 6 3" xfId="9189"/>
    <cellStyle name="输入 2 2 4 7" xfId="10983"/>
    <cellStyle name="输入 2 2 5" xfId="30082"/>
    <cellStyle name="输入 2 2 5 2" xfId="21859"/>
    <cellStyle name="输入 2 2 5 2 2" xfId="30083"/>
    <cellStyle name="输入 2 2 5 2 3" xfId="8313"/>
    <cellStyle name="输入 2 2 5 3" xfId="30084"/>
    <cellStyle name="输入 2 2 5 3 2" xfId="30085"/>
    <cellStyle name="输入 2 2 5 3 3" xfId="8333"/>
    <cellStyle name="输入 2 2 5 4" xfId="9935"/>
    <cellStyle name="输入 2 2 5 5" xfId="10642"/>
    <cellStyle name="输入 2 2 5 5 2" xfId="8807"/>
    <cellStyle name="输入 2 2 5 5 3" xfId="8792"/>
    <cellStyle name="输入 2 2 5 6" xfId="16601"/>
    <cellStyle name="输入 2 2 6" xfId="30086"/>
    <cellStyle name="输入 2 2 6 2" xfId="21872"/>
    <cellStyle name="输入 2 2 6 3" xfId="30087"/>
    <cellStyle name="输入 2 2 7" xfId="30088"/>
    <cellStyle name="输入 2 2 7 2" xfId="20898"/>
    <cellStyle name="输入 2 2 7 3" xfId="30089"/>
    <cellStyle name="输入 2 2 8" xfId="30090"/>
    <cellStyle name="输入 2 2 9" xfId="27667"/>
    <cellStyle name="输入 2 2 9 2" xfId="15523"/>
    <cellStyle name="输入 2 2 9 3" xfId="15526"/>
    <cellStyle name="输入 2 3" xfId="25008"/>
    <cellStyle name="输入 2 3 10" xfId="30091"/>
    <cellStyle name="输入 2 3 2" xfId="25010"/>
    <cellStyle name="输入 2 3 2 2" xfId="12578"/>
    <cellStyle name="输入 2 3 2 2 2" xfId="15035"/>
    <cellStyle name="输入 2 3 2 2 2 2" xfId="30092"/>
    <cellStyle name="输入 2 3 2 2 2 2 2" xfId="30093"/>
    <cellStyle name="输入 2 3 2 2 2 2 3" xfId="30094"/>
    <cellStyle name="输入 2 3 2 2 2 3" xfId="30095"/>
    <cellStyle name="输入 2 3 2 2 2 3 2" xfId="30096"/>
    <cellStyle name="输入 2 3 2 2 2 3 3" xfId="30097"/>
    <cellStyle name="输入 2 3 2 2 2 4" xfId="30098"/>
    <cellStyle name="输入 2 3 2 2 2 5" xfId="30099"/>
    <cellStyle name="输入 2 3 2 2 2 5 2" xfId="30100"/>
    <cellStyle name="输入 2 3 2 2 2 5 3" xfId="183"/>
    <cellStyle name="输入 2 3 2 2 2 6" xfId="30101"/>
    <cellStyle name="输入 2 3 2 2 3" xfId="1070"/>
    <cellStyle name="输入 2 3 2 2 3 2" xfId="28392"/>
    <cellStyle name="输入 2 3 2 2 3 3" xfId="28420"/>
    <cellStyle name="输入 2 3 2 2 4" xfId="2351"/>
    <cellStyle name="输入 2 3 2 2 4 2" xfId="30102"/>
    <cellStyle name="输入 2 3 2 2 4 3" xfId="30103"/>
    <cellStyle name="输入 2 3 2 2 5" xfId="528"/>
    <cellStyle name="输入 2 3 2 2 6" xfId="4690"/>
    <cellStyle name="输入 2 3 2 2 6 2" xfId="30104"/>
    <cellStyle name="输入 2 3 2 2 6 3" xfId="30105"/>
    <cellStyle name="输入 2 3 2 2 7" xfId="4700"/>
    <cellStyle name="输入 2 3 2 3" xfId="21668"/>
    <cellStyle name="输入 2 3 2 3 2" xfId="141"/>
    <cellStyle name="输入 2 3 2 3 2 2" xfId="30106"/>
    <cellStyle name="输入 2 3 2 3 2 3" xfId="30107"/>
    <cellStyle name="输入 2 3 2 3 3" xfId="2191"/>
    <cellStyle name="输入 2 3 2 3 3 2" xfId="28459"/>
    <cellStyle name="输入 2 3 2 3 3 3" xfId="28505"/>
    <cellStyle name="输入 2 3 2 3 4" xfId="7196"/>
    <cellStyle name="输入 2 3 2 3 5" xfId="7204"/>
    <cellStyle name="输入 2 3 2 3 5 2" xfId="19177"/>
    <cellStyle name="输入 2 3 2 3 5 3" xfId="19181"/>
    <cellStyle name="输入 2 3 2 3 6" xfId="8737"/>
    <cellStyle name="输入 2 3 2 4" xfId="16021"/>
    <cellStyle name="输入 2 3 2 4 2" xfId="30108"/>
    <cellStyle name="输入 2 3 2 4 3" xfId="28735"/>
    <cellStyle name="输入 2 3 2 5" xfId="16023"/>
    <cellStyle name="输入 2 3 2 5 2" xfId="30109"/>
    <cellStyle name="输入 2 3 2 5 3" xfId="29086"/>
    <cellStyle name="输入 2 3 2 6" xfId="16025"/>
    <cellStyle name="输入 2 3 2 7" xfId="16027"/>
    <cellStyle name="输入 2 3 2 7 2" xfId="27388"/>
    <cellStyle name="输入 2 3 2 7 3" xfId="29456"/>
    <cellStyle name="输入 2 3 2 8" xfId="5574"/>
    <cellStyle name="输入 2 3 3" xfId="25012"/>
    <cellStyle name="输入 2 3 3 2" xfId="12601"/>
    <cellStyle name="输入 2 3 3 2 2" xfId="21725"/>
    <cellStyle name="输入 2 3 3 2 2 2" xfId="23393"/>
    <cellStyle name="输入 2 3 3 2 2 3" xfId="30110"/>
    <cellStyle name="输入 2 3 3 2 3" xfId="21727"/>
    <cellStyle name="输入 2 3 3 2 3 2" xfId="30111"/>
    <cellStyle name="输入 2 3 3 2 3 3" xfId="30112"/>
    <cellStyle name="输入 2 3 3 2 4" xfId="21730"/>
    <cellStyle name="输入 2 3 3 2 5" xfId="21732"/>
    <cellStyle name="输入 2 3 3 2 5 2" xfId="30113"/>
    <cellStyle name="输入 2 3 3 2 5 3" xfId="30114"/>
    <cellStyle name="输入 2 3 3 2 6" xfId="6237"/>
    <cellStyle name="输入 2 3 3 3" xfId="2910"/>
    <cellStyle name="输入 2 3 3 3 2" xfId="21734"/>
    <cellStyle name="输入 2 3 3 3 3" xfId="21736"/>
    <cellStyle name="输入 2 3 3 4" xfId="16031"/>
    <cellStyle name="输入 2 3 3 4 2" xfId="30115"/>
    <cellStyle name="输入 2 3 3 4 3" xfId="30116"/>
    <cellStyle name="输入 2 3 3 5" xfId="12432"/>
    <cellStyle name="输入 2 3 3 6" xfId="12435"/>
    <cellStyle name="输入 2 3 3 6 2" xfId="12438"/>
    <cellStyle name="输入 2 3 3 6 3" xfId="7320"/>
    <cellStyle name="输入 2 3 3 7" xfId="16033"/>
    <cellStyle name="输入 2 3 4" xfId="25014"/>
    <cellStyle name="输入 2 3 4 2" xfId="21897"/>
    <cellStyle name="输入 2 3 4 2 2" xfId="13174"/>
    <cellStyle name="输入 2 3 4 2 2 2" xfId="30117"/>
    <cellStyle name="输入 2 3 4 2 2 3" xfId="30118"/>
    <cellStyle name="输入 2 3 4 2 3" xfId="7333"/>
    <cellStyle name="输入 2 3 4 2 3 2" xfId="30119"/>
    <cellStyle name="输入 2 3 4 2 3 3" xfId="30120"/>
    <cellStyle name="输入 2 3 4 2 4" xfId="7357"/>
    <cellStyle name="输入 2 3 4 2 5" xfId="7364"/>
    <cellStyle name="输入 2 3 4 2 5 2" xfId="30121"/>
    <cellStyle name="输入 2 3 4 2 5 3" xfId="30122"/>
    <cellStyle name="输入 2 3 4 2 6" xfId="8928"/>
    <cellStyle name="输入 2 3 4 3" xfId="30123"/>
    <cellStyle name="输入 2 3 4 3 2" xfId="13179"/>
    <cellStyle name="输入 2 3 4 3 3" xfId="7372"/>
    <cellStyle name="输入 2 3 4 4" xfId="9943"/>
    <cellStyle name="输入 2 3 4 4 2" xfId="1839"/>
    <cellStyle name="输入 2 3 4 4 3" xfId="1893"/>
    <cellStyle name="输入 2 3 4 5" xfId="3946"/>
    <cellStyle name="输入 2 3 4 6" xfId="30124"/>
    <cellStyle name="输入 2 3 4 6 2" xfId="13212"/>
    <cellStyle name="输入 2 3 4 6 3" xfId="13215"/>
    <cellStyle name="输入 2 3 4 7" xfId="30125"/>
    <cellStyle name="输入 2 3 5" xfId="30126"/>
    <cellStyle name="输入 2 3 5 2" xfId="21908"/>
    <cellStyle name="输入 2 3 5 2 2" xfId="30127"/>
    <cellStyle name="输入 2 3 5 2 3" xfId="7389"/>
    <cellStyle name="输入 2 3 5 3" xfId="30128"/>
    <cellStyle name="输入 2 3 5 3 2" xfId="30129"/>
    <cellStyle name="输入 2 3 5 3 3" xfId="27420"/>
    <cellStyle name="输入 2 3 5 4" xfId="10651"/>
    <cellStyle name="输入 2 3 5 5" xfId="10653"/>
    <cellStyle name="输入 2 3 5 5 2" xfId="5704"/>
    <cellStyle name="输入 2 3 5 5 3" xfId="9257"/>
    <cellStyle name="输入 2 3 5 6" xfId="30130"/>
    <cellStyle name="输入 2 3 6" xfId="30131"/>
    <cellStyle name="输入 2 3 6 2" xfId="21924"/>
    <cellStyle name="输入 2 3 6 3" xfId="30132"/>
    <cellStyle name="输入 2 3 7" xfId="30133"/>
    <cellStyle name="输入 2 3 7 2" xfId="21936"/>
    <cellStyle name="输入 2 3 7 3" xfId="30134"/>
    <cellStyle name="输入 2 3 8" xfId="30135"/>
    <cellStyle name="输入 2 3 9" xfId="27671"/>
    <cellStyle name="输入 2 3 9 2" xfId="30136"/>
    <cellStyle name="输入 2 3 9 3" xfId="30137"/>
    <cellStyle name="输入 2 4" xfId="25016"/>
    <cellStyle name="输入 2 4 10" xfId="20505"/>
    <cellStyle name="输入 2 4 2" xfId="30138"/>
    <cellStyle name="输入 2 4 2 2" xfId="12616"/>
    <cellStyle name="输入 2 4 2 2 2" xfId="12332"/>
    <cellStyle name="输入 2 4 2 2 2 2" xfId="30139"/>
    <cellStyle name="输入 2 4 2 2 2 2 2" xfId="30140"/>
    <cellStyle name="输入 2 4 2 2 2 2 3" xfId="30141"/>
    <cellStyle name="输入 2 4 2 2 2 3" xfId="30142"/>
    <cellStyle name="输入 2 4 2 2 2 3 2" xfId="30143"/>
    <cellStyle name="输入 2 4 2 2 2 3 3" xfId="30144"/>
    <cellStyle name="输入 2 4 2 2 2 4" xfId="30145"/>
    <cellStyle name="输入 2 4 2 2 2 5" xfId="30146"/>
    <cellStyle name="输入 2 4 2 2 2 5 2" xfId="30147"/>
    <cellStyle name="输入 2 4 2 2 2 5 3" xfId="2565"/>
    <cellStyle name="输入 2 4 2 2 2 6" xfId="30148"/>
    <cellStyle name="输入 2 4 2 2 3" xfId="30149"/>
    <cellStyle name="输入 2 4 2 2 3 2" xfId="13088"/>
    <cellStyle name="输入 2 4 2 2 3 3" xfId="9529"/>
    <cellStyle name="输入 2 4 2 2 4" xfId="30150"/>
    <cellStyle name="输入 2 4 2 2 4 2" xfId="30151"/>
    <cellStyle name="输入 2 4 2 2 4 3" xfId="30152"/>
    <cellStyle name="输入 2 4 2 2 5" xfId="30153"/>
    <cellStyle name="输入 2 4 2 2 6" xfId="30154"/>
    <cellStyle name="输入 2 4 2 2 6 2" xfId="30155"/>
    <cellStyle name="输入 2 4 2 2 6 3" xfId="30156"/>
    <cellStyle name="输入 2 4 2 2 7" xfId="30157"/>
    <cellStyle name="输入 2 4 2 3" xfId="12407"/>
    <cellStyle name="输入 2 4 2 3 2" xfId="12410"/>
    <cellStyle name="输入 2 4 2 3 2 2" xfId="16253"/>
    <cellStyle name="输入 2 4 2 3 2 3" xfId="16255"/>
    <cellStyle name="输入 2 4 2 3 3" xfId="12412"/>
    <cellStyle name="输入 2 4 2 3 3 2" xfId="12235"/>
    <cellStyle name="输入 2 4 2 3 3 3" xfId="12241"/>
    <cellStyle name="输入 2 4 2 3 4" xfId="30158"/>
    <cellStyle name="输入 2 4 2 3 5" xfId="25810"/>
    <cellStyle name="输入 2 4 2 3 5 2" xfId="14325"/>
    <cellStyle name="输入 2 4 2 3 5 3" xfId="14332"/>
    <cellStyle name="输入 2 4 2 3 6" xfId="25812"/>
    <cellStyle name="输入 2 4 2 4" xfId="12414"/>
    <cellStyle name="输入 2 4 2 4 2" xfId="30159"/>
    <cellStyle name="输入 2 4 2 4 3" xfId="30160"/>
    <cellStyle name="输入 2 4 2 5" xfId="12416"/>
    <cellStyle name="输入 2 4 2 5 2" xfId="17236"/>
    <cellStyle name="输入 2 4 2 5 3" xfId="17238"/>
    <cellStyle name="输入 2 4 2 6" xfId="30161"/>
    <cellStyle name="输入 2 4 2 7" xfId="30162"/>
    <cellStyle name="输入 2 4 2 7 2" xfId="17932"/>
    <cellStyle name="输入 2 4 2 7 3" xfId="30163"/>
    <cellStyle name="输入 2 4 2 8" xfId="30164"/>
    <cellStyle name="输入 2 4 3" xfId="30165"/>
    <cellStyle name="输入 2 4 3 2" xfId="22107"/>
    <cellStyle name="输入 2 4 3 2 2" xfId="30166"/>
    <cellStyle name="输入 2 4 3 2 2 2" xfId="30167"/>
    <cellStyle name="输入 2 4 3 2 2 3" xfId="30168"/>
    <cellStyle name="输入 2 4 3 2 3" xfId="30169"/>
    <cellStyle name="输入 2 4 3 2 3 2" xfId="30170"/>
    <cellStyle name="输入 2 4 3 2 3 3" xfId="30171"/>
    <cellStyle name="输入 2 4 3 2 4" xfId="30172"/>
    <cellStyle name="输入 2 4 3 2 5" xfId="30173"/>
    <cellStyle name="输入 2 4 3 2 5 2" xfId="30174"/>
    <cellStyle name="输入 2 4 3 2 5 3" xfId="30175"/>
    <cellStyle name="输入 2 4 3 2 6" xfId="30176"/>
    <cellStyle name="输入 2 4 3 3" xfId="30177"/>
    <cellStyle name="输入 2 4 3 3 2" xfId="30178"/>
    <cellStyle name="输入 2 4 3 3 3" xfId="30179"/>
    <cellStyle name="输入 2 4 3 4" xfId="30180"/>
    <cellStyle name="输入 2 4 3 4 2" xfId="30181"/>
    <cellStyle name="输入 2 4 3 4 3" xfId="30182"/>
    <cellStyle name="输入 2 4 3 5" xfId="30183"/>
    <cellStyle name="输入 2 4 3 6" xfId="30184"/>
    <cellStyle name="输入 2 4 3 6 2" xfId="14022"/>
    <cellStyle name="输入 2 4 3 6 3" xfId="14025"/>
    <cellStyle name="输入 2 4 3 7" xfId="27804"/>
    <cellStyle name="输入 2 4 4" xfId="30185"/>
    <cellStyle name="输入 2 4 4 2" xfId="22114"/>
    <cellStyle name="输入 2 4 4 2 2" xfId="23579"/>
    <cellStyle name="输入 2 4 4 2 2 2" xfId="15417"/>
    <cellStyle name="输入 2 4 4 2 2 3" xfId="15419"/>
    <cellStyle name="输入 2 4 4 2 3" xfId="23581"/>
    <cellStyle name="输入 2 4 4 2 3 2" xfId="30186"/>
    <cellStyle name="输入 2 4 4 2 3 3" xfId="30187"/>
    <cellStyle name="输入 2 4 4 2 4" xfId="23583"/>
    <cellStyle name="输入 2 4 4 2 5" xfId="30188"/>
    <cellStyle name="输入 2 4 4 2 5 2" xfId="30189"/>
    <cellStyle name="输入 2 4 4 2 5 3" xfId="30190"/>
    <cellStyle name="输入 2 4 4 2 6" xfId="30191"/>
    <cellStyle name="输入 2 4 4 3" xfId="30192"/>
    <cellStyle name="输入 2 4 4 3 2" xfId="30193"/>
    <cellStyle name="输入 2 4 4 3 3" xfId="30194"/>
    <cellStyle name="输入 2 4 4 4" xfId="10658"/>
    <cellStyle name="输入 2 4 4 4 2" xfId="10660"/>
    <cellStyle name="输入 2 4 4 4 3" xfId="10662"/>
    <cellStyle name="输入 2 4 4 5" xfId="10664"/>
    <cellStyle name="输入 2 4 4 6" xfId="30195"/>
    <cellStyle name="输入 2 4 4 6 2" xfId="30196"/>
    <cellStyle name="输入 2 4 4 6 3" xfId="30197"/>
    <cellStyle name="输入 2 4 4 7" xfId="30198"/>
    <cellStyle name="输入 2 4 5" xfId="30199"/>
    <cellStyle name="输入 2 4 5 2" xfId="22125"/>
    <cellStyle name="输入 2 4 5 2 2" xfId="30200"/>
    <cellStyle name="输入 2 4 5 2 3" xfId="8371"/>
    <cellStyle name="输入 2 4 5 3" xfId="30201"/>
    <cellStyle name="输入 2 4 5 3 2" xfId="30202"/>
    <cellStyle name="输入 2 4 5 3 3" xfId="27424"/>
    <cellStyle name="输入 2 4 5 4" xfId="10666"/>
    <cellStyle name="输入 2 4 5 5" xfId="10668"/>
    <cellStyle name="输入 2 4 5 5 2" xfId="8960"/>
    <cellStyle name="输入 2 4 5 5 3" xfId="30203"/>
    <cellStyle name="输入 2 4 5 6" xfId="30204"/>
    <cellStyle name="输入 2 4 6" xfId="30205"/>
    <cellStyle name="输入 2 4 6 2" xfId="22135"/>
    <cellStyle name="输入 2 4 6 3" xfId="30206"/>
    <cellStyle name="输入 2 4 7" xfId="30207"/>
    <cellStyle name="输入 2 4 7 2" xfId="22149"/>
    <cellStyle name="输入 2 4 7 3" xfId="22473"/>
    <cellStyle name="输入 2 4 8" xfId="30208"/>
    <cellStyle name="输入 2 4 9" xfId="30209"/>
    <cellStyle name="输入 2 4 9 2" xfId="22521"/>
    <cellStyle name="输入 2 4 9 3" xfId="22523"/>
    <cellStyle name="输入 2 5" xfId="30210"/>
    <cellStyle name="输入 2 5 2" xfId="30211"/>
    <cellStyle name="输入 2 5 2 2" xfId="22275"/>
    <cellStyle name="输入 2 5 2 2 2" xfId="30212"/>
    <cellStyle name="输入 2 5 2 2 2 2" xfId="10381"/>
    <cellStyle name="输入 2 5 2 2 2 3" xfId="30213"/>
    <cellStyle name="输入 2 5 2 2 3" xfId="20972"/>
    <cellStyle name="输入 2 5 2 2 3 2" xfId="30214"/>
    <cellStyle name="输入 2 5 2 2 3 3" xfId="30215"/>
    <cellStyle name="输入 2 5 2 2 4" xfId="20974"/>
    <cellStyle name="输入 2 5 2 2 5" xfId="20976"/>
    <cellStyle name="输入 2 5 2 2 5 2" xfId="30216"/>
    <cellStyle name="输入 2 5 2 2 5 3" xfId="30217"/>
    <cellStyle name="输入 2 5 2 2 6" xfId="20978"/>
    <cellStyle name="输入 2 5 2 3" xfId="30218"/>
    <cellStyle name="输入 2 5 2 3 2" xfId="30219"/>
    <cellStyle name="输入 2 5 2 3 3" xfId="20981"/>
    <cellStyle name="输入 2 5 2 4" xfId="30220"/>
    <cellStyle name="输入 2 5 2 4 2" xfId="30221"/>
    <cellStyle name="输入 2 5 2 4 3" xfId="20991"/>
    <cellStyle name="输入 2 5 2 5" xfId="30222"/>
    <cellStyle name="输入 2 5 2 6" xfId="30223"/>
    <cellStyle name="输入 2 5 2 6 2" xfId="27568"/>
    <cellStyle name="输入 2 5 2 6 3" xfId="30224"/>
    <cellStyle name="输入 2 5 2 7" xfId="30225"/>
    <cellStyle name="输入 2 5 3" xfId="30226"/>
    <cellStyle name="输入 2 5 3 2" xfId="20788"/>
    <cellStyle name="输入 2 5 3 2 2" xfId="12084"/>
    <cellStyle name="输入 2 5 3 2 3" xfId="30227"/>
    <cellStyle name="输入 2 5 3 3" xfId="30228"/>
    <cellStyle name="输入 2 5 3 3 2" xfId="30229"/>
    <cellStyle name="输入 2 5 3 3 3" xfId="30230"/>
    <cellStyle name="输入 2 5 3 4" xfId="30231"/>
    <cellStyle name="输入 2 5 3 5" xfId="30232"/>
    <cellStyle name="输入 2 5 3 5 2" xfId="30233"/>
    <cellStyle name="输入 2 5 3 5 3" xfId="30234"/>
    <cellStyle name="输入 2 5 3 6" xfId="30235"/>
    <cellStyle name="输入 2 5 4" xfId="30236"/>
    <cellStyle name="输入 2 5 4 2" xfId="4671"/>
    <cellStyle name="输入 2 5 4 3" xfId="30237"/>
    <cellStyle name="输入 2 5 5" xfId="30238"/>
    <cellStyle name="输入 2 5 5 2" xfId="10301"/>
    <cellStyle name="输入 2 5 5 3" xfId="23386"/>
    <cellStyle name="输入 2 5 6" xfId="30239"/>
    <cellStyle name="输入 2 5 7" xfId="30240"/>
    <cellStyle name="输入 2 5 7 2" xfId="9310"/>
    <cellStyle name="输入 2 5 7 3" xfId="9327"/>
    <cellStyle name="输入 2 5 8" xfId="30241"/>
    <cellStyle name="输入 2 6" xfId="30242"/>
    <cellStyle name="输入 2 6 2" xfId="30243"/>
    <cellStyle name="输入 2 6 2 2" xfId="22035"/>
    <cellStyle name="输入 2 6 2 2 2" xfId="30244"/>
    <cellStyle name="输入 2 6 2 2 3" xfId="30245"/>
    <cellStyle name="输入 2 6 2 3" xfId="30246"/>
    <cellStyle name="输入 2 6 2 3 2" xfId="23231"/>
    <cellStyle name="输入 2 6 2 3 3" xfId="30247"/>
    <cellStyle name="输入 2 6 2 4" xfId="30248"/>
    <cellStyle name="输入 2 6 2 5" xfId="30249"/>
    <cellStyle name="输入 2 6 2 5 2" xfId="23525"/>
    <cellStyle name="输入 2 6 2 5 3" xfId="30250"/>
    <cellStyle name="输入 2 6 2 6" xfId="30251"/>
    <cellStyle name="输入 2 6 3" xfId="30252"/>
    <cellStyle name="输入 2 6 3 2" xfId="5894"/>
    <cellStyle name="输入 2 6 3 3" xfId="30253"/>
    <cellStyle name="输入 2 6 4" xfId="30254"/>
    <cellStyle name="输入 2 6 4 2" xfId="2106"/>
    <cellStyle name="输入 2 6 4 3" xfId="30255"/>
    <cellStyle name="输入 2 6 5" xfId="5920"/>
    <cellStyle name="输入 2 6 6" xfId="6420"/>
    <cellStyle name="输入 2 6 6 2" xfId="2670"/>
    <cellStyle name="输入 2 6 6 3" xfId="2736"/>
    <cellStyle name="输入 2 6 7" xfId="6425"/>
    <cellStyle name="输入 2 7" xfId="30256"/>
    <cellStyle name="输入 2 7 2" xfId="30257"/>
    <cellStyle name="输入 2 7 2 2" xfId="13300"/>
    <cellStyle name="输入 2 7 2 2 2" xfId="30258"/>
    <cellStyle name="输入 2 7 2 2 3" xfId="30259"/>
    <cellStyle name="输入 2 7 2 3" xfId="2316"/>
    <cellStyle name="输入 2 7 2 3 2" xfId="30260"/>
    <cellStyle name="输入 2 7 2 3 3" xfId="30261"/>
    <cellStyle name="输入 2 7 2 4" xfId="8397"/>
    <cellStyle name="输入 2 7 2 5" xfId="13304"/>
    <cellStyle name="输入 2 7 2 5 2" xfId="30262"/>
    <cellStyle name="输入 2 7 2 5 3" xfId="30263"/>
    <cellStyle name="输入 2 7 2 6" xfId="4306"/>
    <cellStyle name="输入 2 7 3" xfId="30264"/>
    <cellStyle name="输入 2 7 3 2" xfId="993"/>
    <cellStyle name="输入 2 7 3 3" xfId="5929"/>
    <cellStyle name="输入 2 7 4" xfId="30265"/>
    <cellStyle name="输入 2 7 4 2" xfId="5002"/>
    <cellStyle name="输入 2 7 4 3" xfId="13326"/>
    <cellStyle name="输入 2 7 5" xfId="6433"/>
    <cellStyle name="输入 2 7 6" xfId="6451"/>
    <cellStyle name="输入 2 7 6 2" xfId="8063"/>
    <cellStyle name="输入 2 7 6 3" xfId="8083"/>
    <cellStyle name="输入 2 7 7" xfId="30266"/>
    <cellStyle name="输入 2 8" xfId="30267"/>
    <cellStyle name="输入 2 8 2" xfId="30268"/>
    <cellStyle name="输入 2 8 2 2" xfId="24080"/>
    <cellStyle name="输入 2 8 2 3" xfId="30269"/>
    <cellStyle name="输入 2 8 3" xfId="30270"/>
    <cellStyle name="输入 2 8 3 2" xfId="24093"/>
    <cellStyle name="输入 2 8 3 3" xfId="30271"/>
    <cellStyle name="输入 2 8 4" xfId="30272"/>
    <cellStyle name="输入 2 8 5" xfId="4586"/>
    <cellStyle name="输入 2 8 5 2" xfId="24290"/>
    <cellStyle name="输入 2 8 5 3" xfId="24292"/>
    <cellStyle name="输入 2 8 6" xfId="16"/>
    <cellStyle name="输入 2 9" xfId="12064"/>
    <cellStyle name="输入 2 9 2" xfId="12788"/>
    <cellStyle name="输入 2 9 2 2" xfId="24247"/>
    <cellStyle name="输入 2 9 2 3" xfId="30273"/>
    <cellStyle name="输入 2 9 3" xfId="30274"/>
    <cellStyle name="输入 2 9 4" xfId="30275"/>
    <cellStyle name="输入 2 9 4 2" xfId="12621"/>
    <cellStyle name="输入 2 9 4 3" xfId="24319"/>
    <cellStyle name="输入 2 9 5" xfId="30276"/>
    <cellStyle name="输入 3" xfId="25018"/>
    <cellStyle name="输入 3 2" xfId="4251"/>
    <cellStyle name="输入 3 3" xfId="20343"/>
    <cellStyle name="输入 4" xfId="30277"/>
    <cellStyle name="注释 2" xfId="25840"/>
    <cellStyle name="注释 2 10" xfId="11774"/>
    <cellStyle name="注释 2 10 2" xfId="29035"/>
    <cellStyle name="注释 2 10 2 2" xfId="8930"/>
    <cellStyle name="注释 2 10 2 2 2" xfId="5638"/>
    <cellStyle name="注释 2 10 2 2 3" xfId="30278"/>
    <cellStyle name="注释 2 10 2 3" xfId="9122"/>
    <cellStyle name="注释 2 10 2 4" xfId="9125"/>
    <cellStyle name="注释 2 10 2 4 2" xfId="30279"/>
    <cellStyle name="注释 2 10 2 4 3" xfId="25798"/>
    <cellStyle name="注释 2 10 2 5" xfId="30280"/>
    <cellStyle name="注释 2 10 3" xfId="29037"/>
    <cellStyle name="注释 2 10 3 2" xfId="8940"/>
    <cellStyle name="注释 2 10 3 3" xfId="29039"/>
    <cellStyle name="注释 2 10 4" xfId="29041"/>
    <cellStyle name="注释 2 10 4 2" xfId="19371"/>
    <cellStyle name="注释 2 10 4 3" xfId="9461"/>
    <cellStyle name="注释 2 10 5" xfId="29043"/>
    <cellStyle name="注释 2 10 6" xfId="29046"/>
    <cellStyle name="注释 2 10 6 2" xfId="28742"/>
    <cellStyle name="注释 2 10 6 3" xfId="30281"/>
    <cellStyle name="注释 2 10 7" xfId="30282"/>
    <cellStyle name="注释 2 10 7 2" xfId="30283"/>
    <cellStyle name="注释 2 10 7 3" xfId="28818"/>
    <cellStyle name="注释 2 10 8" xfId="30284"/>
    <cellStyle name="注释 2 11" xfId="21267"/>
    <cellStyle name="注释 2 11 2" xfId="25698"/>
    <cellStyle name="注释 2 11 2 2" xfId="25701"/>
    <cellStyle name="注释 2 11 2 3" xfId="25704"/>
    <cellStyle name="注释 2 11 3" xfId="25707"/>
    <cellStyle name="注释 2 11 3 2" xfId="25710"/>
    <cellStyle name="注释 2 11 3 3" xfId="24011"/>
    <cellStyle name="注释 2 11 4" xfId="25716"/>
    <cellStyle name="注释 2 11 5" xfId="29056"/>
    <cellStyle name="注释 2 11 5 2" xfId="29058"/>
    <cellStyle name="注释 2 11 5 3" xfId="29060"/>
    <cellStyle name="注释 2 11 6" xfId="26787"/>
    <cellStyle name="注释 2 12" xfId="21270"/>
    <cellStyle name="注释 2 12 2" xfId="25719"/>
    <cellStyle name="注释 2 12 2 2" xfId="25722"/>
    <cellStyle name="注释 2 12 2 3" xfId="25725"/>
    <cellStyle name="注释 2 12 3" xfId="25729"/>
    <cellStyle name="注释 2 12 4" xfId="25732"/>
    <cellStyle name="注释 2 12 4 2" xfId="29066"/>
    <cellStyle name="注释 2 12 4 3" xfId="29068"/>
    <cellStyle name="注释 2 12 5" xfId="29070"/>
    <cellStyle name="注释 2 12 5 2" xfId="30285"/>
    <cellStyle name="注释 2 12 5 3" xfId="30286"/>
    <cellStyle name="注释 2 12 6" xfId="30287"/>
    <cellStyle name="注释 2 13" xfId="21273"/>
    <cellStyle name="注释 2 13 2" xfId="29076"/>
    <cellStyle name="注释 2 13 2 2" xfId="30288"/>
    <cellStyle name="注释 2 13 2 3" xfId="30289"/>
    <cellStyle name="注释 2 13 3" xfId="29078"/>
    <cellStyle name="注释 2 13 4" xfId="29082"/>
    <cellStyle name="注释 2 13 4 2" xfId="30290"/>
    <cellStyle name="注释 2 13 4 3" xfId="30291"/>
    <cellStyle name="注释 2 13 5" xfId="30292"/>
    <cellStyle name="注释 2 13 5 2" xfId="30293"/>
    <cellStyle name="注释 2 13 5 3" xfId="30294"/>
    <cellStyle name="注释 2 13 6" xfId="30295"/>
    <cellStyle name="注释 2 14" xfId="21275"/>
    <cellStyle name="注释 2 14 2" xfId="30296"/>
    <cellStyle name="注释 2 14 2 2" xfId="30297"/>
    <cellStyle name="注释 2 14 2 3" xfId="30298"/>
    <cellStyle name="注释 2 14 3" xfId="30299"/>
    <cellStyle name="注释 2 14 3 2" xfId="30300"/>
    <cellStyle name="注释 2 14 3 3" xfId="30301"/>
    <cellStyle name="注释 2 14 4" xfId="30302"/>
    <cellStyle name="注释 2 14 4 2" xfId="351"/>
    <cellStyle name="注释 2 14 4 3" xfId="40"/>
    <cellStyle name="注释 2 14 5" xfId="30303"/>
    <cellStyle name="注释 2 15" xfId="21277"/>
    <cellStyle name="注释 2 16" xfId="21279"/>
    <cellStyle name="注释 2 16 2" xfId="30304"/>
    <cellStyle name="注释 2 16 3" xfId="30305"/>
    <cellStyle name="注释 2 17" xfId="24632"/>
    <cellStyle name="注释 2 18" xfId="30306"/>
    <cellStyle name="注释 2 18 2" xfId="30307"/>
    <cellStyle name="注释 2 2" xfId="23765"/>
    <cellStyle name="注释 2 2 10" xfId="27179"/>
    <cellStyle name="注释 2 2 10 2" xfId="27181"/>
    <cellStyle name="注释 2 2 10 3" xfId="27187"/>
    <cellStyle name="注释 2 2 11" xfId="27191"/>
    <cellStyle name="注释 2 2 11 2" xfId="25107"/>
    <cellStyle name="注释 2 2 11 3" xfId="1124"/>
    <cellStyle name="注释 2 2 12" xfId="12585"/>
    <cellStyle name="注释 2 2 13" xfId="12597"/>
    <cellStyle name="注释 2 2 13 2" xfId="30308"/>
    <cellStyle name="注释 2 2 13 3" xfId="24397"/>
    <cellStyle name="注释 2 2 14" xfId="2908"/>
    <cellStyle name="注释 2 2 15" xfId="30309"/>
    <cellStyle name="注释 2 2 2" xfId="25842"/>
    <cellStyle name="注释 2 2 2 10" xfId="10315"/>
    <cellStyle name="注释 2 2 2 11" xfId="10318"/>
    <cellStyle name="注释 2 2 2 11 2" xfId="29747"/>
    <cellStyle name="注释 2 2 2 11 3" xfId="30310"/>
    <cellStyle name="注释 2 2 2 12" xfId="26644"/>
    <cellStyle name="注释 2 2 2 2" xfId="30311"/>
    <cellStyle name="注释 2 2 2 2 10" xfId="176"/>
    <cellStyle name="注释 2 2 2 2 10 2" xfId="28218"/>
    <cellStyle name="注释 2 2 2 2 10 3" xfId="28247"/>
    <cellStyle name="注释 2 2 2 2 11" xfId="30312"/>
    <cellStyle name="注释 2 2 2 2 2" xfId="30313"/>
    <cellStyle name="注释 2 2 2 2 2 2" xfId="30314"/>
    <cellStyle name="注释 2 2 2 2 2 2 2" xfId="30315"/>
    <cellStyle name="注释 2 2 2 2 2 2 3" xfId="30316"/>
    <cellStyle name="注释 2 2 2 2 2 3" xfId="400"/>
    <cellStyle name="注释 2 2 2 2 2 3 2" xfId="29054"/>
    <cellStyle name="注释 2 2 2 2 2 3 3" xfId="30317"/>
    <cellStyle name="注释 2 2 2 2 2 4" xfId="420"/>
    <cellStyle name="注释 2 2 2 2 2 4 2" xfId="30318"/>
    <cellStyle name="注释 2 2 2 2 2 4 3" xfId="30319"/>
    <cellStyle name="注释 2 2 2 2 2 5" xfId="30320"/>
    <cellStyle name="注释 2 2 2 2 2 6" xfId="30321"/>
    <cellStyle name="注释 2 2 2 2 2 6 2" xfId="30323"/>
    <cellStyle name="注释 2 2 2 2 2 6 3" xfId="30325"/>
    <cellStyle name="注释 2 2 2 2 2 7" xfId="30327"/>
    <cellStyle name="注释 2 2 2 2 3" xfId="30329"/>
    <cellStyle name="注释 2 2 2 2 3 2" xfId="30330"/>
    <cellStyle name="注释 2 2 2 2 3 2 2" xfId="30331"/>
    <cellStyle name="注释 2 2 2 2 3 2 3" xfId="30332"/>
    <cellStyle name="注释 2 2 2 2 3 3" xfId="30333"/>
    <cellStyle name="注释 2 2 2 2 3 3 2" xfId="30334"/>
    <cellStyle name="注释 2 2 2 2 3 3 3" xfId="30335"/>
    <cellStyle name="注释 2 2 2 2 3 4" xfId="30336"/>
    <cellStyle name="注释 2 2 2 2 3 4 2" xfId="30337"/>
    <cellStyle name="注释 2 2 2 2 3 4 3" xfId="30338"/>
    <cellStyle name="注释 2 2 2 2 3 5" xfId="30339"/>
    <cellStyle name="注释 2 2 2 2 3 6" xfId="30340"/>
    <cellStyle name="注释 2 2 2 2 3 6 2" xfId="11156"/>
    <cellStyle name="注释 2 2 2 2 3 6 3" xfId="30342"/>
    <cellStyle name="注释 2 2 2 2 3 7" xfId="30343"/>
    <cellStyle name="注释 2 2 2 2 4" xfId="30345"/>
    <cellStyle name="注释 2 2 2 2 4 2" xfId="12066"/>
    <cellStyle name="注释 2 2 2 2 4 2 2" xfId="12068"/>
    <cellStyle name="注释 2 2 2 2 4 2 2 2" xfId="30346"/>
    <cellStyle name="注释 2 2 2 2 4 2 2 3" xfId="30347"/>
    <cellStyle name="注释 2 2 2 2 4 2 3" xfId="30348"/>
    <cellStyle name="注释 2 2 2 2 4 2 4" xfId="30349"/>
    <cellStyle name="注释 2 2 2 2 4 2 4 2" xfId="12658"/>
    <cellStyle name="注释 2 2 2 2 4 2 4 3" xfId="24328"/>
    <cellStyle name="注释 2 2 2 2 4 2 5" xfId="30350"/>
    <cellStyle name="注释 2 2 2 2 4 3" xfId="30351"/>
    <cellStyle name="注释 2 2 2 2 4 3 2" xfId="30352"/>
    <cellStyle name="注释 2 2 2 2 4 3 3" xfId="30353"/>
    <cellStyle name="注释 2 2 2 2 4 4" xfId="30354"/>
    <cellStyle name="注释 2 2 2 2 4 4 2" xfId="30355"/>
    <cellStyle name="注释 2 2 2 2 4 4 3" xfId="30356"/>
    <cellStyle name="注释 2 2 2 2 4 5" xfId="30357"/>
    <cellStyle name="注释 2 2 2 2 4 6" xfId="30358"/>
    <cellStyle name="注释 2 2 2 2 4 6 2" xfId="30360"/>
    <cellStyle name="注释 2 2 2 2 4 6 3" xfId="30361"/>
    <cellStyle name="注释 2 2 2 2 4 7" xfId="30362"/>
    <cellStyle name="注释 2 2 2 2 4 7 2" xfId="30364"/>
    <cellStyle name="注释 2 2 2 2 4 7 3" xfId="30365"/>
    <cellStyle name="注释 2 2 2 2 4 8" xfId="30366"/>
    <cellStyle name="注释 2 2 2 2 5" xfId="30367"/>
    <cellStyle name="注释 2 2 2 2 5 2" xfId="26403"/>
    <cellStyle name="注释 2 2 2 2 5 2 2" xfId="26091"/>
    <cellStyle name="注释 2 2 2 2 5 2 3" xfId="26101"/>
    <cellStyle name="注释 2 2 2 2 5 3" xfId="30368"/>
    <cellStyle name="注释 2 2 2 2 5 3 2" xfId="26117"/>
    <cellStyle name="注释 2 2 2 2 5 3 3" xfId="26123"/>
    <cellStyle name="注释 2 2 2 2 5 4" xfId="30369"/>
    <cellStyle name="注释 2 2 2 2 5 5" xfId="30370"/>
    <cellStyle name="注释 2 2 2 2 5 5 2" xfId="26138"/>
    <cellStyle name="注释 2 2 2 2 5 5 3" xfId="26140"/>
    <cellStyle name="注释 2 2 2 2 5 6" xfId="30371"/>
    <cellStyle name="注释 2 2 2 2 6" xfId="30373"/>
    <cellStyle name="注释 2 2 2 2 6 2" xfId="30374"/>
    <cellStyle name="注释 2 2 2 2 6 3" xfId="30375"/>
    <cellStyle name="注释 2 2 2 2 7" xfId="30376"/>
    <cellStyle name="注释 2 2 2 2 7 2" xfId="30377"/>
    <cellStyle name="注释 2 2 2 2 7 3" xfId="30378"/>
    <cellStyle name="注释 2 2 2 2 8" xfId="30379"/>
    <cellStyle name="注释 2 2 2 2 8 2" xfId="30380"/>
    <cellStyle name="注释 2 2 2 2 8 3" xfId="30381"/>
    <cellStyle name="注释 2 2 2 2 9" xfId="30382"/>
    <cellStyle name="注释 2 2 2 3" xfId="17249"/>
    <cellStyle name="注释 2 2 2 3 2" xfId="29759"/>
    <cellStyle name="注释 2 2 2 3 2 2" xfId="30383"/>
    <cellStyle name="注释 2 2 2 3 2 3" xfId="10622"/>
    <cellStyle name="注释 2 2 2 3 3" xfId="6641"/>
    <cellStyle name="注释 2 2 2 3 3 2" xfId="6647"/>
    <cellStyle name="注释 2 2 2 3 3 3" xfId="6675"/>
    <cellStyle name="注释 2 2 2 3 4" xfId="6697"/>
    <cellStyle name="注释 2 2 2 3 4 2" xfId="1916"/>
    <cellStyle name="注释 2 2 2 3 4 3" xfId="6714"/>
    <cellStyle name="注释 2 2 2 3 5" xfId="1017"/>
    <cellStyle name="注释 2 2 2 3 6" xfId="228"/>
    <cellStyle name="注释 2 2 2 3 6 2" xfId="30384"/>
    <cellStyle name="注释 2 2 2 3 6 3" xfId="30385"/>
    <cellStyle name="注释 2 2 2 3 7" xfId="30386"/>
    <cellStyle name="注释 2 2 2 4" xfId="1792"/>
    <cellStyle name="注释 2 2 2 4 2" xfId="29761"/>
    <cellStyle name="注释 2 2 2 4 2 2" xfId="30387"/>
    <cellStyle name="注释 2 2 2 4 2 3" xfId="30388"/>
    <cellStyle name="注释 2 2 2 4 3" xfId="1821"/>
    <cellStyle name="注释 2 2 2 4 3 2" xfId="6741"/>
    <cellStyle name="注释 2 2 2 4 3 3" xfId="6752"/>
    <cellStyle name="注释 2 2 2 4 4" xfId="6759"/>
    <cellStyle name="注释 2 2 2 4 4 2" xfId="5267"/>
    <cellStyle name="注释 2 2 2 4 4 3" xfId="6764"/>
    <cellStyle name="注释 2 2 2 4 5" xfId="752"/>
    <cellStyle name="注释 2 2 2 4 6" xfId="30389"/>
    <cellStyle name="注释 2 2 2 4 6 2" xfId="30390"/>
    <cellStyle name="注释 2 2 2 4 6 3" xfId="30391"/>
    <cellStyle name="注释 2 2 2 4 7" xfId="30392"/>
    <cellStyle name="注释 2 2 2 5" xfId="308"/>
    <cellStyle name="注释 2 2 2 5 2" xfId="30393"/>
    <cellStyle name="注释 2 2 2 5 2 2" xfId="30394"/>
    <cellStyle name="注释 2 2 2 5 2 2 2" xfId="30395"/>
    <cellStyle name="注释 2 2 2 5 2 2 3" xfId="30396"/>
    <cellStyle name="注释 2 2 2 5 2 3" xfId="30397"/>
    <cellStyle name="注释 2 2 2 5 2 4" xfId="30398"/>
    <cellStyle name="注释 2 2 2 5 2 4 2" xfId="30399"/>
    <cellStyle name="注释 2 2 2 5 2 4 3" xfId="30400"/>
    <cellStyle name="注释 2 2 2 5 2 5" xfId="30401"/>
    <cellStyle name="注释 2 2 2 5 3" xfId="1660"/>
    <cellStyle name="注释 2 2 2 5 3 2" xfId="6781"/>
    <cellStyle name="注释 2 2 2 5 3 3" xfId="6799"/>
    <cellStyle name="注释 2 2 2 5 4" xfId="5897"/>
    <cellStyle name="注释 2 2 2 5 4 2" xfId="5903"/>
    <cellStyle name="注释 2 2 2 5 4 3" xfId="5912"/>
    <cellStyle name="注释 2 2 2 5 5" xfId="2662"/>
    <cellStyle name="注释 2 2 2 5 6" xfId="30402"/>
    <cellStyle name="注释 2 2 2 5 6 2" xfId="30403"/>
    <cellStyle name="注释 2 2 2 5 6 3" xfId="30404"/>
    <cellStyle name="注释 2 2 2 5 7" xfId="30405"/>
    <cellStyle name="注释 2 2 2 5 7 2" xfId="30041"/>
    <cellStyle name="注释 2 2 2 5 7 3" xfId="30406"/>
    <cellStyle name="注释 2 2 2 5 8" xfId="30407"/>
    <cellStyle name="注释 2 2 2 6" xfId="1670"/>
    <cellStyle name="注释 2 2 2 6 2" xfId="29763"/>
    <cellStyle name="注释 2 2 2 6 2 2" xfId="30408"/>
    <cellStyle name="注释 2 2 2 6 2 3" xfId="4858"/>
    <cellStyle name="注释 2 2 2 6 3" xfId="1691"/>
    <cellStyle name="注释 2 2 2 6 3 2" xfId="1976"/>
    <cellStyle name="注释 2 2 2 6 3 3" xfId="2027"/>
    <cellStyle name="注释 2 2 2 6 4" xfId="2100"/>
    <cellStyle name="注释 2 2 2 6 5" xfId="30409"/>
    <cellStyle name="注释 2 2 2 6 5 2" xfId="30410"/>
    <cellStyle name="注释 2 2 2 6 5 3" xfId="16484"/>
    <cellStyle name="注释 2 2 2 6 6" xfId="30411"/>
    <cellStyle name="注释 2 2 2 7" xfId="17252"/>
    <cellStyle name="注释 2 2 2 7 2" xfId="30412"/>
    <cellStyle name="注释 2 2 2 7 3" xfId="2274"/>
    <cellStyle name="注释 2 2 2 8" xfId="17254"/>
    <cellStyle name="注释 2 2 2 8 2" xfId="12541"/>
    <cellStyle name="注释 2 2 2 8 3" xfId="30413"/>
    <cellStyle name="注释 2 2 2 9" xfId="17256"/>
    <cellStyle name="注释 2 2 2 9 2" xfId="30414"/>
    <cellStyle name="注释 2 2 2 9 3" xfId="30415"/>
    <cellStyle name="注释 2 2 3" xfId="25845"/>
    <cellStyle name="注释 2 2 3 10" xfId="11327"/>
    <cellStyle name="注释 2 2 3 10 2" xfId="30416"/>
    <cellStyle name="注释 2 2 3 10 3" xfId="30417"/>
    <cellStyle name="注释 2 2 3 11" xfId="11330"/>
    <cellStyle name="注释 2 2 3 2" xfId="25847"/>
    <cellStyle name="注释 2 2 3 2 2" xfId="30418"/>
    <cellStyle name="注释 2 2 3 2 2 2" xfId="21942"/>
    <cellStyle name="注释 2 2 3 2 2 3" xfId="10912"/>
    <cellStyle name="注释 2 2 3 2 3" xfId="30419"/>
    <cellStyle name="注释 2 2 3 2 3 2" xfId="21952"/>
    <cellStyle name="注释 2 2 3 2 3 3" xfId="30420"/>
    <cellStyle name="注释 2 2 3 2 4" xfId="30045"/>
    <cellStyle name="注释 2 2 3 2 4 2" xfId="30421"/>
    <cellStyle name="注释 2 2 3 2 4 3" xfId="30422"/>
    <cellStyle name="注释 2 2 3 2 5" xfId="30047"/>
    <cellStyle name="注释 2 2 3 2 6" xfId="30423"/>
    <cellStyle name="注释 2 2 3 2 6 2" xfId="30424"/>
    <cellStyle name="注释 2 2 3 2 6 3" xfId="30425"/>
    <cellStyle name="注释 2 2 3 2 7" xfId="29120"/>
    <cellStyle name="注释 2 2 3 3" xfId="17259"/>
    <cellStyle name="注释 2 2 3 3 2" xfId="30426"/>
    <cellStyle name="注释 2 2 3 3 2 2" xfId="30427"/>
    <cellStyle name="注释 2 2 3 3 2 3" xfId="10938"/>
    <cellStyle name="注释 2 2 3 3 3" xfId="6814"/>
    <cellStyle name="注释 2 2 3 3 3 2" xfId="6208"/>
    <cellStyle name="注释 2 2 3 3 3 3" xfId="6830"/>
    <cellStyle name="注释 2 2 3 3 4" xfId="6838"/>
    <cellStyle name="注释 2 2 3 3 4 2" xfId="6840"/>
    <cellStyle name="注释 2 2 3 3 4 3" xfId="6849"/>
    <cellStyle name="注释 2 2 3 3 5" xfId="6854"/>
    <cellStyle name="注释 2 2 3 3 6" xfId="6873"/>
    <cellStyle name="注释 2 2 3 3 6 2" xfId="30428"/>
    <cellStyle name="注释 2 2 3 3 6 3" xfId="30429"/>
    <cellStyle name="注释 2 2 3 3 7" xfId="29602"/>
    <cellStyle name="注释 2 2 3 4" xfId="1843"/>
    <cellStyle name="注释 2 2 3 4 2" xfId="30430"/>
    <cellStyle name="注释 2 2 3 4 2 2" xfId="1870"/>
    <cellStyle name="注释 2 2 3 4 2 2 2" xfId="30431"/>
    <cellStyle name="注释 2 2 3 4 2 2 3" xfId="30432"/>
    <cellStyle name="注释 2 2 3 4 2 3" xfId="1873"/>
    <cellStyle name="注释 2 2 3 4 2 4" xfId="14712"/>
    <cellStyle name="注释 2 2 3 4 2 4 2" xfId="19192"/>
    <cellStyle name="注释 2 2 3 4 2 4 3" xfId="19195"/>
    <cellStyle name="注释 2 2 3 4 2 5" xfId="30433"/>
    <cellStyle name="注释 2 2 3 4 3" xfId="1876"/>
    <cellStyle name="注释 2 2 3 4 3 2" xfId="6881"/>
    <cellStyle name="注释 2 2 3 4 3 3" xfId="6889"/>
    <cellStyle name="注释 2 2 3 4 4" xfId="6891"/>
    <cellStyle name="注释 2 2 3 4 4 2" xfId="6893"/>
    <cellStyle name="注释 2 2 3 4 4 3" xfId="6896"/>
    <cellStyle name="注释 2 2 3 4 5" xfId="2314"/>
    <cellStyle name="注释 2 2 3 4 6" xfId="30434"/>
    <cellStyle name="注释 2 2 3 4 6 2" xfId="30435"/>
    <cellStyle name="注释 2 2 3 4 6 3" xfId="30436"/>
    <cellStyle name="注释 2 2 3 4 7" xfId="29605"/>
    <cellStyle name="注释 2 2 3 4 7 2" xfId="15100"/>
    <cellStyle name="注释 2 2 3 4 7 3" xfId="15102"/>
    <cellStyle name="注释 2 2 3 4 8" xfId="29607"/>
    <cellStyle name="注释 2 2 3 5" xfId="1713"/>
    <cellStyle name="注释 2 2 3 5 2" xfId="30437"/>
    <cellStyle name="注释 2 2 3 5 2 2" xfId="30438"/>
    <cellStyle name="注释 2 2 3 5 2 3" xfId="30439"/>
    <cellStyle name="注释 2 2 3 5 3" xfId="955"/>
    <cellStyle name="注释 2 2 3 5 3 2" xfId="6898"/>
    <cellStyle name="注释 2 2 3 5 3 3" xfId="6920"/>
    <cellStyle name="注释 2 2 3 5 4" xfId="986"/>
    <cellStyle name="注释 2 2 3 5 5" xfId="5931"/>
    <cellStyle name="注释 2 2 3 5 5 2" xfId="30440"/>
    <cellStyle name="注释 2 2 3 5 5 3" xfId="30441"/>
    <cellStyle name="注释 2 2 3 5 6" xfId="5334"/>
    <cellStyle name="注释 2 2 3 6" xfId="1742"/>
    <cellStyle name="注释 2 2 3 6 2" xfId="30442"/>
    <cellStyle name="注释 2 2 3 6 3" xfId="4990"/>
    <cellStyle name="注释 2 2 3 7" xfId="7427"/>
    <cellStyle name="注释 2 2 3 7 2" xfId="1434"/>
    <cellStyle name="注释 2 2 3 7 3" xfId="5032"/>
    <cellStyle name="注释 2 2 3 8" xfId="6088"/>
    <cellStyle name="注释 2 2 3 8 2" xfId="5098"/>
    <cellStyle name="注释 2 2 3 8 3" xfId="5125"/>
    <cellStyle name="注释 2 2 3 9" xfId="6099"/>
    <cellStyle name="注释 2 2 4" xfId="30443"/>
    <cellStyle name="注释 2 2 4 10" xfId="12985"/>
    <cellStyle name="注释 2 2 4 10 2" xfId="4021"/>
    <cellStyle name="注释 2 2 4 10 3" xfId="14016"/>
    <cellStyle name="注释 2 2 4 11" xfId="12991"/>
    <cellStyle name="注释 2 2 4 2" xfId="30444"/>
    <cellStyle name="注释 2 2 4 2 2" xfId="30445"/>
    <cellStyle name="注释 2 2 4 2 2 2" xfId="15377"/>
    <cellStyle name="注释 2 2 4 2 2 3" xfId="11216"/>
    <cellStyle name="注释 2 2 4 2 3" xfId="30446"/>
    <cellStyle name="注释 2 2 4 2 3 2" xfId="13218"/>
    <cellStyle name="注释 2 2 4 2 3 3" xfId="11226"/>
    <cellStyle name="注释 2 2 4 2 4" xfId="30447"/>
    <cellStyle name="注释 2 2 4 2 4 2" xfId="8420"/>
    <cellStyle name="注释 2 2 4 2 4 3" xfId="30448"/>
    <cellStyle name="注释 2 2 4 2 5" xfId="30449"/>
    <cellStyle name="注释 2 2 4 2 6" xfId="30450"/>
    <cellStyle name="注释 2 2 4 2 6 2" xfId="28652"/>
    <cellStyle name="注释 2 2 4 2 6 3" xfId="28655"/>
    <cellStyle name="注释 2 2 4 2 7" xfId="30451"/>
    <cellStyle name="注释 2 2 4 3" xfId="17262"/>
    <cellStyle name="注释 2 2 4 3 2" xfId="30452"/>
    <cellStyle name="注释 2 2 4 3 2 2" xfId="30453"/>
    <cellStyle name="注释 2 2 4 3 2 3" xfId="11243"/>
    <cellStyle name="注释 2 2 4 3 3" xfId="6643"/>
    <cellStyle name="注释 2 2 4 3 3 2" xfId="6339"/>
    <cellStyle name="注释 2 2 4 3 3 3" xfId="4109"/>
    <cellStyle name="注释 2 2 4 3 4" xfId="6672"/>
    <cellStyle name="注释 2 2 4 3 4 2" xfId="6679"/>
    <cellStyle name="注释 2 2 4 3 4 3" xfId="3998"/>
    <cellStyle name="注释 2 2 4 3 5" xfId="6689"/>
    <cellStyle name="注释 2 2 4 3 6" xfId="6984"/>
    <cellStyle name="注释 2 2 4 3 6 2" xfId="9007"/>
    <cellStyle name="注释 2 2 4 3 6 3" xfId="28682"/>
    <cellStyle name="注释 2 2 4 3 7" xfId="30454"/>
    <cellStyle name="注释 2 2 4 4" xfId="1897"/>
    <cellStyle name="注释 2 2 4 4 2" xfId="1908"/>
    <cellStyle name="注释 2 2 4 4 2 2" xfId="30455"/>
    <cellStyle name="注释 2 2 4 4 2 2 2" xfId="14295"/>
    <cellStyle name="注释 2 2 4 4 2 2 3" xfId="14302"/>
    <cellStyle name="注释 2 2 4 4 2 3" xfId="11264"/>
    <cellStyle name="注释 2 2 4 4 2 4" xfId="11266"/>
    <cellStyle name="注释 2 2 4 4 2 4 2" xfId="14353"/>
    <cellStyle name="注释 2 2 4 4 2 4 3" xfId="10518"/>
    <cellStyle name="注释 2 2 4 4 2 5" xfId="30456"/>
    <cellStyle name="注释 2 2 4 4 3" xfId="1921"/>
    <cellStyle name="注释 2 2 4 4 3 2" xfId="6699"/>
    <cellStyle name="注释 2 2 4 4 3 3" xfId="6705"/>
    <cellStyle name="注释 2 2 4 4 4" xfId="6712"/>
    <cellStyle name="注释 2 2 4 4 4 2" xfId="6999"/>
    <cellStyle name="注释 2 2 4 4 4 3" xfId="4975"/>
    <cellStyle name="注释 2 2 4 4 5" xfId="7011"/>
    <cellStyle name="注释 2 2 4 4 6" xfId="14008"/>
    <cellStyle name="注释 2 2 4 4 6 2" xfId="9033"/>
    <cellStyle name="注释 2 2 4 4 6 3" xfId="28692"/>
    <cellStyle name="注释 2 2 4 4 7" xfId="14012"/>
    <cellStyle name="注释 2 2 4 4 7 2" xfId="30457"/>
    <cellStyle name="注释 2 2 4 4 7 3" xfId="30458"/>
    <cellStyle name="注释 2 2 4 4 8" xfId="18262"/>
    <cellStyle name="注释 2 2 4 5" xfId="1758"/>
    <cellStyle name="注释 2 2 4 5 2" xfId="30459"/>
    <cellStyle name="注释 2 2 4 5 2 2" xfId="30460"/>
    <cellStyle name="注释 2 2 4 5 2 3" xfId="30461"/>
    <cellStyle name="注释 2 2 4 5 3" xfId="6717"/>
    <cellStyle name="注释 2 2 4 5 3 2" xfId="7013"/>
    <cellStyle name="注释 2 2 4 5 3 3" xfId="7028"/>
    <cellStyle name="注释 2 2 4 5 4" xfId="6722"/>
    <cellStyle name="注释 2 2 4 5 5" xfId="7042"/>
    <cellStyle name="注释 2 2 4 5 5 2" xfId="30462"/>
    <cellStyle name="注释 2 2 4 5 5 3" xfId="30463"/>
    <cellStyle name="注释 2 2 4 5 6" xfId="30464"/>
    <cellStyle name="注释 2 2 4 6" xfId="3783"/>
    <cellStyle name="注释 2 2 4 6 2" xfId="30465"/>
    <cellStyle name="注释 2 2 4 6 3" xfId="3796"/>
    <cellStyle name="注释 2 2 4 7" xfId="3813"/>
    <cellStyle name="注释 2 2 4 7 2" xfId="5179"/>
    <cellStyle name="注释 2 2 4 7 3" xfId="7050"/>
    <cellStyle name="注释 2 2 4 8" xfId="1503"/>
    <cellStyle name="注释 2 2 4 8 2" xfId="4729"/>
    <cellStyle name="注释 2 2 4 8 3" xfId="4739"/>
    <cellStyle name="注释 2 2 4 9" xfId="1520"/>
    <cellStyle name="注释 2 2 5" xfId="30466"/>
    <cellStyle name="注释 2 2 5 2" xfId="30467"/>
    <cellStyle name="注释 2 2 5 2 2" xfId="30468"/>
    <cellStyle name="注释 2 2 5 2 3" xfId="30469"/>
    <cellStyle name="注释 2 2 5 3" xfId="17264"/>
    <cellStyle name="注释 2 2 5 3 2" xfId="30470"/>
    <cellStyle name="注释 2 2 5 3 3" xfId="6739"/>
    <cellStyle name="注释 2 2 5 4" xfId="1935"/>
    <cellStyle name="注释 2 2 5 4 2" xfId="30471"/>
    <cellStyle name="注释 2 2 5 4 3" xfId="5263"/>
    <cellStyle name="注释 2 2 5 5" xfId="17266"/>
    <cellStyle name="注释 2 2 5 6" xfId="3827"/>
    <cellStyle name="注释 2 2 5 6 2" xfId="5162"/>
    <cellStyle name="注释 2 2 5 6 3" xfId="9514"/>
    <cellStyle name="注释 2 2 5 7" xfId="3834"/>
    <cellStyle name="注释 2 2 6" xfId="30472"/>
    <cellStyle name="注释 2 2 6 2" xfId="30474"/>
    <cellStyle name="注释 2 2 6 2 2" xfId="30475"/>
    <cellStyle name="注释 2 2 6 2 3" xfId="11599"/>
    <cellStyle name="注释 2 2 6 3" xfId="17269"/>
    <cellStyle name="注释 2 2 6 3 2" xfId="30476"/>
    <cellStyle name="注释 2 2 6 3 3" xfId="6777"/>
    <cellStyle name="注释 2 2 6 4" xfId="17272"/>
    <cellStyle name="注释 2 2 6 4 2" xfId="27955"/>
    <cellStyle name="注释 2 2 6 4 3" xfId="5900"/>
    <cellStyle name="注释 2 2 6 5" xfId="17274"/>
    <cellStyle name="注释 2 2 6 6" xfId="11416"/>
    <cellStyle name="注释 2 2 6 6 2" xfId="27992"/>
    <cellStyle name="注释 2 2 6 6 3" xfId="27997"/>
    <cellStyle name="注释 2 2 6 7" xfId="7483"/>
    <cellStyle name="注释 2 2 7" xfId="28670"/>
    <cellStyle name="注释 2 2 7 2" xfId="30477"/>
    <cellStyle name="注释 2 2 7 2 2" xfId="30478"/>
    <cellStyle name="注释 2 2 7 2 2 2" xfId="30479"/>
    <cellStyle name="注释 2 2 7 2 2 3" xfId="30480"/>
    <cellStyle name="注释 2 2 7 2 3" xfId="20414"/>
    <cellStyle name="注释 2 2 7 2 4" xfId="9678"/>
    <cellStyle name="注释 2 2 7 2 4 2" xfId="7125"/>
    <cellStyle name="注释 2 2 7 2 4 3" xfId="30481"/>
    <cellStyle name="注释 2 2 7 2 5" xfId="9698"/>
    <cellStyle name="注释 2 2 7 3" xfId="17279"/>
    <cellStyle name="注释 2 2 7 3 2" xfId="30482"/>
    <cellStyle name="注释 2 2 7 3 3" xfId="1983"/>
    <cellStyle name="注释 2 2 7 4" xfId="17282"/>
    <cellStyle name="注释 2 2 7 4 2" xfId="2182"/>
    <cellStyle name="注释 2 2 7 4 3" xfId="2118"/>
    <cellStyle name="注释 2 2 7 5" xfId="17285"/>
    <cellStyle name="注释 2 2 7 6" xfId="17288"/>
    <cellStyle name="注释 2 2 7 6 2" xfId="28025"/>
    <cellStyle name="注释 2 2 7 6 3" xfId="28028"/>
    <cellStyle name="注释 2 2 7 7" xfId="7500"/>
    <cellStyle name="注释 2 2 7 7 2" xfId="28033"/>
    <cellStyle name="注释 2 2 7 7 3" xfId="30483"/>
    <cellStyle name="注释 2 2 7 8" xfId="7509"/>
    <cellStyle name="注释 2 2 8" xfId="28673"/>
    <cellStyle name="注释 2 2 8 2" xfId="30484"/>
    <cellStyle name="注释 2 2 8 2 2" xfId="20142"/>
    <cellStyle name="注释 2 2 8 2 3" xfId="20148"/>
    <cellStyle name="注释 2 2 8 3" xfId="30485"/>
    <cellStyle name="注释 2 2 8 3 2" xfId="20153"/>
    <cellStyle name="注释 2 2 8 3 3" xfId="2281"/>
    <cellStyle name="注释 2 2 8 4" xfId="30486"/>
    <cellStyle name="注释 2 2 8 5" xfId="30487"/>
    <cellStyle name="注释 2 2 8 5 2" xfId="20167"/>
    <cellStyle name="注释 2 2 8 5 3" xfId="20172"/>
    <cellStyle name="注释 2 2 8 6" xfId="30488"/>
    <cellStyle name="注释 2 2 9" xfId="30489"/>
    <cellStyle name="注释 2 2 9 2" xfId="30490"/>
    <cellStyle name="注释 2 2 9 3" xfId="30491"/>
    <cellStyle name="注释 2 3" xfId="25849"/>
    <cellStyle name="注释 2 3 10" xfId="30492"/>
    <cellStyle name="注释 2 3 10 2" xfId="11005"/>
    <cellStyle name="注释 2 3 10 3" xfId="16919"/>
    <cellStyle name="注释 2 3 11" xfId="30493"/>
    <cellStyle name="注释 2 3 11 2" xfId="11012"/>
    <cellStyle name="注释 2 3 11 3" xfId="16927"/>
    <cellStyle name="注释 2 3 12" xfId="24741"/>
    <cellStyle name="注释 2 3 13" xfId="30494"/>
    <cellStyle name="注释 2 3 13 2" xfId="16939"/>
    <cellStyle name="注释 2 3 13 3" xfId="3494"/>
    <cellStyle name="注释 2 3 14" xfId="30495"/>
    <cellStyle name="注释 2 3 2" xfId="30496"/>
    <cellStyle name="注释 2 3 2 10" xfId="11436"/>
    <cellStyle name="注释 2 3 2 11" xfId="30497"/>
    <cellStyle name="注释 2 3 2 11 2" xfId="6783"/>
    <cellStyle name="注释 2 3 2 11 3" xfId="2978"/>
    <cellStyle name="注释 2 3 2 12" xfId="30498"/>
    <cellStyle name="注释 2 3 2 2" xfId="18486"/>
    <cellStyle name="注释 2 3 2 2 10" xfId="30499"/>
    <cellStyle name="注释 2 3 2 2 10 2" xfId="30500"/>
    <cellStyle name="注释 2 3 2 2 10 3" xfId="15272"/>
    <cellStyle name="注释 2 3 2 2 11" xfId="30501"/>
    <cellStyle name="注释 2 3 2 2 2" xfId="30502"/>
    <cellStyle name="注释 2 3 2 2 2 2" xfId="8392"/>
    <cellStyle name="注释 2 3 2 2 2 2 2" xfId="6852"/>
    <cellStyle name="注释 2 3 2 2 2 2 3" xfId="6871"/>
    <cellStyle name="注释 2 3 2 2 2 3" xfId="8395"/>
    <cellStyle name="注释 2 3 2 2 2 3 2" xfId="2319"/>
    <cellStyle name="注释 2 3 2 2 2 3 3" xfId="8399"/>
    <cellStyle name="注释 2 3 2 2 2 4" xfId="1380"/>
    <cellStyle name="注释 2 3 2 2 2 4 2" xfId="30503"/>
    <cellStyle name="注释 2 3 2 2 2 4 3" xfId="28624"/>
    <cellStyle name="注释 2 3 2 2 2 5" xfId="29819"/>
    <cellStyle name="注释 2 3 2 2 2 6" xfId="29830"/>
    <cellStyle name="注释 2 3 2 2 2 6 2" xfId="29832"/>
    <cellStyle name="注释 2 3 2 2 2 6 3" xfId="28640"/>
    <cellStyle name="注释 2 3 2 2 2 7" xfId="29834"/>
    <cellStyle name="注释 2 3 2 2 3" xfId="30504"/>
    <cellStyle name="注释 2 3 2 2 3 2" xfId="8441"/>
    <cellStyle name="注释 2 3 2 2 3 2 2" xfId="6687"/>
    <cellStyle name="注释 2 3 2 2 3 2 3" xfId="6982"/>
    <cellStyle name="注释 2 3 2 2 3 3" xfId="8443"/>
    <cellStyle name="注释 2 3 2 2 3 3 2" xfId="7006"/>
    <cellStyle name="注释 2 3 2 2 3 3 3" xfId="8445"/>
    <cellStyle name="注释 2 3 2 2 3 4" xfId="8453"/>
    <cellStyle name="注释 2 3 2 2 3 4 2" xfId="30473"/>
    <cellStyle name="注释 2 3 2 2 3 4 3" xfId="28671"/>
    <cellStyle name="注释 2 3 2 2 3 5" xfId="29837"/>
    <cellStyle name="注释 2 3 2 2 3 6" xfId="29843"/>
    <cellStyle name="注释 2 3 2 2 3 6 2" xfId="29845"/>
    <cellStyle name="注释 2 3 2 2 3 6 3" xfId="28676"/>
    <cellStyle name="注释 2 3 2 2 3 7" xfId="29848"/>
    <cellStyle name="注释 2 3 2 2 4" xfId="30505"/>
    <cellStyle name="注释 2 3 2 2 4 2" xfId="8508"/>
    <cellStyle name="注释 2 3 2 2 4 2 2" xfId="7070"/>
    <cellStyle name="注释 2 3 2 2 4 2 2 2" xfId="8130"/>
    <cellStyle name="注释 2 3 2 2 4 2 2 3" xfId="8517"/>
    <cellStyle name="注释 2 3 2 2 4 2 3" xfId="8523"/>
    <cellStyle name="注释 2 3 2 2 4 2 4" xfId="9013"/>
    <cellStyle name="注释 2 3 2 2 4 2 4 2" xfId="30506"/>
    <cellStyle name="注释 2 3 2 2 4 2 4 3" xfId="30507"/>
    <cellStyle name="注释 2 3 2 2 4 2 5" xfId="9016"/>
    <cellStyle name="注释 2 3 2 2 4 3" xfId="8526"/>
    <cellStyle name="注释 2 3 2 2 4 3 2" xfId="8530"/>
    <cellStyle name="注释 2 3 2 2 4 3 3" xfId="8534"/>
    <cellStyle name="注释 2 3 2 2 4 4" xfId="8537"/>
    <cellStyle name="注释 2 3 2 2 4 4 2" xfId="30508"/>
    <cellStyle name="注释 2 3 2 2 4 4 3" xfId="30509"/>
    <cellStyle name="注释 2 3 2 2 4 5" xfId="29854"/>
    <cellStyle name="注释 2 3 2 2 4 6" xfId="29856"/>
    <cellStyle name="注释 2 3 2 2 4 6 2" xfId="30510"/>
    <cellStyle name="注释 2 3 2 2 4 6 3" xfId="30511"/>
    <cellStyle name="注释 2 3 2 2 4 7" xfId="30512"/>
    <cellStyle name="注释 2 3 2 2 4 7 2" xfId="30513"/>
    <cellStyle name="注释 2 3 2 2 4 7 3" xfId="30514"/>
    <cellStyle name="注释 2 3 2 2 4 8" xfId="30515"/>
    <cellStyle name="注释 2 3 2 2 5" xfId="30516"/>
    <cellStyle name="注释 2 3 2 2 5 2" xfId="2898"/>
    <cellStyle name="注释 2 3 2 2 5 2 2" xfId="26888"/>
    <cellStyle name="注释 2 3 2 2 5 2 3" xfId="28699"/>
    <cellStyle name="注释 2 3 2 2 5 3" xfId="30517"/>
    <cellStyle name="注释 2 3 2 2 5 3 2" xfId="30518"/>
    <cellStyle name="注释 2 3 2 2 5 3 3" xfId="28704"/>
    <cellStyle name="注释 2 3 2 2 5 4" xfId="30519"/>
    <cellStyle name="注释 2 3 2 2 5 5" xfId="29858"/>
    <cellStyle name="注释 2 3 2 2 5 5 2" xfId="30521"/>
    <cellStyle name="注释 2 3 2 2 5 5 3" xfId="28708"/>
    <cellStyle name="注释 2 3 2 2 5 6" xfId="29861"/>
    <cellStyle name="注释 2 3 2 2 6" xfId="30523"/>
    <cellStyle name="注释 2 3 2 2 6 2" xfId="30524"/>
    <cellStyle name="注释 2 3 2 2 6 3" xfId="30525"/>
    <cellStyle name="注释 2 3 2 2 7" xfId="30526"/>
    <cellStyle name="注释 2 3 2 2 7 2" xfId="29642"/>
    <cellStyle name="注释 2 3 2 2 7 3" xfId="30527"/>
    <cellStyle name="注释 2 3 2 2 8" xfId="21051"/>
    <cellStyle name="注释 2 3 2 2 8 2" xfId="30528"/>
    <cellStyle name="注释 2 3 2 2 8 3" xfId="30529"/>
    <cellStyle name="注释 2 3 2 2 9" xfId="21053"/>
    <cellStyle name="注释 2 3 2 3" xfId="18489"/>
    <cellStyle name="注释 2 3 2 3 2" xfId="29790"/>
    <cellStyle name="注释 2 3 2 3 2 2" xfId="28632"/>
    <cellStyle name="注释 2 3 2 3 2 3" xfId="30530"/>
    <cellStyle name="注释 2 3 2 3 3" xfId="29792"/>
    <cellStyle name="注释 2 3 2 3 3 2" xfId="30531"/>
    <cellStyle name="注释 2 3 2 3 3 3" xfId="30532"/>
    <cellStyle name="注释 2 3 2 3 4" xfId="30533"/>
    <cellStyle name="注释 2 3 2 3 4 2" xfId="30534"/>
    <cellStyle name="注释 2 3 2 3 4 3" xfId="30535"/>
    <cellStyle name="注释 2 3 2 3 5" xfId="30536"/>
    <cellStyle name="注释 2 3 2 3 6" xfId="30537"/>
    <cellStyle name="注释 2 3 2 3 6 2" xfId="30538"/>
    <cellStyle name="注释 2 3 2 3 6 3" xfId="30539"/>
    <cellStyle name="注释 2 3 2 3 7" xfId="30540"/>
    <cellStyle name="注释 2 3 2 4" xfId="29794"/>
    <cellStyle name="注释 2 3 2 4 2" xfId="29796"/>
    <cellStyle name="注释 2 3 2 4 2 2" xfId="30541"/>
    <cellStyle name="注释 2 3 2 4 2 3" xfId="30542"/>
    <cellStyle name="注释 2 3 2 4 3" xfId="29798"/>
    <cellStyle name="注释 2 3 2 4 3 2" xfId="30543"/>
    <cellStyle name="注释 2 3 2 4 3 3" xfId="30544"/>
    <cellStyle name="注释 2 3 2 4 4" xfId="30545"/>
    <cellStyle name="注释 2 3 2 4 4 2" xfId="30546"/>
    <cellStyle name="注释 2 3 2 4 4 3" xfId="30547"/>
    <cellStyle name="注释 2 3 2 4 5" xfId="30548"/>
    <cellStyle name="注释 2 3 2 4 6" xfId="30549"/>
    <cellStyle name="注释 2 3 2 4 6 2" xfId="30550"/>
    <cellStyle name="注释 2 3 2 4 6 3" xfId="30551"/>
    <cellStyle name="注释 2 3 2 4 7" xfId="30552"/>
    <cellStyle name="注释 2 3 2 5" xfId="81"/>
    <cellStyle name="注释 2 3 2 5 2" xfId="11500"/>
    <cellStyle name="注释 2 3 2 5 2 2" xfId="11507"/>
    <cellStyle name="注释 2 3 2 5 2 2 2" xfId="11509"/>
    <cellStyle name="注释 2 3 2 5 2 2 3" xfId="11526"/>
    <cellStyle name="注释 2 3 2 5 2 3" xfId="6369"/>
    <cellStyle name="注释 2 3 2 5 2 4" xfId="6372"/>
    <cellStyle name="注释 2 3 2 5 2 4 2" xfId="11613"/>
    <cellStyle name="注释 2 3 2 5 2 4 3" xfId="11642"/>
    <cellStyle name="注释 2 3 2 5 2 5" xfId="11667"/>
    <cellStyle name="注释 2 3 2 5 3" xfId="14450"/>
    <cellStyle name="注释 2 3 2 5 3 2" xfId="30553"/>
    <cellStyle name="注释 2 3 2 5 3 3" xfId="30554"/>
    <cellStyle name="注释 2 3 2 5 4" xfId="14453"/>
    <cellStyle name="注释 2 3 2 5 4 2" xfId="30555"/>
    <cellStyle name="注释 2 3 2 5 4 3" xfId="30556"/>
    <cellStyle name="注释 2 3 2 5 5" xfId="4159"/>
    <cellStyle name="注释 2 3 2 5 6" xfId="4507"/>
    <cellStyle name="注释 2 3 2 5 6 2" xfId="30557"/>
    <cellStyle name="注释 2 3 2 5 6 3" xfId="30558"/>
    <cellStyle name="注释 2 3 2 5 7" xfId="14458"/>
    <cellStyle name="注释 2 3 2 5 7 2" xfId="30559"/>
    <cellStyle name="注释 2 3 2 5 7 3" xfId="30560"/>
    <cellStyle name="注释 2 3 2 5 8" xfId="21075"/>
    <cellStyle name="注释 2 3 2 6" xfId="29800"/>
    <cellStyle name="注释 2 3 2 6 2" xfId="29802"/>
    <cellStyle name="注释 2 3 2 6 2 2" xfId="17448"/>
    <cellStyle name="注释 2 3 2 6 2 3" xfId="17453"/>
    <cellStyle name="注释 2 3 2 6 3" xfId="29804"/>
    <cellStyle name="注释 2 3 2 6 3 2" xfId="17471"/>
    <cellStyle name="注释 2 3 2 6 3 3" xfId="17475"/>
    <cellStyle name="注释 2 3 2 6 4" xfId="30561"/>
    <cellStyle name="注释 2 3 2 6 5" xfId="30562"/>
    <cellStyle name="注释 2 3 2 6 5 2" xfId="17503"/>
    <cellStyle name="注释 2 3 2 6 5 3" xfId="17508"/>
    <cellStyle name="注释 2 3 2 6 6" xfId="30563"/>
    <cellStyle name="注释 2 3 2 7" xfId="29806"/>
    <cellStyle name="注释 2 3 2 7 2" xfId="30564"/>
    <cellStyle name="注释 2 3 2 7 3" xfId="30565"/>
    <cellStyle name="注释 2 3 2 8" xfId="30566"/>
    <cellStyle name="注释 2 3 2 8 2" xfId="30567"/>
    <cellStyle name="注释 2 3 2 8 3" xfId="30568"/>
    <cellStyle name="注释 2 3 2 9" xfId="30569"/>
    <cellStyle name="注释 2 3 2 9 2" xfId="30570"/>
    <cellStyle name="注释 2 3 2 9 3" xfId="30571"/>
    <cellStyle name="注释 2 3 3" xfId="30572"/>
    <cellStyle name="注释 2 3 3 10" xfId="30573"/>
    <cellStyle name="注释 2 3 3 10 2" xfId="30575"/>
    <cellStyle name="注释 2 3 3 10 3" xfId="26840"/>
    <cellStyle name="注释 2 3 3 11" xfId="30576"/>
    <cellStyle name="注释 2 3 3 2" xfId="18497"/>
    <cellStyle name="注释 2 3 3 2 2" xfId="30577"/>
    <cellStyle name="注释 2 3 3 2 2 2" xfId="8733"/>
    <cellStyle name="注释 2 3 3 2 2 3" xfId="8735"/>
    <cellStyle name="注释 2 3 3 2 3" xfId="30578"/>
    <cellStyle name="注释 2 3 3 2 3 2" xfId="922"/>
    <cellStyle name="注释 2 3 3 2 3 3" xfId="6318"/>
    <cellStyle name="注释 2 3 3 2 4" xfId="30579"/>
    <cellStyle name="注释 2 3 3 2 4 2" xfId="8923"/>
    <cellStyle name="注释 2 3 3 2 4 3" xfId="8933"/>
    <cellStyle name="注释 2 3 3 2 5" xfId="26342"/>
    <cellStyle name="注释 2 3 3 2 6" xfId="4536"/>
    <cellStyle name="注释 2 3 3 2 6 2" xfId="11048"/>
    <cellStyle name="注释 2 3 3 2 6 3" xfId="11051"/>
    <cellStyle name="注释 2 3 3 2 7" xfId="11053"/>
    <cellStyle name="注释 2 3 3 3" xfId="18500"/>
    <cellStyle name="注释 2 3 3 3 2" xfId="30580"/>
    <cellStyle name="注释 2 3 3 3 2 2" xfId="30581"/>
    <cellStyle name="注释 2 3 3 3 2 3" xfId="30582"/>
    <cellStyle name="注释 2 3 3 3 3" xfId="30583"/>
    <cellStyle name="注释 2 3 3 3 3 2" xfId="5211"/>
    <cellStyle name="注释 2 3 3 3 3 3" xfId="6801"/>
    <cellStyle name="注释 2 3 3 3 4" xfId="30584"/>
    <cellStyle name="注释 2 3 3 3 4 2" xfId="30585"/>
    <cellStyle name="注释 2 3 3 3 4 3" xfId="30586"/>
    <cellStyle name="注释 2 3 3 3 5" xfId="30587"/>
    <cellStyle name="注释 2 3 3 3 6" xfId="2987"/>
    <cellStyle name="注释 2 3 3 3 6 2" xfId="30588"/>
    <cellStyle name="注释 2 3 3 3 6 3" xfId="30589"/>
    <cellStyle name="注释 2 3 3 3 7" xfId="11056"/>
    <cellStyle name="注释 2 3 3 4" xfId="29808"/>
    <cellStyle name="注释 2 3 3 4 2" xfId="30590"/>
    <cellStyle name="注释 2 3 3 4 2 2" xfId="30591"/>
    <cellStyle name="注释 2 3 3 4 2 2 2" xfId="19453"/>
    <cellStyle name="注释 2 3 3 4 2 2 3" xfId="19456"/>
    <cellStyle name="注释 2 3 3 4 2 3" xfId="30592"/>
    <cellStyle name="注释 2 3 3 4 2 4" xfId="30593"/>
    <cellStyle name="注释 2 3 3 4 2 4 2" xfId="19041"/>
    <cellStyle name="注释 2 3 3 4 2 4 3" xfId="29942"/>
    <cellStyle name="注释 2 3 3 4 2 5" xfId="30594"/>
    <cellStyle name="注释 2 3 3 4 3" xfId="30595"/>
    <cellStyle name="注释 2 3 3 4 3 2" xfId="7077"/>
    <cellStyle name="注释 2 3 3 4 3 3" xfId="7160"/>
    <cellStyle name="注释 2 3 3 4 4" xfId="30596"/>
    <cellStyle name="注释 2 3 3 4 4 2" xfId="30597"/>
    <cellStyle name="注释 2 3 3 4 4 3" xfId="30598"/>
    <cellStyle name="注释 2 3 3 4 5" xfId="30599"/>
    <cellStyle name="注释 2 3 3 4 6" xfId="30600"/>
    <cellStyle name="注释 2 3 3 4 6 2" xfId="30601"/>
    <cellStyle name="注释 2 3 3 4 6 3" xfId="30602"/>
    <cellStyle name="注释 2 3 3 4 7" xfId="30603"/>
    <cellStyle name="注释 2 3 3 4 7 2" xfId="30604"/>
    <cellStyle name="注释 2 3 3 4 7 3" xfId="30605"/>
    <cellStyle name="注释 2 3 3 4 8" xfId="30606"/>
    <cellStyle name="注释 2 3 3 5" xfId="30607"/>
    <cellStyle name="注释 2 3 3 5 2" xfId="554"/>
    <cellStyle name="注释 2 3 3 5 2 2" xfId="21828"/>
    <cellStyle name="注释 2 3 3 5 2 3" xfId="21832"/>
    <cellStyle name="注释 2 3 3 5 3" xfId="21146"/>
    <cellStyle name="注释 2 3 3 5 3 2" xfId="7415"/>
    <cellStyle name="注释 2 3 3 5 3 3" xfId="7513"/>
    <cellStyle name="注释 2 3 3 5 4" xfId="21148"/>
    <cellStyle name="注释 2 3 3 5 5" xfId="21150"/>
    <cellStyle name="注释 2 3 3 5 5 2" xfId="30608"/>
    <cellStyle name="注释 2 3 3 5 5 3" xfId="30609"/>
    <cellStyle name="注释 2 3 3 5 6" xfId="5389"/>
    <cellStyle name="注释 2 3 3 6" xfId="28857"/>
    <cellStyle name="注释 2 3 3 6 2" xfId="30610"/>
    <cellStyle name="注释 2 3 3 6 3" xfId="30611"/>
    <cellStyle name="注释 2 3 3 7" xfId="7529"/>
    <cellStyle name="注释 2 3 3 7 2" xfId="1527"/>
    <cellStyle name="注释 2 3 3 7 3" xfId="7545"/>
    <cellStyle name="注释 2 3 3 8" xfId="7570"/>
    <cellStyle name="注释 2 3 3 8 2" xfId="7580"/>
    <cellStyle name="注释 2 3 3 8 3" xfId="7598"/>
    <cellStyle name="注释 2 3 3 9" xfId="7606"/>
    <cellStyle name="注释 2 3 4" xfId="30612"/>
    <cellStyle name="注释 2 3 4 10" xfId="30613"/>
    <cellStyle name="注释 2 3 4 10 2" xfId="28927"/>
    <cellStyle name="注释 2 3 4 10 3" xfId="30614"/>
    <cellStyle name="注释 2 3 4 11" xfId="30615"/>
    <cellStyle name="注释 2 3 4 2" xfId="18506"/>
    <cellStyle name="注释 2 3 4 2 2" xfId="22308"/>
    <cellStyle name="注释 2 3 4 2 2 2" xfId="9093"/>
    <cellStyle name="注释 2 3 4 2 2 3" xfId="9097"/>
    <cellStyle name="注释 2 3 4 2 3" xfId="22310"/>
    <cellStyle name="注释 2 3 4 2 3 2" xfId="9195"/>
    <cellStyle name="注释 2 3 4 2 3 3" xfId="9198"/>
    <cellStyle name="注释 2 3 4 2 4" xfId="22312"/>
    <cellStyle name="注释 2 3 4 2 4 2" xfId="8824"/>
    <cellStyle name="注释 2 3 4 2 4 3" xfId="9254"/>
    <cellStyle name="注释 2 3 4 2 5" xfId="22314"/>
    <cellStyle name="注释 2 3 4 2 6" xfId="4559"/>
    <cellStyle name="注释 2 3 4 2 6 2" xfId="29008"/>
    <cellStyle name="注释 2 3 4 2 6 3" xfId="29010"/>
    <cellStyle name="注释 2 3 4 2 7" xfId="8002"/>
    <cellStyle name="注释 2 3 4 3" xfId="29810"/>
    <cellStyle name="注释 2 3 4 3 2" xfId="22322"/>
    <cellStyle name="注释 2 3 4 3 2 2" xfId="30616"/>
    <cellStyle name="注释 2 3 4 3 2 3" xfId="30617"/>
    <cellStyle name="注释 2 3 4 3 3" xfId="22324"/>
    <cellStyle name="注释 2 3 4 3 3 2" xfId="30618"/>
    <cellStyle name="注释 2 3 4 3 3 3" xfId="30619"/>
    <cellStyle name="注释 2 3 4 3 4" xfId="22326"/>
    <cellStyle name="注释 2 3 4 3 4 2" xfId="5738"/>
    <cellStyle name="注释 2 3 4 3 4 3" xfId="18550"/>
    <cellStyle name="注释 2 3 4 3 5" xfId="22328"/>
    <cellStyle name="注释 2 3 4 3 6" xfId="22330"/>
    <cellStyle name="注释 2 3 4 3 6 2" xfId="8020"/>
    <cellStyle name="注释 2 3 4 3 6 3" xfId="29032"/>
    <cellStyle name="注释 2 3 4 3 7" xfId="30620"/>
    <cellStyle name="注释 2 3 4 4" xfId="29812"/>
    <cellStyle name="注释 2 3 4 4 2" xfId="22338"/>
    <cellStyle name="注释 2 3 4 4 2 2" xfId="30621"/>
    <cellStyle name="注释 2 3 4 4 2 2 2" xfId="13705"/>
    <cellStyle name="注释 2 3 4 4 2 2 3" xfId="14029"/>
    <cellStyle name="注释 2 3 4 4 2 3" xfId="30622"/>
    <cellStyle name="注释 2 3 4 4 2 4" xfId="30623"/>
    <cellStyle name="注释 2 3 4 4 2 4 2" xfId="8602"/>
    <cellStyle name="注释 2 3 4 4 2 4 3" xfId="8640"/>
    <cellStyle name="注释 2 3 4 4 2 5" xfId="30624"/>
    <cellStyle name="注释 2 3 4 4 3" xfId="22340"/>
    <cellStyle name="注释 2 3 4 4 3 2" xfId="30625"/>
    <cellStyle name="注释 2 3 4 4 3 3" xfId="30626"/>
    <cellStyle name="注释 2 3 4 4 4" xfId="22342"/>
    <cellStyle name="注释 2 3 4 4 4 2" xfId="30627"/>
    <cellStyle name="注释 2 3 4 4 4 3" xfId="30628"/>
    <cellStyle name="注释 2 3 4 4 5" xfId="22344"/>
    <cellStyle name="注释 2 3 4 4 6" xfId="30629"/>
    <cellStyle name="注释 2 3 4 4 6 2" xfId="9143"/>
    <cellStyle name="注释 2 3 4 4 6 3" xfId="29050"/>
    <cellStyle name="注释 2 3 4 4 7" xfId="30630"/>
    <cellStyle name="注释 2 3 4 4 7 2" xfId="30631"/>
    <cellStyle name="注释 2 3 4 4 7 3" xfId="30632"/>
    <cellStyle name="注释 2 3 4 4 8" xfId="30633"/>
    <cellStyle name="注释 2 3 4 5" xfId="30634"/>
    <cellStyle name="注释 2 3 4 5 2" xfId="30635"/>
    <cellStyle name="注释 2 3 4 5 2 2" xfId="24136"/>
    <cellStyle name="注释 2 3 4 5 2 3" xfId="24138"/>
    <cellStyle name="注释 2 3 4 5 3" xfId="30636"/>
    <cellStyle name="注释 2 3 4 5 3 2" xfId="30637"/>
    <cellStyle name="注释 2 3 4 5 3 3" xfId="30638"/>
    <cellStyle name="注释 2 3 4 5 4" xfId="30639"/>
    <cellStyle name="注释 2 3 4 5 5" xfId="30640"/>
    <cellStyle name="注释 2 3 4 5 5 2" xfId="30641"/>
    <cellStyle name="注释 2 3 4 5 5 3" xfId="30642"/>
    <cellStyle name="注释 2 3 4 5 6" xfId="30643"/>
    <cellStyle name="注释 2 3 4 6" xfId="30644"/>
    <cellStyle name="注释 2 3 4 6 2" xfId="30645"/>
    <cellStyle name="注释 2 3 4 6 3" xfId="30646"/>
    <cellStyle name="注释 2 3 4 7" xfId="3876"/>
    <cellStyle name="注释 2 3 4 7 2" xfId="7630"/>
    <cellStyle name="注释 2 3 4 7 3" xfId="7634"/>
    <cellStyle name="注释 2 3 4 8" xfId="4760"/>
    <cellStyle name="注释 2 3 4 8 2" xfId="7637"/>
    <cellStyle name="注释 2 3 4 8 3" xfId="7640"/>
    <cellStyle name="注释 2 3 4 9" xfId="4775"/>
    <cellStyle name="注释 2 3 5" xfId="30647"/>
    <cellStyle name="注释 2 3 5 2" xfId="30648"/>
    <cellStyle name="注释 2 3 5 2 2" xfId="30649"/>
    <cellStyle name="注释 2 3 5 2 3" xfId="30650"/>
    <cellStyle name="注释 2 3 5 3" xfId="30651"/>
    <cellStyle name="注释 2 3 5 3 2" xfId="30652"/>
    <cellStyle name="注释 2 3 5 3 3" xfId="30653"/>
    <cellStyle name="注释 2 3 5 4" xfId="30654"/>
    <cellStyle name="注释 2 3 5 4 2" xfId="30655"/>
    <cellStyle name="注释 2 3 5 4 3" xfId="30656"/>
    <cellStyle name="注释 2 3 5 5" xfId="19617"/>
    <cellStyle name="注释 2 3 5 6" xfId="3886"/>
    <cellStyle name="注释 2 3 5 6 2" xfId="19625"/>
    <cellStyle name="注释 2 3 5 6 3" xfId="19627"/>
    <cellStyle name="注释 2 3 5 7" xfId="3897"/>
    <cellStyle name="注释 2 3 6" xfId="29839"/>
    <cellStyle name="注释 2 3 6 2" xfId="30657"/>
    <cellStyle name="注释 2 3 6 2 2" xfId="30658"/>
    <cellStyle name="注释 2 3 6 2 3" xfId="21865"/>
    <cellStyle name="注释 2 3 6 3" xfId="29814"/>
    <cellStyle name="注释 2 3 6 3 2" xfId="30659"/>
    <cellStyle name="注释 2 3 6 3 3" xfId="20881"/>
    <cellStyle name="注释 2 3 6 4" xfId="29816"/>
    <cellStyle name="注释 2 3 6 4 2" xfId="30660"/>
    <cellStyle name="注释 2 3 6 4 3" xfId="30661"/>
    <cellStyle name="注释 2 3 6 5" xfId="30662"/>
    <cellStyle name="注释 2 3 6 6" xfId="30663"/>
    <cellStyle name="注释 2 3 6 6 2" xfId="20605"/>
    <cellStyle name="注释 2 3 6 6 3" xfId="20607"/>
    <cellStyle name="注释 2 3 6 7" xfId="7660"/>
    <cellStyle name="注释 2 3 7" xfId="29841"/>
    <cellStyle name="注释 2 3 7 2" xfId="30664"/>
    <cellStyle name="注释 2 3 7 2 2" xfId="30665"/>
    <cellStyle name="注释 2 3 7 2 2 2" xfId="6707"/>
    <cellStyle name="注释 2 3 7 2 2 3" xfId="9946"/>
    <cellStyle name="注释 2 3 7 2 3" xfId="21913"/>
    <cellStyle name="注释 2 3 7 2 4" xfId="21915"/>
    <cellStyle name="注释 2 3 7 2 4 2" xfId="5615"/>
    <cellStyle name="注释 2 3 7 2 4 3" xfId="10040"/>
    <cellStyle name="注释 2 3 7 2 5" xfId="21917"/>
    <cellStyle name="注释 2 3 7 3" xfId="30666"/>
    <cellStyle name="注释 2 3 7 3 2" xfId="30667"/>
    <cellStyle name="注释 2 3 7 3 3" xfId="21929"/>
    <cellStyle name="注释 2 3 7 4" xfId="30668"/>
    <cellStyle name="注释 2 3 7 4 2" xfId="30669"/>
    <cellStyle name="注释 2 3 7 4 3" xfId="30670"/>
    <cellStyle name="注释 2 3 7 5" xfId="28932"/>
    <cellStyle name="注释 2 3 7 6" xfId="30671"/>
    <cellStyle name="注释 2 3 7 6 2" xfId="20683"/>
    <cellStyle name="注释 2 3 7 6 3" xfId="20685"/>
    <cellStyle name="注释 2 3 7 7" xfId="7677"/>
    <cellStyle name="注释 2 3 7 7 2" xfId="20692"/>
    <cellStyle name="注释 2 3 7 7 3" xfId="20694"/>
    <cellStyle name="注释 2 3 7 8" xfId="1957"/>
    <cellStyle name="注释 2 3 8" xfId="30672"/>
    <cellStyle name="注释 2 3 8 2" xfId="30673"/>
    <cellStyle name="注释 2 3 8 2 2" xfId="20259"/>
    <cellStyle name="注释 2 3 8 2 3" xfId="20262"/>
    <cellStyle name="注释 2 3 8 3" xfId="30674"/>
    <cellStyle name="注释 2 3 8 3 2" xfId="20265"/>
    <cellStyle name="注释 2 3 8 3 3" xfId="20268"/>
    <cellStyle name="注释 2 3 8 4" xfId="30675"/>
    <cellStyle name="注释 2 3 8 5" xfId="30676"/>
    <cellStyle name="注释 2 3 8 5 2" xfId="9549"/>
    <cellStyle name="注释 2 3 8 5 3" xfId="9562"/>
    <cellStyle name="注释 2 3 8 6" xfId="30677"/>
    <cellStyle name="注释 2 3 9" xfId="30678"/>
    <cellStyle name="注释 2 3 9 2" xfId="30679"/>
    <cellStyle name="注释 2 3 9 3" xfId="30680"/>
    <cellStyle name="注释 2 4" xfId="25851"/>
    <cellStyle name="注释 2 4 10" xfId="30681"/>
    <cellStyle name="注释 2 4 10 2" xfId="30682"/>
    <cellStyle name="注释 2 4 10 3" xfId="30683"/>
    <cellStyle name="注释 2 4 11" xfId="30684"/>
    <cellStyle name="注释 2 4 11 2" xfId="30685"/>
    <cellStyle name="注释 2 4 11 3" xfId="28902"/>
    <cellStyle name="注释 2 4 12" xfId="30687"/>
    <cellStyle name="注释 2 4 13" xfId="26777"/>
    <cellStyle name="注释 2 4 13 2" xfId="30688"/>
    <cellStyle name="注释 2 4 13 3" xfId="30690"/>
    <cellStyle name="注释 2 4 14" xfId="27943"/>
    <cellStyle name="注释 2 4 2" xfId="30692"/>
    <cellStyle name="注释 2 4 2 10" xfId="30693"/>
    <cellStyle name="注释 2 4 2 11" xfId="30694"/>
    <cellStyle name="注释 2 4 2 11 2" xfId="30695"/>
    <cellStyle name="注释 2 4 2 11 3" xfId="30696"/>
    <cellStyle name="注释 2 4 2 12" xfId="30697"/>
    <cellStyle name="注释 2 4 2 2" xfId="30520"/>
    <cellStyle name="注释 2 4 2 2 10" xfId="17561"/>
    <cellStyle name="注释 2 4 2 2 10 2" xfId="17112"/>
    <cellStyle name="注释 2 4 2 2 10 3" xfId="17114"/>
    <cellStyle name="注释 2 4 2 2 11" xfId="11072"/>
    <cellStyle name="注释 2 4 2 2 2" xfId="30698"/>
    <cellStyle name="注释 2 4 2 2 2 2" xfId="28919"/>
    <cellStyle name="注释 2 4 2 2 2 2 2" xfId="30699"/>
    <cellStyle name="注释 2 4 2 2 2 2 3" xfId="30701"/>
    <cellStyle name="注释 2 4 2 2 2 3" xfId="30703"/>
    <cellStyle name="注释 2 4 2 2 2 3 2" xfId="30704"/>
    <cellStyle name="注释 2 4 2 2 2 3 3" xfId="3486"/>
    <cellStyle name="注释 2 4 2 2 2 4" xfId="30706"/>
    <cellStyle name="注释 2 4 2 2 2 4 2" xfId="30707"/>
    <cellStyle name="注释 2 4 2 2 2 4 3" xfId="3686"/>
    <cellStyle name="注释 2 4 2 2 2 5" xfId="30709"/>
    <cellStyle name="注释 2 4 2 2 2 6" xfId="30710"/>
    <cellStyle name="注释 2 4 2 2 2 6 2" xfId="27978"/>
    <cellStyle name="注释 2 4 2 2 2 6 3" xfId="30711"/>
    <cellStyle name="注释 2 4 2 2 2 7" xfId="30712"/>
    <cellStyle name="注释 2 4 2 2 3" xfId="30713"/>
    <cellStyle name="注释 2 4 2 2 3 2" xfId="30714"/>
    <cellStyle name="注释 2 4 2 2 3 2 2" xfId="30715"/>
    <cellStyle name="注释 2 4 2 2 3 2 3" xfId="30717"/>
    <cellStyle name="注释 2 4 2 2 3 3" xfId="30719"/>
    <cellStyle name="注释 2 4 2 2 3 3 2" xfId="30720"/>
    <cellStyle name="注释 2 4 2 2 3 3 3" xfId="3930"/>
    <cellStyle name="注释 2 4 2 2 3 4" xfId="30722"/>
    <cellStyle name="注释 2 4 2 2 3 4 2" xfId="30723"/>
    <cellStyle name="注释 2 4 2 2 3 4 3" xfId="3970"/>
    <cellStyle name="注释 2 4 2 2 3 5" xfId="30725"/>
    <cellStyle name="注释 2 4 2 2 3 6" xfId="30726"/>
    <cellStyle name="注释 2 4 2 2 3 6 2" xfId="27995"/>
    <cellStyle name="注释 2 4 2 2 3 6 3" xfId="30727"/>
    <cellStyle name="注释 2 4 2 2 3 7" xfId="30728"/>
    <cellStyle name="注释 2 4 2 2 4" xfId="19830"/>
    <cellStyle name="注释 2 4 2 2 4 2" xfId="30007"/>
    <cellStyle name="注释 2 4 2 2 4 2 2" xfId="30009"/>
    <cellStyle name="注释 2 4 2 2 4 2 2 2" xfId="30011"/>
    <cellStyle name="注释 2 4 2 2 4 2 2 3" xfId="30013"/>
    <cellStyle name="注释 2 4 2 2 4 2 3" xfId="30018"/>
    <cellStyle name="注释 2 4 2 2 4 2 4" xfId="24959"/>
    <cellStyle name="注释 2 4 2 2 4 2 4 2" xfId="9969"/>
    <cellStyle name="注释 2 4 2 2 4 2 4 3" xfId="24964"/>
    <cellStyle name="注释 2 4 2 2 4 2 5" xfId="24967"/>
    <cellStyle name="注释 2 4 2 2 4 3" xfId="30021"/>
    <cellStyle name="注释 2 4 2 2 4 3 2" xfId="30023"/>
    <cellStyle name="注释 2 4 2 2 4 3 3" xfId="4060"/>
    <cellStyle name="注释 2 4 2 2 4 4" xfId="26293"/>
    <cellStyle name="注释 2 4 2 2 4 4 2" xfId="30029"/>
    <cellStyle name="注释 2 4 2 2 4 4 3" xfId="30033"/>
    <cellStyle name="注释 2 4 2 2 4 5" xfId="30729"/>
    <cellStyle name="注释 2 4 2 2 4 6" xfId="30730"/>
    <cellStyle name="注释 2 4 2 2 4 6 2" xfId="30731"/>
    <cellStyle name="注释 2 4 2 2 4 6 3" xfId="30732"/>
    <cellStyle name="注释 2 4 2 2 4 7" xfId="30733"/>
    <cellStyle name="注释 2 4 2 2 4 7 2" xfId="30734"/>
    <cellStyle name="注释 2 4 2 2 4 7 3" xfId="30735"/>
    <cellStyle name="注释 2 4 2 2 4 8" xfId="30736"/>
    <cellStyle name="注释 2 4 2 2 5" xfId="19832"/>
    <cellStyle name="注释 2 4 2 2 5 2" xfId="30737"/>
    <cellStyle name="注释 2 4 2 2 5 2 2" xfId="30738"/>
    <cellStyle name="注释 2 4 2 2 5 2 3" xfId="30739"/>
    <cellStyle name="注释 2 4 2 2 5 3" xfId="30740"/>
    <cellStyle name="注释 2 4 2 2 5 3 2" xfId="30741"/>
    <cellStyle name="注释 2 4 2 2 5 3 3" xfId="30742"/>
    <cellStyle name="注释 2 4 2 2 5 4" xfId="30743"/>
    <cellStyle name="注释 2 4 2 2 5 5" xfId="30744"/>
    <cellStyle name="注释 2 4 2 2 5 5 2" xfId="30745"/>
    <cellStyle name="注释 2 4 2 2 5 5 3" xfId="30746"/>
    <cellStyle name="注释 2 4 2 2 5 6" xfId="30574"/>
    <cellStyle name="注释 2 4 2 2 6" xfId="17444"/>
    <cellStyle name="注释 2 4 2 2 6 2" xfId="30747"/>
    <cellStyle name="注释 2 4 2 2 6 3" xfId="30748"/>
    <cellStyle name="注释 2 4 2 2 7" xfId="17449"/>
    <cellStyle name="注释 2 4 2 2 7 2" xfId="16875"/>
    <cellStyle name="注释 2 4 2 2 7 3" xfId="16895"/>
    <cellStyle name="注释 2 4 2 2 8" xfId="17454"/>
    <cellStyle name="注释 2 4 2 2 8 2" xfId="16925"/>
    <cellStyle name="注释 2 4 2 2 8 3" xfId="30749"/>
    <cellStyle name="注释 2 4 2 2 9" xfId="17458"/>
    <cellStyle name="注释 2 4 2 3" xfId="29859"/>
    <cellStyle name="注释 2 4 2 3 2" xfId="30522"/>
    <cellStyle name="注释 2 4 2 3 2 2" xfId="19942"/>
    <cellStyle name="注释 2 4 2 3 2 3" xfId="22807"/>
    <cellStyle name="注释 2 4 2 3 3" xfId="28709"/>
    <cellStyle name="注释 2 4 2 3 3 2" xfId="19955"/>
    <cellStyle name="注释 2 4 2 3 3 3" xfId="22812"/>
    <cellStyle name="注释 2 4 2 3 4" xfId="9774"/>
    <cellStyle name="注释 2 4 2 3 4 2" xfId="9011"/>
    <cellStyle name="注释 2 4 2 3 4 3" xfId="9019"/>
    <cellStyle name="注释 2 4 2 3 5" xfId="9778"/>
    <cellStyle name="注释 2 4 2 3 6" xfId="17467"/>
    <cellStyle name="注释 2 4 2 3 6 2" xfId="9046"/>
    <cellStyle name="注释 2 4 2 3 6 3" xfId="9406"/>
    <cellStyle name="注释 2 4 2 3 7" xfId="17472"/>
    <cellStyle name="注释 2 4 2 4" xfId="29862"/>
    <cellStyle name="注释 2 4 2 4 2" xfId="30750"/>
    <cellStyle name="注释 2 4 2 4 2 2" xfId="30751"/>
    <cellStyle name="注释 2 4 2 4 2 3" xfId="30752"/>
    <cellStyle name="注释 2 4 2 4 3" xfId="26713"/>
    <cellStyle name="注释 2 4 2 4 3 2" xfId="6111"/>
    <cellStyle name="注释 2 4 2 4 3 3" xfId="30753"/>
    <cellStyle name="注释 2 4 2 4 4" xfId="19835"/>
    <cellStyle name="注释 2 4 2 4 4 2" xfId="30754"/>
    <cellStyle name="注释 2 4 2 4 4 3" xfId="385"/>
    <cellStyle name="注释 2 4 2 4 5" xfId="19837"/>
    <cellStyle name="注释 2 4 2 4 6" xfId="17484"/>
    <cellStyle name="注释 2 4 2 4 6 2" xfId="29730"/>
    <cellStyle name="注释 2 4 2 4 6 3" xfId="30755"/>
    <cellStyle name="注释 2 4 2 4 7" xfId="17487"/>
    <cellStyle name="注释 2 4 2 5" xfId="30756"/>
    <cellStyle name="注释 2 4 2 5 2" xfId="30757"/>
    <cellStyle name="注释 2 4 2 5 2 2" xfId="17691"/>
    <cellStyle name="注释 2 4 2 5 2 2 2" xfId="30758"/>
    <cellStyle name="注释 2 4 2 5 2 2 3" xfId="30759"/>
    <cellStyle name="注释 2 4 2 5 2 3" xfId="17696"/>
    <cellStyle name="注释 2 4 2 5 2 4" xfId="17701"/>
    <cellStyle name="注释 2 4 2 5 2 4 2" xfId="30760"/>
    <cellStyle name="注释 2 4 2 5 2 4 3" xfId="30761"/>
    <cellStyle name="注释 2 4 2 5 2 5" xfId="17707"/>
    <cellStyle name="注释 2 4 2 5 3" xfId="26716"/>
    <cellStyle name="注释 2 4 2 5 3 2" xfId="17713"/>
    <cellStyle name="注释 2 4 2 5 3 3" xfId="17717"/>
    <cellStyle name="注释 2 4 2 5 4" xfId="19840"/>
    <cellStyle name="注释 2 4 2 5 4 2" xfId="9078"/>
    <cellStyle name="注释 2 4 2 5 4 3" xfId="668"/>
    <cellStyle name="注释 2 4 2 5 5" xfId="19843"/>
    <cellStyle name="注释 2 4 2 5 6" xfId="17499"/>
    <cellStyle name="注释 2 4 2 5 6 2" xfId="28845"/>
    <cellStyle name="注释 2 4 2 5 6 3" xfId="28851"/>
    <cellStyle name="注释 2 4 2 5 7" xfId="17504"/>
    <cellStyle name="注释 2 4 2 5 7 2" xfId="19549"/>
    <cellStyle name="注释 2 4 2 5 7 3" xfId="19552"/>
    <cellStyle name="注释 2 4 2 5 8" xfId="17509"/>
    <cellStyle name="注释 2 4 2 6" xfId="28882"/>
    <cellStyle name="注释 2 4 2 6 2" xfId="30322"/>
    <cellStyle name="注释 2 4 2 6 2 2" xfId="30324"/>
    <cellStyle name="注释 2 4 2 6 2 3" xfId="30326"/>
    <cellStyle name="注释 2 4 2 6 3" xfId="30328"/>
    <cellStyle name="注释 2 4 2 6 3 2" xfId="30762"/>
    <cellStyle name="注释 2 4 2 6 3 3" xfId="30763"/>
    <cellStyle name="注释 2 4 2 6 4" xfId="19845"/>
    <cellStyle name="注释 2 4 2 6 5" xfId="19847"/>
    <cellStyle name="注释 2 4 2 6 5 2" xfId="28865"/>
    <cellStyle name="注释 2 4 2 6 5 3" xfId="28871"/>
    <cellStyle name="注释 2 4 2 6 6" xfId="17521"/>
    <cellStyle name="注释 2 4 2 7" xfId="28884"/>
    <cellStyle name="注释 2 4 2 7 2" xfId="30341"/>
    <cellStyle name="注释 2 4 2 7 3" xfId="30344"/>
    <cellStyle name="注释 2 4 2 8" xfId="30764"/>
    <cellStyle name="注释 2 4 2 8 2" xfId="30359"/>
    <cellStyle name="注释 2 4 2 8 3" xfId="30363"/>
    <cellStyle name="注释 2 4 2 9" xfId="30765"/>
    <cellStyle name="注释 2 4 2 9 2" xfId="30372"/>
    <cellStyle name="注释 2 4 2 9 3" xfId="30766"/>
    <cellStyle name="注释 2 4 3" xfId="30767"/>
    <cellStyle name="注释 2 4 3 10" xfId="30768"/>
    <cellStyle name="注释 2 4 3 10 2" xfId="30769"/>
    <cellStyle name="注释 2 4 3 10 3" xfId="30770"/>
    <cellStyle name="注释 2 4 3 11" xfId="28123"/>
    <cellStyle name="注释 2 4 3 2" xfId="30771"/>
    <cellStyle name="注释 2 4 3 2 2" xfId="30772"/>
    <cellStyle name="注释 2 4 3 2 2 2" xfId="30773"/>
    <cellStyle name="注释 2 4 3 2 2 3" xfId="30774"/>
    <cellStyle name="注释 2 4 3 2 3" xfId="28720"/>
    <cellStyle name="注释 2 4 3 2 3 2" xfId="30775"/>
    <cellStyle name="注释 2 4 3 2 3 3" xfId="30776"/>
    <cellStyle name="注释 2 4 3 2 4" xfId="28722"/>
    <cellStyle name="注释 2 4 3 2 4 2" xfId="30777"/>
    <cellStyle name="注释 2 4 3 2 4 3" xfId="30778"/>
    <cellStyle name="注释 2 4 3 2 5" xfId="30779"/>
    <cellStyle name="注释 2 4 3 2 6" xfId="11063"/>
    <cellStyle name="注释 2 4 3 2 6 2" xfId="30780"/>
    <cellStyle name="注释 2 4 3 2 6 3" xfId="30781"/>
    <cellStyle name="注释 2 4 3 2 7" xfId="11065"/>
    <cellStyle name="注释 2 4 3 3" xfId="30782"/>
    <cellStyle name="注释 2 4 3 3 2" xfId="30783"/>
    <cellStyle name="注释 2 4 3 3 2 2" xfId="30784"/>
    <cellStyle name="注释 2 4 3 3 2 3" xfId="30785"/>
    <cellStyle name="注释 2 4 3 3 3" xfId="30786"/>
    <cellStyle name="注释 2 4 3 3 3 2" xfId="30787"/>
    <cellStyle name="注释 2 4 3 3 3 3" xfId="30788"/>
    <cellStyle name="注释 2 4 3 3 4" xfId="30789"/>
    <cellStyle name="注释 2 4 3 3 4 2" xfId="30790"/>
    <cellStyle name="注释 2 4 3 3 4 3" xfId="9128"/>
    <cellStyle name="注释 2 4 3 3 5" xfId="30791"/>
    <cellStyle name="注释 2 4 3 3 6" xfId="30792"/>
    <cellStyle name="注释 2 4 3 3 6 2" xfId="30793"/>
    <cellStyle name="注释 2 4 3 3 6 3" xfId="770"/>
    <cellStyle name="注释 2 4 3 3 7" xfId="30794"/>
    <cellStyle name="注释 2 4 3 4" xfId="30795"/>
    <cellStyle name="注释 2 4 3 4 2" xfId="30796"/>
    <cellStyle name="注释 2 4 3 4 2 2" xfId="30797"/>
    <cellStyle name="注释 2 4 3 4 2 2 2" xfId="30798"/>
    <cellStyle name="注释 2 4 3 4 2 2 3" xfId="26928"/>
    <cellStyle name="注释 2 4 3 4 2 3" xfId="30799"/>
    <cellStyle name="注释 2 4 3 4 2 4" xfId="12182"/>
    <cellStyle name="注释 2 4 3 4 2 4 2" xfId="12184"/>
    <cellStyle name="注释 2 4 3 4 2 4 3" xfId="12187"/>
    <cellStyle name="注释 2 4 3 4 2 5" xfId="12191"/>
    <cellStyle name="注释 2 4 3 4 3" xfId="26721"/>
    <cellStyle name="注释 2 4 3 4 3 2" xfId="6138"/>
    <cellStyle name="注释 2 4 3 4 3 3" xfId="30800"/>
    <cellStyle name="注释 2 4 3 4 4" xfId="26723"/>
    <cellStyle name="注释 2 4 3 4 4 2" xfId="26725"/>
    <cellStyle name="注释 2 4 3 4 4 3" xfId="1031"/>
    <cellStyle name="注释 2 4 3 4 5" xfId="25378"/>
    <cellStyle name="注释 2 4 3 4 6" xfId="25380"/>
    <cellStyle name="注释 2 4 3 4 6 2" xfId="30801"/>
    <cellStyle name="注释 2 4 3 4 6 3" xfId="132"/>
    <cellStyle name="注释 2 4 3 4 7" xfId="30802"/>
    <cellStyle name="注释 2 4 3 4 7 2" xfId="30803"/>
    <cellStyle name="注释 2 4 3 4 7 3" xfId="30804"/>
    <cellStyle name="注释 2 4 3 4 8" xfId="30805"/>
    <cellStyle name="注释 2 4 3 5" xfId="30806"/>
    <cellStyle name="注释 2 4 3 5 2" xfId="30807"/>
    <cellStyle name="注释 2 4 3 5 2 2" xfId="30808"/>
    <cellStyle name="注释 2 4 3 5 2 3" xfId="30809"/>
    <cellStyle name="注释 2 4 3 5 3" xfId="30810"/>
    <cellStyle name="注释 2 4 3 5 3 2" xfId="30811"/>
    <cellStyle name="注释 2 4 3 5 3 3" xfId="30812"/>
    <cellStyle name="注释 2 4 3 5 4" xfId="30813"/>
    <cellStyle name="注释 2 4 3 5 5" xfId="25383"/>
    <cellStyle name="注释 2 4 3 5 5 2" xfId="25386"/>
    <cellStyle name="注释 2 4 3 5 5 3" xfId="9491"/>
    <cellStyle name="注释 2 4 3 5 6" xfId="25388"/>
    <cellStyle name="注释 2 4 3 6" xfId="30814"/>
    <cellStyle name="注释 2 4 3 6 2" xfId="30815"/>
    <cellStyle name="注释 2 4 3 6 3" xfId="30816"/>
    <cellStyle name="注释 2 4 3 7" xfId="7699"/>
    <cellStyle name="注释 2 4 3 7 2" xfId="7169"/>
    <cellStyle name="注释 2 4 3 7 3" xfId="7713"/>
    <cellStyle name="注释 2 4 3 8" xfId="7731"/>
    <cellStyle name="注释 2 4 3 8 2" xfId="7737"/>
    <cellStyle name="注释 2 4 3 8 3" xfId="7754"/>
    <cellStyle name="注释 2 4 3 9" xfId="7763"/>
    <cellStyle name="注释 2 4 4" xfId="30817"/>
    <cellStyle name="注释 2 4 4 10" xfId="30818"/>
    <cellStyle name="注释 2 4 4 10 2" xfId="30819"/>
    <cellStyle name="注释 2 4 4 10 3" xfId="30820"/>
    <cellStyle name="注释 2 4 4 11" xfId="30821"/>
    <cellStyle name="注释 2 4 4 2" xfId="30822"/>
    <cellStyle name="注释 2 4 4 2 2" xfId="30823"/>
    <cellStyle name="注释 2 4 4 2 2 2" xfId="14630"/>
    <cellStyle name="注释 2 4 4 2 2 3" xfId="14635"/>
    <cellStyle name="注释 2 4 4 2 3" xfId="30824"/>
    <cellStyle name="注释 2 4 4 2 3 2" xfId="14652"/>
    <cellStyle name="注释 2 4 4 2 3 3" xfId="14655"/>
    <cellStyle name="注释 2 4 4 2 4" xfId="30825"/>
    <cellStyle name="注释 2 4 4 2 4 2" xfId="9153"/>
    <cellStyle name="注释 2 4 4 2 4 3" xfId="17376"/>
    <cellStyle name="注释 2 4 4 2 5" xfId="30826"/>
    <cellStyle name="注释 2 4 4 2 6" xfId="30827"/>
    <cellStyle name="注释 2 4 4 2 6 2" xfId="29258"/>
    <cellStyle name="注释 2 4 4 2 6 3" xfId="29260"/>
    <cellStyle name="注释 2 4 4 2 7" xfId="30828"/>
    <cellStyle name="注释 2 4 4 3" xfId="29864"/>
    <cellStyle name="注释 2 4 4 3 2" xfId="30829"/>
    <cellStyle name="注释 2 4 4 3 2 2" xfId="8328"/>
    <cellStyle name="注释 2 4 4 3 2 3" xfId="30830"/>
    <cellStyle name="注释 2 4 4 3 3" xfId="30831"/>
    <cellStyle name="注释 2 4 4 3 3 2" xfId="6659"/>
    <cellStyle name="注释 2 4 4 3 3 3" xfId="30832"/>
    <cellStyle name="注释 2 4 4 3 4" xfId="30833"/>
    <cellStyle name="注释 2 4 4 3 4 2" xfId="8779"/>
    <cellStyle name="注释 2 4 4 3 4 3" xfId="9220"/>
    <cellStyle name="注释 2 4 4 3 5" xfId="30834"/>
    <cellStyle name="注释 2 4 4 3 6" xfId="30835"/>
    <cellStyle name="注释 2 4 4 3 6 2" xfId="8771"/>
    <cellStyle name="注释 2 4 4 3 6 3" xfId="29267"/>
    <cellStyle name="注释 2 4 4 3 7" xfId="30836"/>
    <cellStyle name="注释 2 4 4 4" xfId="29866"/>
    <cellStyle name="注释 2 4 4 4 2" xfId="30837"/>
    <cellStyle name="注释 2 4 4 4 2 2" xfId="4"/>
    <cellStyle name="注释 2 4 4 4 2 2 2" xfId="13553"/>
    <cellStyle name="注释 2 4 4 4 2 2 3" xfId="30838"/>
    <cellStyle name="注释 2 4 4 4 2 3" xfId="30839"/>
    <cellStyle name="注释 2 4 4 4 2 4" xfId="30840"/>
    <cellStyle name="注释 2 4 4 4 2 4 2" xfId="13591"/>
    <cellStyle name="注释 2 4 4 4 2 4 3" xfId="13596"/>
    <cellStyle name="注释 2 4 4 4 2 5" xfId="30841"/>
    <cellStyle name="注释 2 4 4 4 3" xfId="30842"/>
    <cellStyle name="注释 2 4 4 4 3 2" xfId="27410"/>
    <cellStyle name="注释 2 4 4 4 3 3" xfId="30843"/>
    <cellStyle name="注释 2 4 4 4 4" xfId="28396"/>
    <cellStyle name="注释 2 4 4 4 4 2" xfId="30844"/>
    <cellStyle name="注释 2 4 4 4 4 3" xfId="174"/>
    <cellStyle name="注释 2 4 4 4 5" xfId="25395"/>
    <cellStyle name="注释 2 4 4 4 6" xfId="25397"/>
    <cellStyle name="注释 2 4 4 4 6 2" xfId="3474"/>
    <cellStyle name="注释 2 4 4 4 6 3" xfId="18737"/>
    <cellStyle name="注释 2 4 4 4 7" xfId="30845"/>
    <cellStyle name="注释 2 4 4 4 7 2" xfId="30846"/>
    <cellStyle name="注释 2 4 4 4 7 3" xfId="18829"/>
    <cellStyle name="注释 2 4 4 4 8" xfId="30847"/>
    <cellStyle name="注释 2 4 4 5" xfId="30848"/>
    <cellStyle name="注释 2 4 4 5 2" xfId="30849"/>
    <cellStyle name="注释 2 4 4 5 2 2" xfId="30850"/>
    <cellStyle name="注释 2 4 4 5 2 3" xfId="30851"/>
    <cellStyle name="注释 2 4 4 5 3" xfId="30852"/>
    <cellStyle name="注释 2 4 4 5 3 2" xfId="30853"/>
    <cellStyle name="注释 2 4 4 5 3 3" xfId="30854"/>
    <cellStyle name="注释 2 4 4 5 4" xfId="30855"/>
    <cellStyle name="注释 2 4 4 5 5" xfId="30856"/>
    <cellStyle name="注释 2 4 4 5 5 2" xfId="29000"/>
    <cellStyle name="注释 2 4 4 5 5 3" xfId="29003"/>
    <cellStyle name="注释 2 4 4 5 6" xfId="30857"/>
    <cellStyle name="注释 2 4 4 6" xfId="30858"/>
    <cellStyle name="注释 2 4 4 6 2" xfId="30859"/>
    <cellStyle name="注释 2 4 4 6 3" xfId="30860"/>
    <cellStyle name="注释 2 4 4 7" xfId="3122"/>
    <cellStyle name="注释 2 4 4 7 2" xfId="7789"/>
    <cellStyle name="注释 2 4 4 7 3" xfId="7702"/>
    <cellStyle name="注释 2 4 4 8" xfId="7796"/>
    <cellStyle name="注释 2 4 4 8 2" xfId="7799"/>
    <cellStyle name="注释 2 4 4 8 3" xfId="7719"/>
    <cellStyle name="注释 2 4 4 9" xfId="7806"/>
    <cellStyle name="注释 2 4 5" xfId="30861"/>
    <cellStyle name="注释 2 4 5 2" xfId="30862"/>
    <cellStyle name="注释 2 4 5 2 2" xfId="30863"/>
    <cellStyle name="注释 2 4 5 2 3" xfId="23055"/>
    <cellStyle name="注释 2 4 5 3" xfId="30864"/>
    <cellStyle name="注释 2 4 5 3 2" xfId="30865"/>
    <cellStyle name="注释 2 4 5 3 3" xfId="23066"/>
    <cellStyle name="注释 2 4 5 4" xfId="30866"/>
    <cellStyle name="注释 2 4 5 4 2" xfId="30867"/>
    <cellStyle name="注释 2 4 5 4 3" xfId="23077"/>
    <cellStyle name="注释 2 4 5 5" xfId="30868"/>
    <cellStyle name="注释 2 4 5 6" xfId="30869"/>
    <cellStyle name="注释 2 4 5 6 2" xfId="30870"/>
    <cellStyle name="注释 2 4 5 6 3" xfId="30871"/>
    <cellStyle name="注释 2 4 5 7" xfId="7810"/>
    <cellStyle name="注释 2 4 6" xfId="29846"/>
    <cellStyle name="注释 2 4 6 2" xfId="30872"/>
    <cellStyle name="注释 2 4 6 2 2" xfId="5307"/>
    <cellStyle name="注释 2 4 6 2 3" xfId="22632"/>
    <cellStyle name="注释 2 4 6 3" xfId="30873"/>
    <cellStyle name="注释 2 4 6 3 2" xfId="15492"/>
    <cellStyle name="注释 2 4 6 3 3" xfId="22642"/>
    <cellStyle name="注释 2 4 6 4" xfId="30874"/>
    <cellStyle name="注释 2 4 6 4 2" xfId="15496"/>
    <cellStyle name="注释 2 4 6 4 3" xfId="30875"/>
    <cellStyle name="注释 2 4 6 5" xfId="30876"/>
    <cellStyle name="注释 2 4 6 6" xfId="30877"/>
    <cellStyle name="注释 2 4 6 6 2" xfId="16454"/>
    <cellStyle name="注释 2 4 6 6 3" xfId="16458"/>
    <cellStyle name="注释 2 4 6 7" xfId="4237"/>
    <cellStyle name="注释 2 4 7" xfId="28677"/>
    <cellStyle name="注释 2 4 7 2" xfId="6009"/>
    <cellStyle name="注释 2 4 7 2 2" xfId="2748"/>
    <cellStyle name="注释 2 4 7 2 2 2" xfId="30878"/>
    <cellStyle name="注释 2 4 7 2 2 3" xfId="30879"/>
    <cellStyle name="注释 2 4 7 2 3" xfId="22"/>
    <cellStyle name="注释 2 4 7 2 4" xfId="15560"/>
    <cellStyle name="注释 2 4 7 2 4 2" xfId="30880"/>
    <cellStyle name="注释 2 4 7 2 4 3" xfId="30881"/>
    <cellStyle name="注释 2 4 7 2 5" xfId="20436"/>
    <cellStyle name="注释 2 4 7 3" xfId="6013"/>
    <cellStyle name="注释 2 4 7 3 2" xfId="30882"/>
    <cellStyle name="注释 2 4 7 3 3" xfId="22800"/>
    <cellStyle name="注释 2 4 7 4" xfId="30883"/>
    <cellStyle name="注释 2 4 7 4 2" xfId="30884"/>
    <cellStyle name="注释 2 4 7 4 3" xfId="30885"/>
    <cellStyle name="注释 2 4 7 5" xfId="58"/>
    <cellStyle name="注释 2 4 7 6" xfId="6784"/>
    <cellStyle name="注释 2 4 7 6 2" xfId="30886"/>
    <cellStyle name="注释 2 4 7 6 3" xfId="30887"/>
    <cellStyle name="注释 2 4 7 7" xfId="2977"/>
    <cellStyle name="注释 2 4 7 7 2" xfId="1157"/>
    <cellStyle name="注释 2 4 7 7 3" xfId="30888"/>
    <cellStyle name="注释 2 4 7 8" xfId="2998"/>
    <cellStyle name="注释 2 4 8" xfId="28679"/>
    <cellStyle name="注释 2 4 8 2" xfId="2768"/>
    <cellStyle name="注释 2 4 8 2 2" xfId="4452"/>
    <cellStyle name="注释 2 4 8 2 3" xfId="22942"/>
    <cellStyle name="注释 2 4 8 3" xfId="30889"/>
    <cellStyle name="注释 2 4 8 3 2" xfId="30890"/>
    <cellStyle name="注释 2 4 8 3 3" xfId="22954"/>
    <cellStyle name="注释 2 4 8 4" xfId="30891"/>
    <cellStyle name="注释 2 4 8 5" xfId="30892"/>
    <cellStyle name="注释 2 4 8 5 2" xfId="9597"/>
    <cellStyle name="注释 2 4 8 5 3" xfId="9604"/>
    <cellStyle name="注释 2 4 8 6" xfId="30893"/>
    <cellStyle name="注释 2 4 9" xfId="30894"/>
    <cellStyle name="注释 2 4 9 2" xfId="6024"/>
    <cellStyle name="注释 2 4 9 3" xfId="30895"/>
    <cellStyle name="注释 2 5" xfId="30896"/>
    <cellStyle name="注释 2 5 10" xfId="30897"/>
    <cellStyle name="注释 2 5 11" xfId="26897"/>
    <cellStyle name="注释 2 5 11 2" xfId="25482"/>
    <cellStyle name="注释 2 5 11 3" xfId="25485"/>
    <cellStyle name="注释 2 5 12" xfId="30898"/>
    <cellStyle name="注释 2 5 2" xfId="30899"/>
    <cellStyle name="注释 2 5 2 10" xfId="30900"/>
    <cellStyle name="注释 2 5 2 10 2" xfId="30901"/>
    <cellStyle name="注释 2 5 2 10 3" xfId="27551"/>
    <cellStyle name="注释 2 5 2 11" xfId="30902"/>
    <cellStyle name="注释 2 5 2 2" xfId="30903"/>
    <cellStyle name="注释 2 5 2 2 2" xfId="26086"/>
    <cellStyle name="注释 2 5 2 2 2 2" xfId="29195"/>
    <cellStyle name="注释 2 5 2 2 2 3" xfId="30904"/>
    <cellStyle name="注释 2 5 2 2 3" xfId="26088"/>
    <cellStyle name="注释 2 5 2 2 3 2" xfId="30905"/>
    <cellStyle name="注释 2 5 2 2 3 3" xfId="30906"/>
    <cellStyle name="注释 2 5 2 2 4" xfId="21616"/>
    <cellStyle name="注释 2 5 2 2 4 2" xfId="30907"/>
    <cellStyle name="注释 2 5 2 2 4 3" xfId="11685"/>
    <cellStyle name="注释 2 5 2 2 5" xfId="21619"/>
    <cellStyle name="注释 2 5 2 2 6" xfId="21621"/>
    <cellStyle name="注释 2 5 2 2 6 2" xfId="24409"/>
    <cellStyle name="注释 2 5 2 2 6 3" xfId="30908"/>
    <cellStyle name="注释 2 5 2 2 7" xfId="21623"/>
    <cellStyle name="注释 2 5 2 3" xfId="30909"/>
    <cellStyle name="注释 2 5 2 3 2" xfId="30910"/>
    <cellStyle name="注释 2 5 2 3 2 2" xfId="29252"/>
    <cellStyle name="注释 2 5 2 3 2 3" xfId="30911"/>
    <cellStyle name="注释 2 5 2 3 3" xfId="29305"/>
    <cellStyle name="注释 2 5 2 3 3 2" xfId="30912"/>
    <cellStyle name="注释 2 5 2 3 3 3" xfId="30913"/>
    <cellStyle name="注释 2 5 2 3 4" xfId="21628"/>
    <cellStyle name="注释 2 5 2 3 4 2" xfId="30914"/>
    <cellStyle name="注释 2 5 2 3 4 3" xfId="30915"/>
    <cellStyle name="注释 2 5 2 3 5" xfId="21630"/>
    <cellStyle name="注释 2 5 2 3 6" xfId="21632"/>
    <cellStyle name="注释 2 5 2 3 6 2" xfId="30916"/>
    <cellStyle name="注释 2 5 2 3 6 3" xfId="30917"/>
    <cellStyle name="注释 2 5 2 3 7" xfId="21634"/>
    <cellStyle name="注释 2 5 2 4" xfId="30918"/>
    <cellStyle name="注释 2 5 2 4 2" xfId="30919"/>
    <cellStyle name="注释 2 5 2 4 2 2" xfId="17601"/>
    <cellStyle name="注释 2 5 2 4 2 2 2" xfId="24112"/>
    <cellStyle name="注释 2 5 2 4 2 2 3" xfId="28608"/>
    <cellStyle name="注释 2 5 2 4 2 3" xfId="17603"/>
    <cellStyle name="注释 2 5 2 4 2 4" xfId="17605"/>
    <cellStyle name="注释 2 5 2 4 2 4 2" xfId="28630"/>
    <cellStyle name="注释 2 5 2 4 2 4 3" xfId="28633"/>
    <cellStyle name="注释 2 5 2 4 2 5" xfId="17607"/>
    <cellStyle name="注释 2 5 2 4 3" xfId="26731"/>
    <cellStyle name="注释 2 5 2 4 3 2" xfId="26733"/>
    <cellStyle name="注释 2 5 2 4 3 3" xfId="26735"/>
    <cellStyle name="注释 2 5 2 4 4" xfId="26738"/>
    <cellStyle name="注释 2 5 2 4 4 2" xfId="30920"/>
    <cellStyle name="注释 2 5 2 4 4 3" xfId="30921"/>
    <cellStyle name="注释 2 5 2 4 5" xfId="26740"/>
    <cellStyle name="注释 2 5 2 4 6" xfId="30922"/>
    <cellStyle name="注释 2 5 2 4 6 2" xfId="30923"/>
    <cellStyle name="注释 2 5 2 4 6 3" xfId="30924"/>
    <cellStyle name="注释 2 5 2 4 7" xfId="30925"/>
    <cellStyle name="注释 2 5 2 4 7 2" xfId="20903"/>
    <cellStyle name="注释 2 5 2 4 7 3" xfId="30926"/>
    <cellStyle name="注释 2 5 2 4 8" xfId="30927"/>
    <cellStyle name="注释 2 5 2 5" xfId="30686"/>
    <cellStyle name="注释 2 5 2 5 2" xfId="30928"/>
    <cellStyle name="注释 2 5 2 5 2 2" xfId="30929"/>
    <cellStyle name="注释 2 5 2 5 2 3" xfId="30930"/>
    <cellStyle name="注释 2 5 2 5 3" xfId="30931"/>
    <cellStyle name="注释 2 5 2 5 3 2" xfId="30932"/>
    <cellStyle name="注释 2 5 2 5 3 3" xfId="30933"/>
    <cellStyle name="注释 2 5 2 5 4" xfId="30934"/>
    <cellStyle name="注释 2 5 2 5 5" xfId="30935"/>
    <cellStyle name="注释 2 5 2 5 5 2" xfId="30936"/>
    <cellStyle name="注释 2 5 2 5 5 3" xfId="30937"/>
    <cellStyle name="注释 2 5 2 5 6" xfId="30938"/>
    <cellStyle name="注释 2 5 2 6" xfId="28903"/>
    <cellStyle name="注释 2 5 2 6 2" xfId="30939"/>
    <cellStyle name="注释 2 5 2 6 3" xfId="30940"/>
    <cellStyle name="注释 2 5 2 7" xfId="28905"/>
    <cellStyle name="注释 2 5 2 7 2" xfId="30941"/>
    <cellStyle name="注释 2 5 2 7 3" xfId="30942"/>
    <cellStyle name="注释 2 5 2 8" xfId="30943"/>
    <cellStyle name="注释 2 5 2 8 2" xfId="30944"/>
    <cellStyle name="注释 2 5 2 8 3" xfId="19557"/>
    <cellStyle name="注释 2 5 2 9" xfId="30945"/>
    <cellStyle name="注释 2 5 3" xfId="4725"/>
    <cellStyle name="注释 2 5 3 2" xfId="10465"/>
    <cellStyle name="注释 2 5 3 2 2" xfId="10467"/>
    <cellStyle name="注释 2 5 3 2 3" xfId="10472"/>
    <cellStyle name="注释 2 5 3 3" xfId="10475"/>
    <cellStyle name="注释 2 5 3 3 2" xfId="10478"/>
    <cellStyle name="注释 2 5 3 3 3" xfId="10483"/>
    <cellStyle name="注释 2 5 3 4" xfId="10489"/>
    <cellStyle name="注释 2 5 3 4 2" xfId="30946"/>
    <cellStyle name="注释 2 5 3 4 3" xfId="26744"/>
    <cellStyle name="注释 2 5 3 5" xfId="30947"/>
    <cellStyle name="注释 2 5 3 6" xfId="30948"/>
    <cellStyle name="注释 2 5 3 6 2" xfId="18727"/>
    <cellStyle name="注释 2 5 3 6 3" xfId="18729"/>
    <cellStyle name="注释 2 5 3 7" xfId="7845"/>
    <cellStyle name="注释 2 5 4" xfId="4735"/>
    <cellStyle name="注释 2 5 4 2" xfId="10492"/>
    <cellStyle name="注释 2 5 4 2 2" xfId="10494"/>
    <cellStyle name="注释 2 5 4 2 3" xfId="10497"/>
    <cellStyle name="注释 2 5 4 3" xfId="10500"/>
    <cellStyle name="注释 2 5 4 3 2" xfId="30949"/>
    <cellStyle name="注释 2 5 4 3 3" xfId="30950"/>
    <cellStyle name="注释 2 5 4 4" xfId="30951"/>
    <cellStyle name="注释 2 5 4 4 2" xfId="30952"/>
    <cellStyle name="注释 2 5 4 4 3" xfId="26752"/>
    <cellStyle name="注释 2 5 4 5" xfId="30689"/>
    <cellStyle name="注释 2 5 4 6" xfId="30691"/>
    <cellStyle name="注释 2 5 4 6 2" xfId="30953"/>
    <cellStyle name="注释 2 5 4 6 3" xfId="30954"/>
    <cellStyle name="注释 2 5 4 7" xfId="33"/>
    <cellStyle name="注释 2 5 5" xfId="8114"/>
    <cellStyle name="注释 2 5 5 2" xfId="10506"/>
    <cellStyle name="注释 2 5 5 2 2" xfId="30955"/>
    <cellStyle name="注释 2 5 5 2 2 2" xfId="30956"/>
    <cellStyle name="注释 2 5 5 2 2 3" xfId="30957"/>
    <cellStyle name="注释 2 5 5 2 3" xfId="30958"/>
    <cellStyle name="注释 2 5 5 2 4" xfId="30959"/>
    <cellStyle name="注释 2 5 5 2 4 2" xfId="30960"/>
    <cellStyle name="注释 2 5 5 2 4 3" xfId="30961"/>
    <cellStyle name="注释 2 5 5 2 5" xfId="30962"/>
    <cellStyle name="注释 2 5 5 3" xfId="10512"/>
    <cellStyle name="注释 2 5 5 3 2" xfId="30963"/>
    <cellStyle name="注释 2 5 5 3 3" xfId="30964"/>
    <cellStyle name="注释 2 5 5 4" xfId="30965"/>
    <cellStyle name="注释 2 5 5 4 2" xfId="30966"/>
    <cellStyle name="注释 2 5 5 4 3" xfId="30967"/>
    <cellStyle name="注释 2 5 5 5" xfId="27945"/>
    <cellStyle name="注释 2 5 5 6" xfId="27949"/>
    <cellStyle name="注释 2 5 5 6 2" xfId="27951"/>
    <cellStyle name="注释 2 5 5 6 3" xfId="27953"/>
    <cellStyle name="注释 2 5 5 7" xfId="7872"/>
    <cellStyle name="注释 2 5 5 7 2" xfId="30968"/>
    <cellStyle name="注释 2 5 5 7 3" xfId="30969"/>
    <cellStyle name="注释 2 5 5 8" xfId="7875"/>
    <cellStyle name="注释 2 5 6" xfId="8119"/>
    <cellStyle name="注释 2 5 6 2" xfId="30970"/>
    <cellStyle name="注释 2 5 6 2 2" xfId="22357"/>
    <cellStyle name="注释 2 5 6 2 3" xfId="22367"/>
    <cellStyle name="注释 2 5 6 3" xfId="30971"/>
    <cellStyle name="注释 2 5 6 3 2" xfId="30972"/>
    <cellStyle name="注释 2 5 6 3 3" xfId="23233"/>
    <cellStyle name="注释 2 5 6 4" xfId="28463"/>
    <cellStyle name="注释 2 5 6 5" xfId="27958"/>
    <cellStyle name="注释 2 5 6 5 2" xfId="16786"/>
    <cellStyle name="注释 2 5 6 5 3" xfId="16790"/>
    <cellStyle name="注释 2 5 6 6" xfId="27960"/>
    <cellStyle name="注释 2 5 7" xfId="30973"/>
    <cellStyle name="注释 2 5 7 2" xfId="1301"/>
    <cellStyle name="注释 2 5 7 3" xfId="30974"/>
    <cellStyle name="注释 2 5 8" xfId="30975"/>
    <cellStyle name="注释 2 5 8 2" xfId="1643"/>
    <cellStyle name="注释 2 5 8 3" xfId="30976"/>
    <cellStyle name="注释 2 5 9" xfId="30977"/>
    <cellStyle name="注释 2 5 9 2" xfId="30978"/>
    <cellStyle name="注释 2 5 9 3" xfId="29342"/>
    <cellStyle name="注释 2 6" xfId="26870"/>
    <cellStyle name="注释 2 6 10" xfId="30979"/>
    <cellStyle name="注释 2 6 10 2" xfId="2442"/>
    <cellStyle name="注释 2 6 10 3" xfId="30980"/>
    <cellStyle name="注释 2 6 11" xfId="30981"/>
    <cellStyle name="注释 2 6 2" xfId="26872"/>
    <cellStyle name="注释 2 6 2 2" xfId="30982"/>
    <cellStyle name="注释 2 6 2 2 2" xfId="15356"/>
    <cellStyle name="注释 2 6 2 2 3" xfId="30983"/>
    <cellStyle name="注释 2 6 2 3" xfId="30984"/>
    <cellStyle name="注释 2 6 2 3 2" xfId="13725"/>
    <cellStyle name="注释 2 6 2 3 3" xfId="26114"/>
    <cellStyle name="注释 2 6 2 4" xfId="30985"/>
    <cellStyle name="注释 2 6 2 4 2" xfId="15367"/>
    <cellStyle name="注释 2 6 2 4 3" xfId="26760"/>
    <cellStyle name="注释 2 6 2 5" xfId="30986"/>
    <cellStyle name="注释 2 6 2 6" xfId="30700"/>
    <cellStyle name="注释 2 6 2 6 2" xfId="15380"/>
    <cellStyle name="注释 2 6 2 6 3" xfId="30987"/>
    <cellStyle name="注释 2 6 2 7" xfId="30702"/>
    <cellStyle name="注释 2 6 3" xfId="10514"/>
    <cellStyle name="注释 2 6 3 2" xfId="10526"/>
    <cellStyle name="注释 2 6 3 2 2" xfId="10530"/>
    <cellStyle name="注释 2 6 3 2 3" xfId="10533"/>
    <cellStyle name="注释 2 6 3 3" xfId="10541"/>
    <cellStyle name="注释 2 6 3 3 2" xfId="30988"/>
    <cellStyle name="注释 2 6 3 3 3" xfId="30989"/>
    <cellStyle name="注释 2 6 3 4" xfId="29884"/>
    <cellStyle name="注释 2 6 3 4 2" xfId="30990"/>
    <cellStyle name="注释 2 6 3 4 3" xfId="26766"/>
    <cellStyle name="注释 2 6 3 5" xfId="30991"/>
    <cellStyle name="注释 2 6 3 6" xfId="30705"/>
    <cellStyle name="注释 2 6 3 6 2" xfId="30992"/>
    <cellStyle name="注释 2 6 3 6 3" xfId="30993"/>
    <cellStyle name="注释 2 6 3 7" xfId="3485"/>
    <cellStyle name="注释 2 6 4" xfId="10545"/>
    <cellStyle name="注释 2 6 4 2" xfId="10555"/>
    <cellStyle name="注释 2 6 4 2 2" xfId="30994"/>
    <cellStyle name="注释 2 6 4 2 2 2" xfId="30995"/>
    <cellStyle name="注释 2 6 4 2 2 3" xfId="30996"/>
    <cellStyle name="注释 2 6 4 2 3" xfId="12396"/>
    <cellStyle name="注释 2 6 4 2 4" xfId="29373"/>
    <cellStyle name="注释 2 6 4 2 4 2" xfId="9722"/>
    <cellStyle name="注释 2 6 4 2 4 3" xfId="30997"/>
    <cellStyle name="注释 2 6 4 2 5" xfId="30998"/>
    <cellStyle name="注释 2 6 4 3" xfId="10564"/>
    <cellStyle name="注释 2 6 4 3 2" xfId="30999"/>
    <cellStyle name="注释 2 6 4 3 3" xfId="31000"/>
    <cellStyle name="注释 2 6 4 4" xfId="31001"/>
    <cellStyle name="注释 2 6 4 4 2" xfId="14003"/>
    <cellStyle name="注释 2 6 4 4 3" xfId="14005"/>
    <cellStyle name="注释 2 6 4 5" xfId="31002"/>
    <cellStyle name="注释 2 6 4 6" xfId="30708"/>
    <cellStyle name="注释 2 6 4 6 2" xfId="31003"/>
    <cellStyle name="注释 2 6 4 6 3" xfId="31004"/>
    <cellStyle name="注释 2 6 4 7" xfId="3685"/>
    <cellStyle name="注释 2 6 4 7 2" xfId="31005"/>
    <cellStyle name="注释 2 6 4 7 3" xfId="31006"/>
    <cellStyle name="注释 2 6 4 8" xfId="675"/>
    <cellStyle name="注释 2 6 5" xfId="10567"/>
    <cellStyle name="注释 2 6 5 2" xfId="25886"/>
    <cellStyle name="注释 2 6 5 2 2" xfId="31007"/>
    <cellStyle name="注释 2 6 5 2 3" xfId="31008"/>
    <cellStyle name="注释 2 6 5 3" xfId="31009"/>
    <cellStyle name="注释 2 6 5 3 2" xfId="31010"/>
    <cellStyle name="注释 2 6 5 3 3" xfId="31011"/>
    <cellStyle name="注释 2 6 5 4" xfId="31012"/>
    <cellStyle name="注释 2 6 5 5" xfId="27967"/>
    <cellStyle name="注释 2 6 5 5 2" xfId="27969"/>
    <cellStyle name="注释 2 6 5 5 3" xfId="27971"/>
    <cellStyle name="注释 2 6 5 6" xfId="27973"/>
    <cellStyle name="注释 2 6 6" xfId="29850"/>
    <cellStyle name="注释 2 6 6 2" xfId="31013"/>
    <cellStyle name="注释 2 6 6 3" xfId="31014"/>
    <cellStyle name="注释 2 6 7" xfId="29852"/>
    <cellStyle name="注释 2 6 7 2" xfId="6044"/>
    <cellStyle name="注释 2 6 7 3" xfId="31015"/>
    <cellStyle name="注释 2 6 8" xfId="31016"/>
    <cellStyle name="注释 2 6 8 2" xfId="6056"/>
    <cellStyle name="注释 2 6 8 3" xfId="24808"/>
    <cellStyle name="注释 2 6 9" xfId="31017"/>
    <cellStyle name="注释 2 7" xfId="26874"/>
    <cellStyle name="注释 2 7 10" xfId="27576"/>
    <cellStyle name="注释 2 7 10 2" xfId="27578"/>
    <cellStyle name="注释 2 7 10 3" xfId="27583"/>
    <cellStyle name="注释 2 7 11" xfId="27586"/>
    <cellStyle name="注释 2 7 2" xfId="31018"/>
    <cellStyle name="注释 2 7 2 2" xfId="31019"/>
    <cellStyle name="注释 2 7 2 2 2" xfId="31020"/>
    <cellStyle name="注释 2 7 2 2 3" xfId="3949"/>
    <cellStyle name="注释 2 7 2 3" xfId="29890"/>
    <cellStyle name="注释 2 7 2 3 2" xfId="31021"/>
    <cellStyle name="注释 2 7 2 3 3" xfId="29395"/>
    <cellStyle name="注释 2 7 2 4" xfId="29892"/>
    <cellStyle name="注释 2 7 2 4 2" xfId="31022"/>
    <cellStyle name="注释 2 7 2 4 3" xfId="31023"/>
    <cellStyle name="注释 2 7 2 5" xfId="31024"/>
    <cellStyle name="注释 2 7 2 6" xfId="30716"/>
    <cellStyle name="注释 2 7 2 6 2" xfId="31025"/>
    <cellStyle name="注释 2 7 2 6 3" xfId="5540"/>
    <cellStyle name="注释 2 7 2 7" xfId="30718"/>
    <cellStyle name="注释 2 7 3" xfId="5481"/>
    <cellStyle name="注释 2 7 3 2" xfId="10573"/>
    <cellStyle name="注释 2 7 3 2 2" xfId="10576"/>
    <cellStyle name="注释 2 7 3 2 3" xfId="10579"/>
    <cellStyle name="注释 2 7 3 3" xfId="10582"/>
    <cellStyle name="注释 2 7 3 3 2" xfId="31026"/>
    <cellStyle name="注释 2 7 3 3 3" xfId="31027"/>
    <cellStyle name="注释 2 7 3 4" xfId="31028"/>
    <cellStyle name="注释 2 7 3 4 2" xfId="31029"/>
    <cellStyle name="注释 2 7 3 4 3" xfId="26774"/>
    <cellStyle name="注释 2 7 3 5" xfId="31030"/>
    <cellStyle name="注释 2 7 3 6" xfId="30721"/>
    <cellStyle name="注释 2 7 3 6 2" xfId="31031"/>
    <cellStyle name="注释 2 7 3 6 3" xfId="31032"/>
    <cellStyle name="注释 2 7 3 7" xfId="3929"/>
    <cellStyle name="注释 2 7 4" xfId="5487"/>
    <cellStyle name="注释 2 7 4 2" xfId="8692"/>
    <cellStyle name="注释 2 7 4 2 2" xfId="22302"/>
    <cellStyle name="注释 2 7 4 2 2 2" xfId="22304"/>
    <cellStyle name="注释 2 7 4 2 2 3" xfId="22306"/>
    <cellStyle name="注释 2 7 4 2 3" xfId="22317"/>
    <cellStyle name="注释 2 7 4 2 4" xfId="22334"/>
    <cellStyle name="注释 2 7 4 2 4 2" xfId="9987"/>
    <cellStyle name="注释 2 7 4 2 4 3" xfId="22336"/>
    <cellStyle name="注释 2 7 4 2 5" xfId="22347"/>
    <cellStyle name="注释 2 7 4 3" xfId="8701"/>
    <cellStyle name="注释 2 7 4 3 2" xfId="22160"/>
    <cellStyle name="注释 2 7 4 3 3" xfId="22163"/>
    <cellStyle name="注释 2 7 4 4" xfId="31033"/>
    <cellStyle name="注释 2 7 4 4 2" xfId="31034"/>
    <cellStyle name="注释 2 7 4 4 3" xfId="31035"/>
    <cellStyle name="注释 2 7 4 5" xfId="31036"/>
    <cellStyle name="注释 2 7 4 6" xfId="30724"/>
    <cellStyle name="注释 2 7 4 6 2" xfId="31037"/>
    <cellStyle name="注释 2 7 4 6 3" xfId="31038"/>
    <cellStyle name="注释 2 7 4 7" xfId="3969"/>
    <cellStyle name="注释 2 7 4 7 2" xfId="23016"/>
    <cellStyle name="注释 2 7 4 7 3" xfId="23022"/>
    <cellStyle name="注释 2 7 4 8" xfId="818"/>
    <cellStyle name="注释 2 7 5" xfId="10585"/>
    <cellStyle name="注释 2 7 5 2" xfId="31039"/>
    <cellStyle name="注释 2 7 5 2 2" xfId="31040"/>
    <cellStyle name="注释 2 7 5 2 3" xfId="31041"/>
    <cellStyle name="注释 2 7 5 3" xfId="31042"/>
    <cellStyle name="注释 2 7 5 3 2" xfId="31043"/>
    <cellStyle name="注释 2 7 5 3 3" xfId="31044"/>
    <cellStyle name="注释 2 7 5 4" xfId="31045"/>
    <cellStyle name="注释 2 7 5 5" xfId="27984"/>
    <cellStyle name="注释 2 7 5 5 2" xfId="27986"/>
    <cellStyle name="注释 2 7 5 5 3" xfId="27988"/>
    <cellStyle name="注释 2 7 5 6" xfId="27990"/>
    <cellStyle name="注释 2 7 6" xfId="29179"/>
    <cellStyle name="注释 2 7 6 2" xfId="29181"/>
    <cellStyle name="注释 2 7 6 3" xfId="29183"/>
    <cellStyle name="注释 2 7 7" xfId="29185"/>
    <cellStyle name="注释 2 7 7 2" xfId="4697"/>
    <cellStyle name="注释 2 7 7 3" xfId="31046"/>
    <cellStyle name="注释 2 7 8" xfId="26913"/>
    <cellStyle name="注释 2 7 8 2" xfId="31047"/>
    <cellStyle name="注释 2 7 8 3" xfId="8493"/>
    <cellStyle name="注释 2 7 9" xfId="31048"/>
    <cellStyle name="注释 2 8" xfId="26876"/>
    <cellStyle name="注释 2 8 2" xfId="31049"/>
    <cellStyle name="注释 2 8 2 2" xfId="17513"/>
    <cellStyle name="注释 2 8 2 3" xfId="17516"/>
    <cellStyle name="注释 2 8 3" xfId="10591"/>
    <cellStyle name="注释 2 8 3 2" xfId="9169"/>
    <cellStyle name="注释 2 8 3 3" xfId="9192"/>
    <cellStyle name="注释 2 8 4" xfId="10594"/>
    <cellStyle name="注释 2 8 4 2" xfId="31050"/>
    <cellStyle name="注释 2 8 4 3" xfId="31051"/>
    <cellStyle name="注释 2 8 5" xfId="31052"/>
    <cellStyle name="注释 2 8 6" xfId="31053"/>
    <cellStyle name="注释 2 8 6 2" xfId="31054"/>
    <cellStyle name="注释 2 8 6 3" xfId="31055"/>
    <cellStyle name="注释 2 8 7" xfId="31056"/>
    <cellStyle name="注释 2 9" xfId="31057"/>
    <cellStyle name="注释 2 9 2" xfId="26375"/>
    <cellStyle name="注释 2 9 2 2" xfId="26377"/>
    <cellStyle name="注释 2 9 2 3" xfId="26381"/>
    <cellStyle name="注释 2 9 3" xfId="9552"/>
    <cellStyle name="注释 2 9 3 2" xfId="31058"/>
    <cellStyle name="注释 2 9 3 3" xfId="31059"/>
    <cellStyle name="注释 2 9 4" xfId="8665"/>
    <cellStyle name="注释 2 9 4 2" xfId="31060"/>
    <cellStyle name="注释 2 9 4 3" xfId="31061"/>
    <cellStyle name="注释 2 9 5" xfId="31062"/>
    <cellStyle name="注释 2 9 6" xfId="31063"/>
    <cellStyle name="注释 2 9 6 2" xfId="31064"/>
    <cellStyle name="注释 2 9 6 3" xfId="31065"/>
    <cellStyle name="注释 2 9 7" xfId="31066"/>
    <cellStyle name="注释 3" xfId="25853"/>
    <cellStyle name="注释 3 2" xfId="23773"/>
    <cellStyle name="注释 3 2 2" xfId="24171"/>
    <cellStyle name="注释 3 2 3" xfId="31067"/>
    <cellStyle name="注释 3 3" xfId="31068"/>
    <cellStyle name="注释 3 3 2" xfId="24186"/>
    <cellStyle name="注释 3 3 3" xfId="31069"/>
    <cellStyle name="注释 3 4" xfId="31070"/>
    <cellStyle name="注释 3 5" xfId="31071"/>
    <cellStyle name="注释 3 5 2" xfId="24206"/>
    <cellStyle name="注释 3 5 3" xfId="6731"/>
    <cellStyle name="注释 3 6" xfId="31072"/>
    <cellStyle name="注释 4" xfId="31073"/>
    <cellStyle name="注释 4 2" xfId="23779"/>
    <cellStyle name="注释 4 3" xfId="31074"/>
    <cellStyle name="注释 5" xfId="3107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38100</xdr:rowOff>
    </xdr:from>
    <xdr:to>
      <xdr:col>8</xdr:col>
      <xdr:colOff>570771</xdr:colOff>
      <xdr:row>18</xdr:row>
      <xdr:rowOff>18668</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36220"/>
          <a:ext cx="5288915" cy="3348355"/>
        </a:xfrm>
        <a:prstGeom prst="rect">
          <a:avLst/>
        </a:prstGeom>
      </xdr:spPr>
    </xdr:pic>
    <xdr:clientData/>
  </xdr:twoCellAnchor>
  <xdr:twoCellAnchor editAs="oneCell">
    <xdr:from>
      <xdr:col>10</xdr:col>
      <xdr:colOff>180975</xdr:colOff>
      <xdr:row>11</xdr:row>
      <xdr:rowOff>9525</xdr:rowOff>
    </xdr:from>
    <xdr:to>
      <xdr:col>20</xdr:col>
      <xdr:colOff>570553</xdr:colOff>
      <xdr:row>35</xdr:row>
      <xdr:rowOff>37554</xdr:rowOff>
    </xdr:to>
    <xdr:pic>
      <xdr:nvPicPr>
        <xdr:cNvPr id="10" name="图片 9"/>
        <xdr:cNvPicPr>
          <a:picLocks noChangeAspect="1"/>
        </xdr:cNvPicPr>
      </xdr:nvPicPr>
      <xdr:blipFill>
        <a:blip xmlns:r="http://schemas.openxmlformats.org/officeDocument/2006/relationships" r:embed="rId2"/>
        <a:stretch>
          <a:fillRect/>
        </a:stretch>
      </xdr:blipFill>
      <xdr:spPr>
        <a:xfrm>
          <a:off x="6353175" y="1990725"/>
          <a:ext cx="6863715" cy="4782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1092200</xdr:colOff>
      <xdr:row>50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4724400"/>
          <a:ext cx="3055620" cy="4648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2-1-0499-&#24191;&#28304;&#22823;&#21414;/&#36807;&#31243;/4&#23618;&#21150;&#2084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12362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43" customWidth="1"/>
    <col min="2" max="2" width="81" style="3244" customWidth="1"/>
    <col min="3" max="16384" width="9" style="3245"/>
  </cols>
  <sheetData>
    <row r="1" spans="1:2" s="3240" customFormat="1">
      <c r="A1" s="3246" t="s">
        <v>0</v>
      </c>
      <c r="B1" s="3247" t="s">
        <v>1</v>
      </c>
    </row>
    <row r="2" spans="1:2" s="3241" customFormat="1">
      <c r="A2" s="3248" t="s">
        <v>2</v>
      </c>
      <c r="B2" s="3249" t="str">
        <f>'预评函-封皮'!B37:I37</f>
        <v>北京市房地产抵押价值预评估</v>
      </c>
    </row>
    <row r="3" spans="1:2" s="3242" customFormat="1">
      <c r="A3" s="3250" t="s">
        <v>3</v>
      </c>
      <c r="B3" s="3251">
        <f>'预评函-封皮'!B40</f>
        <v>0</v>
      </c>
    </row>
    <row r="4" spans="1:2" s="3242" customFormat="1">
      <c r="A4" s="3250" t="s">
        <v>4</v>
      </c>
      <c r="B4" s="3251" t="str">
        <f>'预评函-封皮'!B46</f>
        <v>（注册号：0)、（注册号：0)</v>
      </c>
    </row>
    <row r="5" spans="1:2" s="3240" customFormat="1">
      <c r="A5" s="3252" t="s">
        <v>5</v>
      </c>
      <c r="B5" s="3253" t="str">
        <f>'预评函-封皮'!B49</f>
        <v>康正预评字号</v>
      </c>
    </row>
    <row r="6" spans="1:2" s="3241" customFormat="1">
      <c r="A6" s="3248" t="s">
        <v>6</v>
      </c>
      <c r="B6" s="3249" t="str">
        <f>'预评函-1'!A4</f>
        <v>受贵公司委托，我公司对北京市房地产抵押价值进行了预评估。</v>
      </c>
    </row>
    <row r="7" spans="1:2" s="3242" customFormat="1">
      <c r="A7" s="3250" t="s">
        <v>7</v>
      </c>
      <c r="B7" s="3251" t="str">
        <f>'预评函-1'!A7</f>
        <v>估价对象为北京市房地产，为所有。根据《国有土地使用证》[]，估价对象（分摊）出让国有建设用地使用权面积为756.32平方米，建筑面积为5858.09平方米。</v>
      </c>
    </row>
    <row r="8" spans="1:2" s="3242" customFormat="1">
      <c r="A8" s="3250" t="s">
        <v>8</v>
      </c>
      <c r="B8" s="3251" t="str">
        <f>'预评函-1'!A8</f>
        <v>估价对象简述。项目推广名，项目类型（用途），估价对象分布，各用途面积明细情况：XX用途建筑面积XX平方米，XX用途建筑面积XX平方米，……。复杂面积清单需设‘附表’列示：抵押物清单详见附表</v>
      </c>
    </row>
    <row r="9" spans="1:2" s="3242" customFormat="1">
      <c r="A9" s="3250" t="s">
        <v>9</v>
      </c>
      <c r="B9" s="3251" t="str">
        <f>'预评函-1'!A10</f>
        <v>估价对象为北京市房地产,属开发建设的，该项目尚在开发建设中。根据《国有土地使用证》[]，估价对象（分摊）出让国有建设用地使用权面积为756.32平方米，规划建筑面积为5858.09平方米。</v>
      </c>
    </row>
    <row r="10" spans="1:2" s="3242" customFormat="1">
      <c r="A10" s="3250" t="s">
        <v>10</v>
      </c>
      <c r="B10" s="32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2" customFormat="1">
      <c r="A11" s="3250" t="s">
        <v>11</v>
      </c>
      <c r="B11" s="32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2" customFormat="1">
      <c r="A12" s="3250" t="s">
        <v>12</v>
      </c>
      <c r="B12" s="3251" t="str">
        <f>'预评函-1'!A15</f>
        <v>2022年7月28日</v>
      </c>
    </row>
    <row r="13" spans="1:2" s="3242" customFormat="1">
      <c r="A13" s="3250" t="s">
        <v>13</v>
      </c>
      <c r="B13" s="3251" t="str">
        <f>'预评函-1'!A18</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4" spans="1:2" s="3242" customFormat="1">
      <c r="A14" s="3250" t="s">
        <v>14</v>
      </c>
      <c r="B14" s="32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2" customFormat="1">
      <c r="A15" s="3250" t="s">
        <v>15</v>
      </c>
      <c r="B15" s="3251" t="str">
        <f>'预评函-1'!A20</f>
        <v>本次估价的“房地产抵押价值”是指估价对象在价值时点的“房地产价值”扣减估价师于价值时点所知悉的法定优先受偿款后的余额。</v>
      </c>
    </row>
    <row r="16" spans="1:2" s="3242" customFormat="1">
      <c r="A16" s="3250" t="s">
        <v>16</v>
      </c>
      <c r="B16" s="32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2" customFormat="1">
      <c r="A17" s="3250" t="s">
        <v>17</v>
      </c>
      <c r="B17" s="32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0" customFormat="1">
      <c r="A18" s="3252" t="s">
        <v>18</v>
      </c>
      <c r="B18" s="3253" t="str">
        <f>'预评函-1'!A24</f>
        <v>本次评估采用的主估价方法为比较法和收益法。</v>
      </c>
    </row>
    <row r="19" spans="1:2" s="3241" customFormat="1">
      <c r="A19" s="3248" t="s">
        <v>19</v>
      </c>
      <c r="B19" s="32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2" customFormat="1">
      <c r="A20" s="3250" t="s">
        <v>20</v>
      </c>
      <c r="B20" s="3251">
        <f ca="1">'预评函-2'!D5</f>
        <v>18586</v>
      </c>
    </row>
    <row r="21" spans="1:2" s="3242" customFormat="1">
      <c r="A21" s="3250" t="s">
        <v>21</v>
      </c>
      <c r="B21" s="3251">
        <f ca="1">'预评函-2'!D7</f>
        <v>31727</v>
      </c>
    </row>
    <row r="22" spans="1:2" s="3242" customFormat="1">
      <c r="A22" s="3250" t="s">
        <v>22</v>
      </c>
      <c r="B22" s="3251" t="str">
        <f ca="1">'预评函-2'!D6</f>
        <v>壹亿捌仟伍佰捌拾陆万元整</v>
      </c>
    </row>
    <row r="23" spans="1:2" s="3242" customFormat="1">
      <c r="A23" s="3250" t="s">
        <v>23</v>
      </c>
      <c r="B23" s="3251" t="str">
        <f>'预评函-2'!B8</f>
        <v>2.估价师知悉的法定优先受偿款</v>
      </c>
    </row>
    <row r="24" spans="1:2" s="3242" customFormat="1">
      <c r="A24" s="3250" t="s">
        <v>24</v>
      </c>
      <c r="B24" s="3251">
        <f>'预评函-2'!D8</f>
        <v>0</v>
      </c>
    </row>
    <row r="25" spans="1:2" s="3242" customFormat="1">
      <c r="A25" s="3250" t="s">
        <v>25</v>
      </c>
      <c r="B25" s="3251" t="str">
        <f>'预评函-2'!D9</f>
        <v>零元整</v>
      </c>
    </row>
    <row r="26" spans="1:2" s="3242" customFormat="1">
      <c r="A26" s="3250" t="s">
        <v>26</v>
      </c>
      <c r="B26" s="3251">
        <f>'预评函-2'!D10</f>
        <v>0</v>
      </c>
    </row>
    <row r="27" spans="1:2" s="3242" customFormat="1">
      <c r="A27" s="3250" t="s">
        <v>27</v>
      </c>
      <c r="B27" s="3251">
        <f>'预评函-2'!D11</f>
        <v>0</v>
      </c>
    </row>
    <row r="28" spans="1:2" s="3242" customFormat="1">
      <c r="A28" s="3250" t="s">
        <v>28</v>
      </c>
      <c r="B28" s="3251">
        <f>'预评函-2'!D12</f>
        <v>0</v>
      </c>
    </row>
    <row r="29" spans="1:2" s="3242" customFormat="1">
      <c r="A29" s="3250" t="s">
        <v>29</v>
      </c>
      <c r="B29" s="3251" t="str">
        <f>'预评函-2'!B13</f>
        <v>3.房地产抵押价值</v>
      </c>
    </row>
    <row r="30" spans="1:2" s="3242" customFormat="1">
      <c r="A30" s="3250" t="s">
        <v>30</v>
      </c>
      <c r="B30" s="3251">
        <f ca="1">'预评函-2'!D13</f>
        <v>18586</v>
      </c>
    </row>
    <row r="31" spans="1:2" s="3242" customFormat="1">
      <c r="A31" s="3250" t="s">
        <v>31</v>
      </c>
      <c r="B31" s="3251">
        <f ca="1">'预评函-2'!D15</f>
        <v>31727</v>
      </c>
    </row>
    <row r="32" spans="1:2" s="3242" customFormat="1">
      <c r="A32" s="3250" t="s">
        <v>32</v>
      </c>
      <c r="B32" s="3251" t="str">
        <f ca="1">'预评函-2'!D14</f>
        <v>壹亿捌仟伍佰捌拾陆万元整</v>
      </c>
    </row>
    <row r="33" spans="1:2" s="3242" customFormat="1">
      <c r="A33" s="3250" t="s">
        <v>33</v>
      </c>
      <c r="B33" s="3251" t="str">
        <f>'预评函-2'!B16</f>
        <v>——</v>
      </c>
    </row>
    <row r="34" spans="1:2" s="3242" customFormat="1">
      <c r="A34" s="3250" t="s">
        <v>34</v>
      </c>
      <c r="B34" s="3251" t="str">
        <f>'预评函-2'!D16</f>
        <v>——</v>
      </c>
    </row>
    <row r="35" spans="1:2" s="3242" customFormat="1">
      <c r="A35" s="3250" t="s">
        <v>35</v>
      </c>
      <c r="B35" s="3251" t="str">
        <f>'预评函-2'!D18</f>
        <v>——</v>
      </c>
    </row>
    <row r="36" spans="1:2" s="3242" customFormat="1">
      <c r="A36" s="3250" t="s">
        <v>36</v>
      </c>
      <c r="B36" s="3251" t="e">
        <f>'预评函-2'!D17</f>
        <v>#VALUE!</v>
      </c>
    </row>
    <row r="37" spans="1:2" s="3242" customFormat="1">
      <c r="A37" s="3250" t="s">
        <v>37</v>
      </c>
      <c r="B37" s="3251" t="str">
        <f>'预评函-2'!B19</f>
        <v>4.抵押净值</v>
      </c>
    </row>
    <row r="38" spans="1:2" s="3242" customFormat="1">
      <c r="A38" s="3250" t="s">
        <v>38</v>
      </c>
      <c r="B38" s="3251">
        <f ca="1">'预评函-2'!D19</f>
        <v>7888</v>
      </c>
    </row>
    <row r="39" spans="1:2" s="3242" customFormat="1">
      <c r="A39" s="3250" t="s">
        <v>39</v>
      </c>
      <c r="B39" s="3251">
        <f ca="1">'预评函-2'!D21</f>
        <v>13465</v>
      </c>
    </row>
    <row r="40" spans="1:2" s="3242" customFormat="1">
      <c r="A40" s="3250" t="s">
        <v>40</v>
      </c>
      <c r="B40" s="3251" t="str">
        <f ca="1">'预评函-2'!D20</f>
        <v>柒仟捌佰捌拾捌万元整</v>
      </c>
    </row>
    <row r="41" spans="1:2" s="3242" customFormat="1">
      <c r="A41" s="3250" t="s">
        <v>41</v>
      </c>
      <c r="B41" s="3251" t="str">
        <f>'预评函-3'!A4</f>
        <v>北京市房地产</v>
      </c>
    </row>
    <row r="42" spans="1:2" s="3242" customFormat="1" ht="31.2">
      <c r="A42" s="3250" t="s">
        <v>42</v>
      </c>
      <c r="B42" s="3251" t="str">
        <f>'预评函-3'!B2</f>
        <v>建筑面积</v>
      </c>
    </row>
    <row r="43" spans="1:2" s="3242" customFormat="1">
      <c r="A43" s="3250" t="s">
        <v>43</v>
      </c>
      <c r="B43" s="3251">
        <f>'预评函-3'!B4</f>
        <v>5858.09</v>
      </c>
    </row>
    <row r="44" spans="1:2" s="3242" customFormat="1" ht="31.2">
      <c r="A44" s="3250" t="s">
        <v>44</v>
      </c>
      <c r="B44" s="3251" t="str">
        <f>'预评函-3'!C2</f>
        <v>(分摊)土地面积</v>
      </c>
    </row>
    <row r="45" spans="1:2" s="3242" customFormat="1">
      <c r="A45" s="3250" t="s">
        <v>45</v>
      </c>
      <c r="B45" s="3251">
        <f>'预评函-3'!C4</f>
        <v>756.32</v>
      </c>
    </row>
    <row r="46" spans="1:2" s="3242" customFormat="1">
      <c r="A46" s="3250" t="s">
        <v>46</v>
      </c>
      <c r="B46" s="3251" t="str">
        <f>'预评函-3'!D2</f>
        <v>出让国有建设用地使用权价值</v>
      </c>
    </row>
    <row r="47" spans="1:2" s="3242" customFormat="1">
      <c r="A47" s="3250" t="s">
        <v>47</v>
      </c>
      <c r="B47" s="3251">
        <f ca="1">'预评函-3'!D4</f>
        <v>15891</v>
      </c>
    </row>
    <row r="48" spans="1:2" s="3242" customFormat="1">
      <c r="A48" s="3250" t="s">
        <v>48</v>
      </c>
      <c r="B48" s="3251">
        <f ca="1">'预评函-3'!E4</f>
        <v>27127</v>
      </c>
    </row>
    <row r="49" spans="1:2" s="3242" customFormat="1">
      <c r="A49" s="3250" t="s">
        <v>49</v>
      </c>
      <c r="B49" s="3251" t="str">
        <f ca="1">'预评函-3'!D5</f>
        <v>壹亿伍仟捌佰玖拾壹万元整</v>
      </c>
    </row>
    <row r="50" spans="1:2" s="3242" customFormat="1">
      <c r="A50" s="3250" t="s">
        <v>50</v>
      </c>
      <c r="B50" s="3251" t="str">
        <f>'预评函-3'!F2</f>
        <v>在建建筑物价值</v>
      </c>
    </row>
    <row r="51" spans="1:2" s="3242" customFormat="1">
      <c r="A51" s="3250" t="s">
        <v>51</v>
      </c>
      <c r="B51" s="3251">
        <f ca="1">'预评函-3'!F4</f>
        <v>2695</v>
      </c>
    </row>
    <row r="52" spans="1:2" s="3242" customFormat="1">
      <c r="A52" s="3250" t="s">
        <v>52</v>
      </c>
      <c r="B52" s="3251">
        <f ca="1">'预评函-3'!G4</f>
        <v>4600</v>
      </c>
    </row>
    <row r="53" spans="1:2" s="3242" customFormat="1">
      <c r="A53" s="3250" t="s">
        <v>53</v>
      </c>
      <c r="B53" s="3251" t="str">
        <f ca="1">'预评函-3'!F5</f>
        <v>贰仟陆佰玖拾伍万元整</v>
      </c>
    </row>
    <row r="54" spans="1:2" s="3242" customFormat="1">
      <c r="A54" s="3250" t="s">
        <v>54</v>
      </c>
      <c r="B54" s="3251" t="str">
        <f>'预评函-3'!A8</f>
        <v>房地产抵押价值</v>
      </c>
    </row>
    <row r="55" spans="1:2" s="3242" customFormat="1">
      <c r="A55" s="3250" t="s">
        <v>55</v>
      </c>
      <c r="B55" s="3251" t="str">
        <f>'预评函-3'!A10</f>
        <v/>
      </c>
    </row>
    <row r="56" spans="1:2" s="3242" customFormat="1">
      <c r="A56" s="3250" t="s">
        <v>56</v>
      </c>
      <c r="B56" s="3251" t="str">
        <f>'预评函-3'!A12</f>
        <v>抵押净值</v>
      </c>
    </row>
    <row r="57" spans="1:2" s="3240" customFormat="1">
      <c r="A57" s="3252" t="s">
        <v>57</v>
      </c>
      <c r="B57" s="3253" t="str">
        <f>'预评函-3'!A6</f>
        <v>估价师知悉的法定优先受偿款</v>
      </c>
    </row>
    <row r="58" spans="1:2" s="3241" customFormat="1">
      <c r="A58" s="3248" t="s">
        <v>58</v>
      </c>
      <c r="B58" s="3249" t="str">
        <f>'预评函-4'!A12</f>
        <v>2.本《评估意见函》仅供金融机构进行内部审核使用，不做其他目的之用。</v>
      </c>
    </row>
    <row r="59" spans="1:2" s="3242" customFormat="1">
      <c r="A59" s="3250" t="s">
        <v>59</v>
      </c>
      <c r="B59" s="3251" t="str">
        <f>'预评函-4'!A13</f>
        <v>3.抵押双方在办理抵押登记手续时，应使用本公司出具的正式《房地产评估报告》，特提醒报告使用者注意。</v>
      </c>
    </row>
    <row r="60" spans="1:2" s="3242" customFormat="1">
      <c r="A60" s="3250" t="s">
        <v>60</v>
      </c>
      <c r="B60" s="3251" t="str">
        <f>'预评函-4'!A14</f>
        <v>4.本次评估估价师所知悉的法定优先受偿款情况说明如下：</v>
      </c>
    </row>
    <row r="61" spans="1:2" s="3242" customFormat="1">
      <c r="A61" s="3250" t="s">
        <v>61</v>
      </c>
      <c r="B61" s="32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2" customFormat="1">
      <c r="A62" s="3250" t="s">
        <v>62</v>
      </c>
      <c r="B62" s="3251" t="str">
        <f>'预评函-4'!A16</f>
        <v>（2）根据《工程款支付情况说明》，截至价值时点，估价对象不存在应付未付工程款项。（只要没有施工方盖章的，均“设定”进行表述）</v>
      </c>
    </row>
    <row r="63" spans="1:2" s="3242" customFormat="1">
      <c r="A63" s="3250" t="s">
        <v>63</v>
      </c>
      <c r="B63" s="32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2" customFormat="1">
      <c r="A64" s="3250" t="s">
        <v>64</v>
      </c>
      <c r="B64" s="3251" t="str">
        <f>'预评函-4'!A18</f>
        <v>故，本次评估不存在估价师知悉的法定优先受偿款</v>
      </c>
    </row>
    <row r="65" spans="1:2" s="3242" customFormat="1">
      <c r="A65" s="3250" t="s">
        <v>65</v>
      </c>
      <c r="B65" s="32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2" customFormat="1">
      <c r="A66" s="3250" t="s">
        <v>66</v>
      </c>
      <c r="B66" s="32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2" customFormat="1">
      <c r="A67" s="3250" t="s">
        <v>67</v>
      </c>
      <c r="B67" s="32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2" customFormat="1">
      <c r="A68" s="3250" t="s">
        <v>68</v>
      </c>
      <c r="B68" s="3251" t="str">
        <f>'预评函-4'!A22</f>
        <v>8.其他需特殊说明事项：无（注意调整序号）</v>
      </c>
    </row>
    <row r="69" spans="1:2" s="3240" customFormat="1">
      <c r="A69" s="3252" t="s">
        <v>69</v>
      </c>
      <c r="B69" s="3254">
        <f>'预评函-4'!C31</f>
        <v>42551</v>
      </c>
    </row>
    <row r="70" spans="1:2">
      <c r="A70" s="3255" t="s">
        <v>70</v>
      </c>
      <c r="B70" s="3256">
        <f>'预评函-4'!A4</f>
        <v>0</v>
      </c>
    </row>
    <row r="71" spans="1:2">
      <c r="A71" s="3250" t="s">
        <v>71</v>
      </c>
      <c r="B71" s="3251">
        <f>'预评函-4'!B4</f>
        <v>0</v>
      </c>
    </row>
    <row r="72" spans="1:2">
      <c r="A72" s="3250" t="s">
        <v>72</v>
      </c>
      <c r="B72" s="3257">
        <f>'预评函-4'!A5</f>
        <v>0</v>
      </c>
    </row>
    <row r="73" spans="1:2" s="3240" customFormat="1">
      <c r="A73" s="3252" t="s">
        <v>73</v>
      </c>
      <c r="B73" s="3253">
        <f>'预评函-4'!B5</f>
        <v>0</v>
      </c>
    </row>
    <row r="74" spans="1:2">
      <c r="A74" s="3243" t="s">
        <v>74</v>
      </c>
      <c r="B74" s="324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118" customWidth="1"/>
    <col min="2" max="2" width="23.21875" style="3119" customWidth="1"/>
    <col min="3" max="3" width="13" style="3120" customWidth="1"/>
    <col min="4" max="4" width="5.77734375" style="3121" customWidth="1"/>
    <col min="5" max="5" width="7.109375" style="3121" customWidth="1"/>
    <col min="6" max="6" width="10.6640625" style="3121" customWidth="1"/>
    <col min="7" max="7" width="7.44140625" style="3121" customWidth="1"/>
    <col min="8" max="8" width="9" style="3120" customWidth="1"/>
    <col min="9" max="9" width="11.6640625" style="3120" customWidth="1"/>
    <col min="10" max="10" width="9" style="3120" customWidth="1"/>
    <col min="11" max="19" width="9" style="3121" customWidth="1"/>
    <col min="20" max="23" width="9" style="3120" customWidth="1"/>
    <col min="24" max="24" width="21.109375" style="3119" customWidth="1"/>
    <col min="25" max="16384" width="9" style="3119"/>
  </cols>
  <sheetData>
    <row r="1" spans="1:23" s="3117" customFormat="1" ht="28.8">
      <c r="A1" s="3122" t="s">
        <v>206</v>
      </c>
      <c r="B1" s="3123" t="s">
        <v>207</v>
      </c>
      <c r="C1" s="3124" t="s">
        <v>208</v>
      </c>
      <c r="D1" s="3125" t="s">
        <v>209</v>
      </c>
      <c r="E1" s="3125" t="s">
        <v>210</v>
      </c>
      <c r="F1" s="3125" t="s">
        <v>211</v>
      </c>
      <c r="G1" s="3125" t="s">
        <v>212</v>
      </c>
      <c r="H1" s="3125" t="s">
        <v>213</v>
      </c>
      <c r="I1" s="3125" t="s">
        <v>214</v>
      </c>
      <c r="J1" s="3125" t="s">
        <v>215</v>
      </c>
      <c r="K1" s="3125" t="s">
        <v>216</v>
      </c>
      <c r="L1" s="3125" t="s">
        <v>217</v>
      </c>
      <c r="M1" s="3125" t="s">
        <v>218</v>
      </c>
      <c r="N1" s="3125" t="s">
        <v>219</v>
      </c>
      <c r="O1" s="3125" t="s">
        <v>220</v>
      </c>
      <c r="P1" s="3134" t="s">
        <v>221</v>
      </c>
      <c r="Q1" s="3134" t="s">
        <v>222</v>
      </c>
      <c r="R1" s="3125" t="s">
        <v>223</v>
      </c>
      <c r="S1" s="3125" t="s">
        <v>224</v>
      </c>
      <c r="T1" s="3135" t="s">
        <v>225</v>
      </c>
      <c r="U1" s="3125" t="s">
        <v>226</v>
      </c>
      <c r="V1" s="3125" t="s">
        <v>227</v>
      </c>
      <c r="W1" s="3125" t="s">
        <v>228</v>
      </c>
    </row>
    <row r="2" spans="1:23">
      <c r="A2" s="3126" t="s">
        <v>124</v>
      </c>
      <c r="B2" s="3126" t="s">
        <v>229</v>
      </c>
      <c r="C2" s="3127" t="s">
        <v>230</v>
      </c>
      <c r="D2" s="3121" t="s">
        <v>231</v>
      </c>
      <c r="E2" s="3121" t="s">
        <v>232</v>
      </c>
      <c r="F2" s="3121" t="s">
        <v>159</v>
      </c>
      <c r="G2" s="3121">
        <v>40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9" t="s">
        <v>241</v>
      </c>
      <c r="D3" s="3121" t="s">
        <v>242</v>
      </c>
      <c r="E3" s="3121" t="s">
        <v>124</v>
      </c>
      <c r="F3" s="3121" t="s">
        <v>160</v>
      </c>
      <c r="G3" s="3121">
        <v>50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70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30"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c r="I8" s="3121" t="s">
        <v>280</v>
      </c>
    </row>
    <row r="9" spans="1:23">
      <c r="A9" s="3126" t="s">
        <v>281</v>
      </c>
      <c r="B9" s="3126" t="s">
        <v>282</v>
      </c>
      <c r="C9" s="3127" t="s">
        <v>283</v>
      </c>
      <c r="F9" s="3121" t="s">
        <v>164</v>
      </c>
      <c r="H9" s="3121"/>
    </row>
    <row r="10" spans="1:23">
      <c r="A10" s="3126" t="s">
        <v>284</v>
      </c>
      <c r="B10" s="3126" t="s">
        <v>285</v>
      </c>
      <c r="C10" s="3127" t="s">
        <v>286</v>
      </c>
      <c r="F10" s="3121" t="s">
        <v>124</v>
      </c>
    </row>
    <row r="11" spans="1:23">
      <c r="A11" s="3126" t="s">
        <v>287</v>
      </c>
      <c r="B11" s="3126" t="s">
        <v>288</v>
      </c>
      <c r="C11" s="3127" t="s">
        <v>289</v>
      </c>
    </row>
    <row r="12" spans="1:23">
      <c r="A12" s="3126" t="s">
        <v>290</v>
      </c>
      <c r="B12" s="3126" t="s">
        <v>291</v>
      </c>
      <c r="C12" s="3127" t="s">
        <v>292</v>
      </c>
    </row>
    <row r="13" spans="1:23">
      <c r="A13" s="3126" t="s">
        <v>293</v>
      </c>
      <c r="B13" s="3126" t="s">
        <v>294</v>
      </c>
      <c r="C13" s="3127" t="s">
        <v>295</v>
      </c>
    </row>
    <row r="14" spans="1:23">
      <c r="A14" s="3126" t="s">
        <v>296</v>
      </c>
      <c r="B14" s="3126" t="s">
        <v>297</v>
      </c>
      <c r="C14" s="3121" t="s">
        <v>124</v>
      </c>
    </row>
    <row r="15" spans="1:23">
      <c r="A15" s="3126" t="s">
        <v>298</v>
      </c>
      <c r="B15" s="3126" t="s">
        <v>299</v>
      </c>
      <c r="C15" s="3127"/>
    </row>
    <row r="16" spans="1:23">
      <c r="A16" s="3126" t="s">
        <v>300</v>
      </c>
      <c r="B16" s="3126" t="s">
        <v>301</v>
      </c>
      <c r="C16" s="3127"/>
    </row>
    <row r="17" spans="1:3">
      <c r="A17" s="3126" t="s">
        <v>302</v>
      </c>
      <c r="B17" s="3126" t="s">
        <v>303</v>
      </c>
      <c r="C17" s="3127"/>
    </row>
    <row r="18" spans="1:3">
      <c r="A18" s="3126" t="s">
        <v>304</v>
      </c>
      <c r="B18" s="3126" t="s">
        <v>305</v>
      </c>
      <c r="C18" s="3127"/>
    </row>
    <row r="19" spans="1:3">
      <c r="A19" s="3126" t="s">
        <v>306</v>
      </c>
      <c r="B19" s="3126" t="s">
        <v>307</v>
      </c>
      <c r="C19" s="3127"/>
    </row>
    <row r="20" spans="1:3">
      <c r="A20" s="3126" t="s">
        <v>308</v>
      </c>
      <c r="B20" s="3126" t="s">
        <v>307</v>
      </c>
      <c r="C20" s="3127"/>
    </row>
    <row r="21" spans="1:3">
      <c r="A21" s="3126" t="s">
        <v>260</v>
      </c>
      <c r="B21" s="3126" t="s">
        <v>307</v>
      </c>
      <c r="C21" s="3127"/>
    </row>
    <row r="22" spans="1:3">
      <c r="A22" s="3126" t="s">
        <v>309</v>
      </c>
      <c r="B22" s="3126" t="s">
        <v>307</v>
      </c>
      <c r="C22" s="3127"/>
    </row>
    <row r="23" spans="1:3">
      <c r="A23" s="3126" t="s">
        <v>310</v>
      </c>
      <c r="B23" s="3126" t="s">
        <v>307</v>
      </c>
      <c r="C23" s="3127"/>
    </row>
    <row r="24" spans="1:3">
      <c r="A24" s="3126" t="s">
        <v>311</v>
      </c>
      <c r="B24" s="3126" t="s">
        <v>307</v>
      </c>
      <c r="C24" s="3127"/>
    </row>
    <row r="25" spans="1:3">
      <c r="A25" s="3126" t="s">
        <v>312</v>
      </c>
      <c r="B25" s="3126" t="s">
        <v>307</v>
      </c>
      <c r="C25" s="3127"/>
    </row>
    <row r="26" spans="1:3">
      <c r="A26" s="3126" t="s">
        <v>313</v>
      </c>
      <c r="B26" s="3126" t="s">
        <v>307</v>
      </c>
      <c r="C26" s="3127"/>
    </row>
    <row r="27" spans="1:3">
      <c r="A27" s="3126" t="s">
        <v>307</v>
      </c>
      <c r="B27" s="3126" t="s">
        <v>307</v>
      </c>
      <c r="C27" s="3127"/>
    </row>
    <row r="28" spans="1:3">
      <c r="A28" s="3126" t="s">
        <v>307</v>
      </c>
      <c r="B28" s="3126" t="s">
        <v>307</v>
      </c>
      <c r="C28" s="3127"/>
    </row>
    <row r="29" spans="1:3">
      <c r="A29" s="3126" t="s">
        <v>307</v>
      </c>
      <c r="B29" s="3126" t="s">
        <v>307</v>
      </c>
      <c r="C29" s="3127"/>
    </row>
    <row r="30" spans="1:3">
      <c r="A30" s="3126" t="s">
        <v>307</v>
      </c>
      <c r="B30" s="3126" t="s">
        <v>307</v>
      </c>
      <c r="C30" s="3127"/>
    </row>
    <row r="31" spans="1:3">
      <c r="A31" s="3126" t="s">
        <v>307</v>
      </c>
      <c r="B31" s="3126" t="s">
        <v>307</v>
      </c>
      <c r="C31" s="3127"/>
    </row>
    <row r="32" spans="1:3">
      <c r="A32" s="3126" t="s">
        <v>307</v>
      </c>
      <c r="B32" s="3126" t="s">
        <v>307</v>
      </c>
      <c r="C32" s="3127"/>
    </row>
    <row r="33" spans="1:3">
      <c r="A33" s="3126" t="s">
        <v>307</v>
      </c>
      <c r="B33" s="3126" t="s">
        <v>307</v>
      </c>
      <c r="C33" s="3127"/>
    </row>
    <row r="34" spans="1:3">
      <c r="A34" s="3126" t="s">
        <v>307</v>
      </c>
      <c r="B34" s="3126" t="s">
        <v>307</v>
      </c>
      <c r="C34" s="3127"/>
    </row>
    <row r="35" spans="1:3">
      <c r="A35" s="3126" t="s">
        <v>307</v>
      </c>
      <c r="B35" s="3126" t="s">
        <v>307</v>
      </c>
      <c r="C35" s="3127"/>
    </row>
    <row r="36" spans="1:3">
      <c r="A36" s="3126" t="s">
        <v>307</v>
      </c>
      <c r="B36" s="3126" t="s">
        <v>307</v>
      </c>
      <c r="C36" s="3127"/>
    </row>
    <row r="37" spans="1:3">
      <c r="A37" s="3126" t="s">
        <v>307</v>
      </c>
      <c r="B37" s="3126" t="s">
        <v>307</v>
      </c>
      <c r="C37" s="3127"/>
    </row>
    <row r="38" spans="1:3">
      <c r="A38" s="3126" t="s">
        <v>307</v>
      </c>
      <c r="B38" s="3126" t="s">
        <v>307</v>
      </c>
      <c r="C38" s="3127"/>
    </row>
    <row r="39" spans="1:3">
      <c r="A39" s="3126" t="s">
        <v>307</v>
      </c>
      <c r="B39" s="3126" t="s">
        <v>307</v>
      </c>
      <c r="C39" s="3127"/>
    </row>
    <row r="40" spans="1:3">
      <c r="A40" s="3126" t="s">
        <v>307</v>
      </c>
      <c r="B40" s="3126" t="s">
        <v>307</v>
      </c>
      <c r="C40" s="3127"/>
    </row>
    <row r="41" spans="1:3">
      <c r="A41" s="3126" t="s">
        <v>307</v>
      </c>
      <c r="B41" s="3126" t="s">
        <v>307</v>
      </c>
      <c r="C41" s="3127"/>
    </row>
    <row r="42" spans="1:3">
      <c r="A42" s="3126" t="s">
        <v>307</v>
      </c>
      <c r="B42" s="3126" t="s">
        <v>307</v>
      </c>
      <c r="C42" s="3127"/>
    </row>
    <row r="43" spans="1:3">
      <c r="A43" s="3126" t="s">
        <v>307</v>
      </c>
      <c r="B43" s="3126" t="s">
        <v>307</v>
      </c>
      <c r="C43" s="3127"/>
    </row>
    <row r="44" spans="1:3">
      <c r="A44" s="3126" t="s">
        <v>307</v>
      </c>
      <c r="B44" s="3126" t="s">
        <v>307</v>
      </c>
      <c r="C44" s="3127"/>
    </row>
    <row r="45" spans="1:3">
      <c r="A45" s="3126" t="s">
        <v>307</v>
      </c>
      <c r="B45" s="3126" t="s">
        <v>307</v>
      </c>
      <c r="C45" s="3127"/>
    </row>
    <row r="46" spans="1:3">
      <c r="A46" s="3126" t="s">
        <v>307</v>
      </c>
      <c r="B46" s="3126" t="s">
        <v>307</v>
      </c>
      <c r="C46" s="3127"/>
    </row>
    <row r="47" spans="1:3">
      <c r="A47" s="3126" t="s">
        <v>307</v>
      </c>
      <c r="B47" s="3126" t="s">
        <v>307</v>
      </c>
      <c r="C47" s="3127"/>
    </row>
    <row r="48" spans="1:3">
      <c r="A48" s="3126" t="s">
        <v>307</v>
      </c>
      <c r="B48" s="3126" t="s">
        <v>307</v>
      </c>
      <c r="C48" s="3127"/>
    </row>
    <row r="49" spans="1:4">
      <c r="A49" s="3126" t="s">
        <v>307</v>
      </c>
      <c r="B49" s="3126" t="s">
        <v>307</v>
      </c>
      <c r="C49" s="3127"/>
    </row>
    <row r="50" spans="1:4">
      <c r="A50" s="3126" t="s">
        <v>307</v>
      </c>
      <c r="B50" s="3126" t="s">
        <v>307</v>
      </c>
      <c r="C50" s="3127"/>
    </row>
    <row r="51" spans="1:4">
      <c r="A51" s="3131" t="s">
        <v>314</v>
      </c>
      <c r="B51" s="31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2" t="s">
        <v>315</v>
      </c>
    </row>
    <row r="52" spans="1:4">
      <c r="A52" s="3131" t="s">
        <v>316</v>
      </c>
      <c r="B52" s="3131" t="s">
        <v>317</v>
      </c>
      <c r="C52" s="3120" t="s">
        <v>318</v>
      </c>
      <c r="D52" s="3120" t="s">
        <v>319</v>
      </c>
    </row>
    <row r="53" spans="1:4">
      <c r="A53" s="3305" t="s">
        <v>320</v>
      </c>
      <c r="B53" s="3132" t="s">
        <v>321</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3132" t="s">
        <v>322</v>
      </c>
      <c r="C54" s="3120" t="s">
        <v>323</v>
      </c>
    </row>
    <row r="55" spans="1:4">
      <c r="A55" s="3305"/>
      <c r="B55" s="3132" t="s">
        <v>324</v>
      </c>
      <c r="C55" s="3120" t="s">
        <v>325</v>
      </c>
    </row>
    <row r="56" spans="1:4">
      <c r="A56" s="3305"/>
      <c r="B56" s="3132" t="s">
        <v>326</v>
      </c>
      <c r="C56" s="3120" t="s">
        <v>327</v>
      </c>
    </row>
    <row r="57" spans="1:4">
      <c r="A57" s="3305"/>
      <c r="B57" s="3132" t="s">
        <v>328</v>
      </c>
      <c r="C57" s="3120" t="s">
        <v>329</v>
      </c>
    </row>
    <row r="58" spans="1:4">
      <c r="A58" s="3133"/>
      <c r="B58" s="3120"/>
    </row>
    <row r="59" spans="1:4">
      <c r="A59" s="3133"/>
      <c r="B59" s="3120"/>
    </row>
    <row r="60" spans="1:4">
      <c r="A60" s="3133"/>
      <c r="B60" s="3120"/>
    </row>
    <row r="61" spans="1:4">
      <c r="A61" s="3133"/>
      <c r="B61" s="3120"/>
    </row>
    <row r="62" spans="1:4">
      <c r="A62" s="3133"/>
      <c r="B62" s="3120"/>
    </row>
    <row r="63" spans="1:4">
      <c r="A63" s="3133"/>
      <c r="B63" s="3120"/>
    </row>
    <row r="64" spans="1:4">
      <c r="A64" s="3133"/>
      <c r="B64" s="3120"/>
    </row>
    <row r="65" spans="1:2">
      <c r="A65" s="3133"/>
      <c r="B65" s="3120"/>
    </row>
    <row r="66" spans="1:2">
      <c r="A66" s="3133"/>
      <c r="B66" s="3120"/>
    </row>
    <row r="67" spans="1:2">
      <c r="A67" s="3133"/>
      <c r="B67" s="3120"/>
    </row>
    <row r="68" spans="1:2">
      <c r="A68" s="3133"/>
      <c r="B68" s="3120"/>
    </row>
    <row r="69" spans="1:2">
      <c r="A69" s="3133"/>
      <c r="B69" s="3120"/>
    </row>
    <row r="70" spans="1:2">
      <c r="A70" s="3133"/>
      <c r="B70" s="3120"/>
    </row>
    <row r="71" spans="1:2">
      <c r="A71" s="3133"/>
      <c r="B71" s="3120"/>
    </row>
    <row r="72" spans="1:2">
      <c r="A72" s="3133"/>
      <c r="B72" s="3120"/>
    </row>
    <row r="73" spans="1:2">
      <c r="A73" s="3133"/>
      <c r="B73" s="3120"/>
    </row>
    <row r="74" spans="1:2">
      <c r="A74" s="3133"/>
      <c r="B74" s="3120"/>
    </row>
    <row r="75" spans="1:2">
      <c r="A75" s="3133"/>
      <c r="B75" s="3120"/>
    </row>
    <row r="76" spans="1:2">
      <c r="A76" s="3133"/>
      <c r="B76" s="3120"/>
    </row>
    <row r="77" spans="1:2">
      <c r="A77" s="3133"/>
      <c r="B77" s="3120"/>
    </row>
    <row r="78" spans="1:2">
      <c r="A78" s="3133"/>
      <c r="B78" s="3120"/>
    </row>
    <row r="79" spans="1:2">
      <c r="A79" s="3133"/>
      <c r="B79" s="3120"/>
    </row>
    <row r="80" spans="1:2">
      <c r="A80" s="3133"/>
      <c r="B80" s="3120"/>
    </row>
    <row r="81" spans="1:2">
      <c r="A81" s="3133"/>
      <c r="B81" s="3120"/>
    </row>
    <row r="82" spans="1:2">
      <c r="A82" s="3133"/>
      <c r="B82" s="3120"/>
    </row>
    <row r="83" spans="1:2">
      <c r="A83" s="3133"/>
      <c r="B83" s="3120"/>
    </row>
    <row r="84" spans="1:2">
      <c r="A84" s="3133"/>
      <c r="B84" s="3120"/>
    </row>
    <row r="85" spans="1:2">
      <c r="A85" s="3133"/>
      <c r="B85" s="3120"/>
    </row>
    <row r="86" spans="1:2">
      <c r="A86" s="3133"/>
      <c r="B86" s="3120"/>
    </row>
    <row r="87" spans="1:2">
      <c r="A87" s="3133"/>
      <c r="B87" s="3120"/>
    </row>
    <row r="88" spans="1:2">
      <c r="A88" s="3133"/>
      <c r="B88" s="3120"/>
    </row>
    <row r="89" spans="1:2">
      <c r="A89" s="3133"/>
      <c r="B89" s="3120"/>
    </row>
    <row r="90" spans="1:2">
      <c r="A90" s="3133"/>
      <c r="B90" s="3120"/>
    </row>
    <row r="91" spans="1:2">
      <c r="A91" s="3133"/>
      <c r="B91" s="3120"/>
    </row>
    <row r="92" spans="1:2">
      <c r="A92" s="3133"/>
      <c r="B92" s="3120"/>
    </row>
    <row r="93" spans="1:2">
      <c r="A93" s="3133"/>
      <c r="B93" s="3120"/>
    </row>
    <row r="94" spans="1:2">
      <c r="A94" s="3133"/>
      <c r="B94" s="3120"/>
    </row>
    <row r="95" spans="1:2">
      <c r="A95" s="3133"/>
      <c r="B95" s="3120"/>
    </row>
    <row r="96" spans="1:2">
      <c r="A96" s="3133"/>
      <c r="B96" s="3120"/>
    </row>
    <row r="97" spans="1:2">
      <c r="A97" s="3133"/>
      <c r="B97" s="3120"/>
    </row>
    <row r="98" spans="1:2">
      <c r="A98" s="3133"/>
      <c r="B98" s="3120"/>
    </row>
    <row r="99" spans="1:2">
      <c r="A99" s="3133"/>
      <c r="B99" s="3120"/>
    </row>
    <row r="100" spans="1:2">
      <c r="A100" s="3133"/>
      <c r="B100" s="3120"/>
    </row>
    <row r="101" spans="1:2">
      <c r="A101" s="3133"/>
      <c r="B101" s="3120"/>
    </row>
    <row r="102" spans="1:2">
      <c r="A102" s="3133"/>
      <c r="B102" s="3120"/>
    </row>
    <row r="103" spans="1:2">
      <c r="A103" s="3133"/>
      <c r="B103" s="3120"/>
    </row>
    <row r="104" spans="1:2">
      <c r="A104" s="3133"/>
      <c r="B104" s="3120"/>
    </row>
    <row r="105" spans="1:2">
      <c r="A105" s="3133"/>
      <c r="B105" s="3120"/>
    </row>
    <row r="106" spans="1:2">
      <c r="A106" s="3133"/>
      <c r="B106" s="3120"/>
    </row>
    <row r="107" spans="1:2">
      <c r="A107" s="3133"/>
      <c r="B107" s="3120"/>
    </row>
    <row r="108" spans="1:2">
      <c r="A108" s="3133"/>
      <c r="B108" s="3120"/>
    </row>
    <row r="109" spans="1:2">
      <c r="A109" s="3133"/>
      <c r="B109" s="3120"/>
    </row>
    <row r="110" spans="1:2">
      <c r="A110" s="3133"/>
      <c r="B110" s="3120"/>
    </row>
    <row r="111" spans="1:2">
      <c r="A111" s="3133"/>
      <c r="B111" s="3120"/>
    </row>
    <row r="112" spans="1:2">
      <c r="A112" s="3133"/>
      <c r="B112" s="3120"/>
    </row>
    <row r="113" spans="1:2">
      <c r="A113" s="3133"/>
      <c r="B113" s="3120"/>
    </row>
    <row r="114" spans="1:2">
      <c r="A114" s="3133"/>
      <c r="B114" s="3120"/>
    </row>
    <row r="115" spans="1:2">
      <c r="A115" s="3133"/>
      <c r="B115" s="3120"/>
    </row>
    <row r="116" spans="1:2">
      <c r="A116" s="3133"/>
      <c r="B116" s="3120"/>
    </row>
    <row r="117" spans="1:2">
      <c r="A117" s="3133"/>
      <c r="B117" s="3120"/>
    </row>
    <row r="118" spans="1:2">
      <c r="A118" s="3133"/>
      <c r="B118" s="3120"/>
    </row>
    <row r="119" spans="1:2">
      <c r="A119" s="3133"/>
      <c r="B119" s="3120"/>
    </row>
    <row r="120" spans="1:2">
      <c r="A120" s="3133"/>
      <c r="B120" s="3120"/>
    </row>
    <row r="121" spans="1:2">
      <c r="A121" s="3133"/>
      <c r="B121" s="3120"/>
    </row>
    <row r="122" spans="1:2">
      <c r="A122" s="3133"/>
      <c r="B122" s="3120"/>
    </row>
    <row r="123" spans="1:2">
      <c r="A123" s="3133"/>
      <c r="B123" s="3120"/>
    </row>
    <row r="124" spans="1:2">
      <c r="A124" s="3133"/>
      <c r="B124" s="3120"/>
    </row>
    <row r="125" spans="1:2">
      <c r="A125" s="3133"/>
      <c r="B125" s="3120"/>
    </row>
    <row r="126" spans="1:2">
      <c r="A126" s="3133"/>
      <c r="B126" s="3120"/>
    </row>
    <row r="127" spans="1:2">
      <c r="A127" s="3133"/>
      <c r="B127" s="312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31" sqref="H31"/>
    </sheetView>
  </sheetViews>
  <sheetFormatPr defaultColWidth="10" defaultRowHeight="13.2"/>
  <cols>
    <col min="1" max="1" width="16.88671875" style="2604" customWidth="1"/>
    <col min="2" max="2" width="10" style="2604" customWidth="1"/>
    <col min="3" max="3" width="11.44140625" style="2604" customWidth="1"/>
    <col min="4" max="4" width="10" style="2604" customWidth="1"/>
    <col min="5" max="5" width="12.6640625" style="2604" customWidth="1"/>
    <col min="6" max="6" width="10" style="2604" customWidth="1"/>
    <col min="7" max="7" width="10.77734375" style="2604" customWidth="1"/>
    <col min="8" max="8" width="10" style="2604" customWidth="1"/>
    <col min="9" max="9" width="11.109375" style="2891" customWidth="1"/>
    <col min="10" max="10" width="10" style="2800" customWidth="1"/>
    <col min="11" max="11" width="10" style="2988" customWidth="1"/>
    <col min="12" max="13" width="10" style="2989" customWidth="1"/>
    <col min="14" max="14" width="10" style="2800" customWidth="1"/>
    <col min="15" max="15" width="10" style="234" customWidth="1"/>
    <col min="16" max="17" width="10" style="2800"/>
    <col min="18" max="18" width="10" style="2800" customWidth="1"/>
    <col min="19" max="30" width="10" style="2800"/>
    <col min="31" max="16384" width="10" style="2604"/>
  </cols>
  <sheetData>
    <row r="1" spans="1:28">
      <c r="A1" s="2990" t="s">
        <v>330</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321"/>
      <c r="J1" s="2554"/>
      <c r="K1" s="3089"/>
      <c r="L1" s="3090"/>
      <c r="M1" s="3090"/>
      <c r="N1" s="3032"/>
      <c r="O1" s="2899"/>
      <c r="P1" s="3032"/>
      <c r="Q1" s="3032"/>
      <c r="R1" s="303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2991" t="s">
        <v>331</v>
      </c>
      <c r="B2" s="2992"/>
      <c r="C2" s="2993"/>
      <c r="D2" s="2994"/>
      <c r="E2" s="2995"/>
      <c r="F2" s="2995"/>
      <c r="G2" s="2996"/>
      <c r="H2" s="2996"/>
      <c r="I2" s="2996"/>
      <c r="J2" s="2554"/>
      <c r="K2" s="3089"/>
      <c r="L2" s="3090"/>
      <c r="M2" s="3090"/>
      <c r="N2" s="3032"/>
      <c r="O2" s="2899"/>
      <c r="P2" s="3032"/>
      <c r="Q2" s="3032"/>
      <c r="R2" s="303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1806" t="s">
        <v>332</v>
      </c>
      <c r="B3" s="2997"/>
      <c r="C3" s="2998" t="s">
        <v>333</v>
      </c>
      <c r="D3" s="2997">
        <v>44770</v>
      </c>
      <c r="E3" s="2996"/>
      <c r="F3" s="2996"/>
      <c r="G3" s="2996"/>
      <c r="H3" s="2996"/>
      <c r="I3" s="2996"/>
      <c r="J3" s="2554"/>
      <c r="K3" s="3089"/>
      <c r="L3" s="3090"/>
      <c r="M3" s="3090"/>
      <c r="N3" s="3032"/>
      <c r="O3" s="2899"/>
      <c r="P3" s="3032"/>
      <c r="Q3" s="3032"/>
      <c r="R3" s="3032"/>
      <c r="S3" s="2605"/>
      <c r="T3" s="2604"/>
      <c r="U3" s="2604"/>
      <c r="V3" s="2604"/>
      <c r="W3" s="2604"/>
      <c r="X3" s="2604"/>
      <c r="Y3" s="2604"/>
      <c r="Z3" s="2604"/>
      <c r="AA3" s="2604"/>
      <c r="AB3" s="2604"/>
    </row>
    <row r="4" spans="1:28">
      <c r="A4" s="1828" t="s">
        <v>334</v>
      </c>
      <c r="B4" s="2999"/>
      <c r="C4" s="3000">
        <f>SUMIF(注册房地产估价师,B4,估价师及机构信息!B3:B24)</f>
        <v>0</v>
      </c>
      <c r="D4" s="2999"/>
      <c r="E4" s="3001">
        <f>SUMIF(注册房地产估价师,D4,估价师及机构信息!B3:B24)</f>
        <v>0</v>
      </c>
      <c r="F4" s="2999"/>
      <c r="G4" s="3001">
        <f>SUMIF(注册房地产估价师,F4,估价师及机构信息!B3:B24)</f>
        <v>0</v>
      </c>
      <c r="H4" s="2999"/>
      <c r="I4" s="3001">
        <f>SUMIF(注册房地产估价师,H4,估价师及机构信息!B3:B24)</f>
        <v>0</v>
      </c>
      <c r="J4" s="2588"/>
      <c r="K4" s="3091" t="str">
        <f>CONCATENATE(B4,"（注册号：",C4,")、",D4,"（注册号：",E4,")")</f>
        <v>（注册号：0)、（注册号：0)</v>
      </c>
      <c r="L4" s="3090"/>
      <c r="M4" s="3090"/>
      <c r="N4" s="3032"/>
      <c r="O4" s="2899"/>
      <c r="P4" s="3032"/>
      <c r="Q4" s="3032"/>
      <c r="R4" s="3032"/>
      <c r="S4" s="2605"/>
      <c r="T4" s="2604"/>
      <c r="U4" s="2604"/>
      <c r="V4" s="2604"/>
      <c r="W4" s="2604"/>
      <c r="X4" s="2604"/>
      <c r="Y4" s="2604"/>
      <c r="Z4" s="2604"/>
      <c r="AA4" s="2604"/>
      <c r="AB4" s="2604"/>
    </row>
    <row r="5" spans="1:28">
      <c r="A5" s="3002" t="s">
        <v>335</v>
      </c>
      <c r="B5" s="3003"/>
      <c r="C5" s="3004"/>
      <c r="D5" s="3005"/>
      <c r="E5" s="2710"/>
      <c r="F5" s="2710"/>
      <c r="G5" s="2710"/>
      <c r="H5" s="2710"/>
      <c r="I5" s="2710"/>
      <c r="J5" s="2588"/>
      <c r="K5" s="3091" t="str">
        <f>IF(F4="——","",IF(H4="——",F4&amp;"（注册号："&amp;G4&amp;")",CONCATENATE(F4,"（注册号：",G4,")、",H4,"（注册号：",I4,")")))</f>
        <v>（注册号：0)、（注册号：0)</v>
      </c>
      <c r="L5" s="3090"/>
      <c r="M5" s="3090"/>
      <c r="N5" s="3032"/>
      <c r="O5" s="2899"/>
      <c r="P5" s="3032"/>
      <c r="Q5" s="3032"/>
      <c r="R5" s="3032"/>
      <c r="S5" s="2604"/>
      <c r="T5" s="2604"/>
      <c r="U5" s="2604"/>
      <c r="V5" s="2604"/>
      <c r="W5" s="2604"/>
      <c r="X5" s="2604"/>
      <c r="Y5" s="2604"/>
      <c r="Z5" s="2604"/>
      <c r="AA5" s="2604"/>
      <c r="AB5" s="2604"/>
    </row>
    <row r="6" spans="1:28">
      <c r="A6" s="3006" t="s">
        <v>336</v>
      </c>
      <c r="B6" s="3007"/>
      <c r="C6" s="3008"/>
      <c r="D6" s="3009"/>
      <c r="E6" s="2995"/>
      <c r="F6" s="2710"/>
      <c r="G6" s="2710"/>
      <c r="H6" s="2710"/>
      <c r="I6" s="2710"/>
      <c r="J6" s="2588"/>
      <c r="K6" s="3092" t="str">
        <f>IF(COUNTIF(B6,"*上海银行*"),"上海银行","")</f>
        <v/>
      </c>
      <c r="L6" s="3093"/>
      <c r="M6" s="3093"/>
      <c r="N6" s="2588"/>
      <c r="O6" s="3094"/>
      <c r="P6" s="2588"/>
      <c r="Q6" s="2588"/>
      <c r="R6" s="2588"/>
    </row>
    <row r="7" spans="1:28">
      <c r="A7" s="3006" t="s">
        <v>337</v>
      </c>
      <c r="B7" s="3010"/>
      <c r="C7" s="3008"/>
      <c r="D7" s="3009"/>
      <c r="E7" s="2995"/>
      <c r="F7" s="2710"/>
      <c r="G7" s="2710"/>
      <c r="H7" s="2710"/>
      <c r="I7" s="2710"/>
      <c r="J7" s="2588"/>
      <c r="K7" s="3095"/>
      <c r="L7" s="3093"/>
      <c r="M7" s="3093"/>
      <c r="N7" s="2588"/>
      <c r="O7" s="3094"/>
      <c r="P7" s="2588"/>
      <c r="Q7" s="2588"/>
      <c r="R7" s="2588"/>
    </row>
    <row r="8" spans="1:28">
      <c r="A8" s="3011" t="s">
        <v>338</v>
      </c>
      <c r="B8" s="3012" t="s">
        <v>317</v>
      </c>
      <c r="C8" s="3013"/>
      <c r="D8" s="3334" t="s">
        <v>339</v>
      </c>
      <c r="E8" s="3014" t="s">
        <v>322</v>
      </c>
      <c r="F8" s="3015"/>
      <c r="G8" s="2996"/>
      <c r="H8" s="2996"/>
      <c r="I8" s="2996"/>
      <c r="J8" s="2588"/>
      <c r="K8" s="3096"/>
      <c r="L8" s="3093"/>
      <c r="M8" s="3093"/>
      <c r="N8" s="2588"/>
      <c r="O8" s="3094"/>
      <c r="P8" s="2588"/>
      <c r="Q8" s="2588"/>
      <c r="R8" s="2588"/>
    </row>
    <row r="9" spans="1:28">
      <c r="A9" s="3016" t="s">
        <v>340</v>
      </c>
      <c r="B9" s="3017" t="s">
        <v>322</v>
      </c>
      <c r="C9" s="3018"/>
      <c r="D9" s="3335"/>
      <c r="E9" s="3017" t="s">
        <v>328</v>
      </c>
      <c r="F9" s="3019"/>
      <c r="G9" s="3020"/>
      <c r="H9" s="3020"/>
      <c r="I9" s="3020"/>
      <c r="J9" s="2588"/>
      <c r="K9" s="3095"/>
      <c r="L9" s="3093"/>
      <c r="M9" s="3093"/>
      <c r="N9" s="2588"/>
      <c r="O9" s="3094"/>
      <c r="P9" s="2588"/>
      <c r="Q9" s="2588"/>
      <c r="R9" s="2588"/>
    </row>
    <row r="10" spans="1:28">
      <c r="A10" s="3021" t="s">
        <v>341</v>
      </c>
      <c r="B10" s="3022" t="s">
        <v>342</v>
      </c>
      <c r="C10" s="3023"/>
      <c r="D10" s="3005"/>
      <c r="E10" s="3024" t="s">
        <v>343</v>
      </c>
      <c r="F10" s="3025"/>
      <c r="G10" s="3026"/>
      <c r="H10" s="3027"/>
      <c r="I10" s="3097"/>
      <c r="J10" s="2588"/>
      <c r="K10" s="3095"/>
      <c r="L10" s="3093"/>
      <c r="M10" s="3093"/>
      <c r="N10" s="2588"/>
      <c r="O10" s="3094"/>
      <c r="P10" s="2588"/>
      <c r="Q10" s="2588"/>
      <c r="R10" s="2588"/>
    </row>
    <row r="11" spans="1:28">
      <c r="A11" s="3028" t="s">
        <v>344</v>
      </c>
      <c r="B11" s="3029" t="s">
        <v>345</v>
      </c>
      <c r="C11" s="3030"/>
      <c r="D11" s="3031"/>
      <c r="E11" s="3032"/>
      <c r="F11" s="3032"/>
      <c r="G11" s="3032"/>
      <c r="H11" s="3032"/>
      <c r="I11" s="3032"/>
      <c r="J11" s="2588"/>
      <c r="K11" s="3095"/>
      <c r="L11" s="3093"/>
      <c r="M11" s="3093"/>
      <c r="N11" s="2588"/>
      <c r="O11" s="3094"/>
      <c r="P11" s="2588"/>
      <c r="Q11" s="2588"/>
      <c r="R11" s="2588"/>
    </row>
    <row r="12" spans="1:28">
      <c r="A12" s="3033" t="s">
        <v>346</v>
      </c>
      <c r="B12" s="3029" t="s">
        <v>347</v>
      </c>
      <c r="C12" s="1847" t="s">
        <v>348</v>
      </c>
      <c r="D12" s="3034" t="s">
        <v>349</v>
      </c>
      <c r="E12" s="3034" t="s">
        <v>350</v>
      </c>
      <c r="F12" s="3034" t="s">
        <v>351</v>
      </c>
      <c r="G12" s="3034" t="s">
        <v>352</v>
      </c>
      <c r="H12" s="3034" t="s">
        <v>353</v>
      </c>
      <c r="I12" s="3034" t="s">
        <v>354</v>
      </c>
      <c r="J12" s="2588"/>
      <c r="K12" s="3095"/>
      <c r="L12" s="3093"/>
      <c r="M12" s="3093"/>
      <c r="N12" s="2588"/>
      <c r="O12" s="3094"/>
      <c r="P12" s="2588"/>
      <c r="Q12" s="2588"/>
      <c r="R12" s="2588"/>
    </row>
    <row r="13" spans="1:28">
      <c r="A13" s="1833"/>
      <c r="B13" s="3035"/>
      <c r="C13" s="3036" t="s">
        <v>355</v>
      </c>
      <c r="D13" s="3037"/>
      <c r="E13" s="3037"/>
      <c r="F13" s="3037">
        <v>53058</v>
      </c>
      <c r="G13" s="3037"/>
      <c r="H13" s="3037"/>
      <c r="I13" s="3037"/>
      <c r="J13" s="2588"/>
      <c r="K13" s="3095"/>
      <c r="L13" s="3093"/>
      <c r="M13" s="3093"/>
      <c r="N13" s="2588"/>
      <c r="O13" s="3094"/>
      <c r="P13" s="2588"/>
      <c r="Q13" s="2588"/>
      <c r="R13" s="2588"/>
    </row>
    <row r="14" spans="1:28">
      <c r="A14" s="1833"/>
      <c r="B14" s="3035"/>
      <c r="C14" s="3036" t="s">
        <v>356</v>
      </c>
      <c r="D14" s="3038"/>
      <c r="E14" s="3038"/>
      <c r="F14" s="3038">
        <v>50</v>
      </c>
      <c r="G14" s="3038"/>
      <c r="H14" s="3038"/>
      <c r="I14" s="3038"/>
      <c r="J14" s="2588"/>
      <c r="K14" s="3098"/>
      <c r="L14" s="3093"/>
      <c r="M14" s="3093"/>
      <c r="N14" s="2588"/>
      <c r="O14" s="3094"/>
      <c r="P14" s="2588"/>
      <c r="Q14" s="2588"/>
      <c r="R14" s="2588"/>
    </row>
    <row r="15" spans="1:28">
      <c r="A15" s="1840"/>
      <c r="B15" s="3039"/>
      <c r="C15" s="3040" t="s">
        <v>357</v>
      </c>
      <c r="D15" s="3041" t="str">
        <f>IF(B12="出让",IF(D13="","",ROUNDDOWN(MIN((D13-$D$3)/365,D14),2)),D14)</f>
        <v/>
      </c>
      <c r="E15" s="3041" t="str">
        <f>IF(B12="出让",IF(E13="","",ROUNDDOWN(MIN((E13-$D$3)/365,E14),2)),E14)</f>
        <v/>
      </c>
      <c r="F15" s="3041">
        <f>IF(B12="出让",IF(F13="","",ROUNDDOWN(MIN((F13-$D$3)/365,F14),2)),F14)</f>
        <v>22.7</v>
      </c>
      <c r="G15" s="3041" t="str">
        <f>IF(B12="出让",IF(G13="","",ROUNDDOWN(MIN((G13-$D$3)/365,G14),2)),G14)</f>
        <v/>
      </c>
      <c r="H15" s="3041" t="str">
        <f>IF(B12="出让",IF(H13="","",ROUNDDOWN(MIN((H13-$D$3)/365,H14),2)),H14)</f>
        <v/>
      </c>
      <c r="I15" s="3041" t="str">
        <f>IF(B12="出让",IF(I13="","",ROUNDDOWN(MIN((I13-$D$3)/365,I14),2)),I14)</f>
        <v/>
      </c>
      <c r="J15" s="2588"/>
      <c r="K15" s="3099"/>
      <c r="L15" s="3100"/>
      <c r="M15" s="3100"/>
      <c r="N15" s="2589"/>
      <c r="O15" s="3100"/>
      <c r="P15" s="2589"/>
      <c r="Q15" s="2588"/>
      <c r="R15" s="2588"/>
    </row>
    <row r="16" spans="1:28">
      <c r="A16" s="3024" t="s">
        <v>358</v>
      </c>
      <c r="B16" s="3322"/>
      <c r="C16" s="3323"/>
      <c r="D16" s="3324"/>
      <c r="E16" s="3042" t="s">
        <v>359</v>
      </c>
      <c r="F16" s="3325"/>
      <c r="G16" s="3326"/>
      <c r="H16" s="3326"/>
      <c r="I16" s="3327"/>
      <c r="J16" s="2588"/>
      <c r="K16" s="3099"/>
      <c r="L16" s="3100"/>
      <c r="M16" s="3100"/>
      <c r="N16" s="2589"/>
      <c r="O16" s="3100"/>
      <c r="P16" s="2589"/>
      <c r="Q16" s="2588"/>
      <c r="R16" s="2588"/>
    </row>
    <row r="17" spans="1:28">
      <c r="A17" s="1817" t="s">
        <v>360</v>
      </c>
      <c r="B17" s="1806" t="s">
        <v>361</v>
      </c>
      <c r="C17" s="296">
        <f>'数据-汇总表'!E3</f>
        <v>5858.09</v>
      </c>
      <c r="D17" s="1860" t="s">
        <v>362</v>
      </c>
      <c r="E17" s="3328" t="s">
        <v>363</v>
      </c>
      <c r="F17" s="3329"/>
      <c r="G17" s="3329"/>
      <c r="H17" s="3329"/>
      <c r="I17" s="3330"/>
      <c r="J17" s="2588"/>
      <c r="K17" s="3101"/>
      <c r="L17" s="3100"/>
      <c r="M17" s="3100"/>
      <c r="N17" s="2589"/>
      <c r="O17" s="3100"/>
      <c r="P17" s="2589"/>
      <c r="Q17" s="2588"/>
      <c r="R17" s="2588"/>
      <c r="S17" s="2588"/>
      <c r="T17" s="2588"/>
      <c r="U17" s="2588"/>
      <c r="V17" s="2588"/>
    </row>
    <row r="18" spans="1:28" ht="24">
      <c r="A18" s="3043" t="s">
        <v>364</v>
      </c>
      <c r="B18" s="1828" t="s">
        <v>365</v>
      </c>
      <c r="C18" s="3044">
        <f>'数据-汇总表'!D3</f>
        <v>756.32</v>
      </c>
      <c r="D18" s="1853" t="s">
        <v>362</v>
      </c>
      <c r="E18" s="3331" t="s">
        <v>366</v>
      </c>
      <c r="F18" s="3332"/>
      <c r="G18" s="3332"/>
      <c r="H18" s="3332"/>
      <c r="I18" s="3333"/>
      <c r="J18" s="2588"/>
      <c r="K18" s="3101"/>
      <c r="L18" s="3100"/>
      <c r="M18" s="3100"/>
      <c r="N18" s="2589"/>
      <c r="O18" s="3100"/>
      <c r="P18" s="2589"/>
      <c r="Q18" s="2588"/>
      <c r="R18" s="2588"/>
      <c r="S18" s="2588"/>
      <c r="T18" s="2588"/>
      <c r="U18" s="2588"/>
      <c r="V18" s="2588"/>
    </row>
    <row r="19" spans="1:28" ht="36">
      <c r="A19" s="1870" t="s">
        <v>367</v>
      </c>
      <c r="B19" s="1810" t="s">
        <v>368</v>
      </c>
      <c r="C19" s="3045"/>
      <c r="D19" s="3046" t="s">
        <v>369</v>
      </c>
      <c r="E19" s="3047"/>
      <c r="F19" s="3048" t="str">
        <f>IF(AND(C19="是",E19="否"),"是否提供他项权证或相关说明","")</f>
        <v/>
      </c>
      <c r="G19" s="3049"/>
      <c r="H19" s="2710"/>
      <c r="I19" s="2710"/>
      <c r="J19" s="2588"/>
      <c r="K19" s="3095"/>
      <c r="L19" s="3093"/>
      <c r="M19" s="3093"/>
      <c r="N19" s="2589"/>
      <c r="O19" s="3100"/>
      <c r="P19" s="2589"/>
      <c r="Q19" s="2588"/>
      <c r="R19" s="2588"/>
      <c r="S19" s="2588"/>
      <c r="T19" s="2588"/>
      <c r="U19" s="2588"/>
      <c r="V19" s="2588"/>
    </row>
    <row r="20" spans="1:28">
      <c r="A20" s="3050" t="s">
        <v>370</v>
      </c>
      <c r="B20" s="3308" t="s">
        <v>371</v>
      </c>
      <c r="C20" s="3309"/>
      <c r="D20" s="3310" t="s">
        <v>372</v>
      </c>
      <c r="E20" s="3311"/>
      <c r="F20" s="3051" t="s">
        <v>373</v>
      </c>
      <c r="G20" s="2710"/>
      <c r="H20" s="2710"/>
      <c r="I20" s="2710"/>
      <c r="J20" s="2588"/>
      <c r="K20" s="3306" t="s">
        <v>374</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102"/>
      <c r="O20" s="3103"/>
      <c r="P20" s="3102"/>
      <c r="Q20" s="3032"/>
      <c r="R20" s="3032"/>
      <c r="S20" s="3032"/>
      <c r="T20" s="3032"/>
      <c r="U20" s="3032"/>
      <c r="V20" s="3032"/>
      <c r="W20" s="2604"/>
      <c r="X20" s="2604"/>
      <c r="Y20" s="2604"/>
      <c r="Z20" s="2604"/>
      <c r="AA20" s="2604"/>
      <c r="AB20" s="2604"/>
    </row>
    <row r="21" spans="1:28" ht="36">
      <c r="A21" s="3050"/>
      <c r="B21" s="3052" t="s">
        <v>375</v>
      </c>
      <c r="C21" s="3053" t="s">
        <v>376</v>
      </c>
      <c r="D21" s="3054" t="s">
        <v>377</v>
      </c>
      <c r="E21" s="3055" t="s">
        <v>376</v>
      </c>
      <c r="F21" s="3056"/>
      <c r="G21" s="2710"/>
      <c r="H21" s="2710"/>
      <c r="I21" s="2710"/>
      <c r="J21" s="2588"/>
      <c r="K21" s="3306"/>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102"/>
      <c r="O21" s="3103"/>
      <c r="P21" s="3102"/>
      <c r="Q21" s="3032"/>
      <c r="R21" s="3032"/>
      <c r="S21" s="3032"/>
      <c r="T21" s="3032"/>
      <c r="U21" s="3032"/>
      <c r="V21" s="3032"/>
      <c r="W21" s="2604"/>
      <c r="X21" s="2604"/>
      <c r="Y21" s="2604"/>
      <c r="Z21" s="2604"/>
      <c r="AA21" s="2604"/>
      <c r="AB21" s="2604"/>
    </row>
    <row r="22" spans="1:28" ht="36">
      <c r="A22" s="3050"/>
      <c r="B22" s="3057" t="s">
        <v>378</v>
      </c>
      <c r="C22" s="3053" t="s">
        <v>379</v>
      </c>
      <c r="D22" s="2996"/>
      <c r="E22" s="2996"/>
      <c r="F22" s="2996"/>
      <c r="G22" s="2710"/>
      <c r="H22" s="2710"/>
      <c r="I22" s="2710"/>
      <c r="J22" s="2588"/>
      <c r="K22" s="3306"/>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102"/>
      <c r="O22" s="3103"/>
      <c r="P22" s="3102"/>
      <c r="Q22" s="3032"/>
      <c r="R22" s="3032"/>
      <c r="S22" s="3032"/>
      <c r="T22" s="3032"/>
      <c r="U22" s="3032"/>
      <c r="V22" s="3032"/>
      <c r="W22" s="2604"/>
      <c r="X22" s="2604"/>
      <c r="Y22" s="2604"/>
      <c r="Z22" s="2604"/>
      <c r="AA22" s="2604"/>
      <c r="AB22" s="2604"/>
    </row>
    <row r="23" spans="1:28">
      <c r="A23" s="3058" t="s">
        <v>380</v>
      </c>
      <c r="B23" s="2579" t="s">
        <v>381</v>
      </c>
      <c r="C23" s="3059"/>
      <c r="D23" s="3060" t="s">
        <v>381</v>
      </c>
      <c r="E23" s="3061"/>
      <c r="F23" s="2996"/>
      <c r="G23" s="2710"/>
      <c r="H23" s="2710"/>
      <c r="I23" s="2710"/>
      <c r="J23" s="2588"/>
      <c r="K23" s="3104"/>
      <c r="L23" s="1968"/>
      <c r="M23" s="3093"/>
      <c r="N23" s="2589"/>
      <c r="O23" s="3100"/>
      <c r="P23" s="2589"/>
      <c r="Q23" s="2588"/>
      <c r="R23" s="2588"/>
      <c r="S23" s="2588"/>
      <c r="T23" s="2588"/>
      <c r="U23" s="2588"/>
      <c r="V23" s="2588"/>
    </row>
    <row r="24" spans="1:28">
      <c r="A24" s="3058"/>
      <c r="B24" s="2579" t="s">
        <v>382</v>
      </c>
      <c r="C24" s="3062"/>
      <c r="D24" s="3058" t="s">
        <v>382</v>
      </c>
      <c r="E24" s="3063"/>
      <c r="F24" s="2996"/>
      <c r="G24" s="2710"/>
      <c r="H24" s="2710"/>
      <c r="I24" s="2710"/>
      <c r="J24" s="2588"/>
      <c r="K24" s="3104"/>
      <c r="L24" s="1968"/>
      <c r="M24" s="3093"/>
      <c r="N24" s="2589"/>
      <c r="O24" s="3100"/>
      <c r="P24" s="2589"/>
      <c r="Q24" s="2588"/>
      <c r="R24" s="2588"/>
      <c r="S24" s="2588"/>
      <c r="T24" s="2588"/>
      <c r="U24" s="2588"/>
      <c r="V24" s="2588"/>
    </row>
    <row r="25" spans="1:28">
      <c r="A25" s="3058"/>
      <c r="B25" s="2579" t="s">
        <v>383</v>
      </c>
      <c r="C25" s="3062"/>
      <c r="D25" s="3058" t="s">
        <v>383</v>
      </c>
      <c r="E25" s="3063"/>
      <c r="F25" s="2996"/>
      <c r="G25" s="2710"/>
      <c r="H25" s="2710"/>
      <c r="I25" s="2710"/>
      <c r="J25" s="2588"/>
      <c r="K25" s="3095"/>
      <c r="L25" s="3093"/>
      <c r="M25" s="3093"/>
      <c r="N25" s="2589"/>
      <c r="O25" s="3100"/>
      <c r="P25" s="2589"/>
      <c r="Q25" s="2588"/>
      <c r="R25" s="2588"/>
      <c r="S25" s="2588"/>
      <c r="T25" s="2588"/>
      <c r="U25" s="2588"/>
      <c r="V25" s="2588"/>
    </row>
    <row r="26" spans="1:28">
      <c r="A26" s="3064"/>
      <c r="B26" s="3065" t="s">
        <v>384</v>
      </c>
      <c r="C26" s="3066"/>
      <c r="D26" s="3064" t="s">
        <v>384</v>
      </c>
      <c r="E26" s="3067"/>
      <c r="F26" s="3020"/>
      <c r="G26" s="3020"/>
      <c r="H26" s="3020"/>
      <c r="I26" s="3020"/>
      <c r="J26" s="2588"/>
      <c r="K26" s="3095"/>
      <c r="L26" s="3093"/>
      <c r="M26" s="3093"/>
      <c r="N26" s="2589"/>
      <c r="O26" s="3100"/>
      <c r="P26" s="2589"/>
      <c r="Q26" s="2588"/>
      <c r="R26" s="2588"/>
      <c r="S26" s="2588"/>
      <c r="T26" s="2588"/>
      <c r="U26" s="2588"/>
      <c r="V26" s="2588"/>
    </row>
    <row r="27" spans="1:28">
      <c r="A27" s="3315" t="s">
        <v>385</v>
      </c>
      <c r="B27" s="1840" t="s">
        <v>386</v>
      </c>
      <c r="C27" s="3068"/>
      <c r="D27" s="3069"/>
      <c r="E27" s="2710"/>
      <c r="F27" s="2710"/>
      <c r="G27" s="2710"/>
      <c r="H27" s="2710"/>
      <c r="I27" s="2710"/>
      <c r="J27" s="2588"/>
      <c r="K27" s="3099"/>
      <c r="L27" s="3100"/>
      <c r="M27" s="3100"/>
      <c r="N27" s="2589"/>
      <c r="O27" s="3100"/>
      <c r="P27" s="2589"/>
      <c r="Q27" s="2588"/>
      <c r="R27" s="2588"/>
      <c r="S27" s="2588"/>
      <c r="T27" s="2588"/>
      <c r="U27" s="2588"/>
      <c r="V27" s="2588"/>
    </row>
    <row r="28" spans="1:28">
      <c r="A28" s="3315"/>
      <c r="B28" s="1806" t="s">
        <v>387</v>
      </c>
      <c r="C28" s="3070"/>
      <c r="D28" s="3071"/>
      <c r="E28" s="2710"/>
      <c r="F28" s="2710"/>
      <c r="G28" s="2710"/>
      <c r="H28" s="2710"/>
      <c r="I28" s="2710"/>
      <c r="J28" s="2588"/>
      <c r="K28" s="3095"/>
      <c r="L28" s="3093"/>
      <c r="M28" s="3093"/>
      <c r="N28" s="2588"/>
      <c r="O28" s="3094"/>
      <c r="P28" s="2588"/>
      <c r="Q28" s="2588"/>
      <c r="R28" s="2588"/>
      <c r="S28" s="2588"/>
      <c r="T28" s="2588"/>
      <c r="U28" s="2588"/>
      <c r="V28" s="2588"/>
    </row>
    <row r="29" spans="1:28">
      <c r="A29" s="3315"/>
      <c r="B29" s="1806" t="s">
        <v>388</v>
      </c>
      <c r="C29" s="3072"/>
      <c r="D29" s="3073"/>
      <c r="E29" s="2710"/>
      <c r="F29" s="2710"/>
      <c r="G29" s="2710"/>
      <c r="H29" s="2710"/>
      <c r="I29" s="2710"/>
      <c r="J29" s="2588"/>
      <c r="K29" s="3095"/>
      <c r="L29" s="3093"/>
      <c r="M29" s="3093"/>
      <c r="N29" s="2588"/>
      <c r="O29" s="3094"/>
      <c r="P29" s="2588"/>
      <c r="Q29" s="2588"/>
      <c r="R29" s="2588"/>
      <c r="S29" s="2588"/>
      <c r="T29" s="2588"/>
      <c r="U29" s="2588"/>
      <c r="V29" s="2588"/>
    </row>
    <row r="30" spans="1:28">
      <c r="A30" s="3316"/>
      <c r="B30" s="1806" t="s">
        <v>389</v>
      </c>
      <c r="C30" s="3312"/>
      <c r="D30" s="3313"/>
      <c r="E30" s="2710"/>
      <c r="F30" s="2710"/>
      <c r="G30" s="2710"/>
      <c r="H30" s="2710"/>
      <c r="I30" s="2710"/>
      <c r="J30" s="2588"/>
      <c r="K30" s="3095"/>
      <c r="L30" s="3093"/>
      <c r="M30" s="3093"/>
      <c r="N30" s="2588"/>
      <c r="O30" s="3094"/>
      <c r="P30" s="2588"/>
      <c r="Q30" s="2588"/>
      <c r="R30" s="2588"/>
      <c r="S30" s="2588"/>
      <c r="T30" s="2588"/>
      <c r="U30" s="2588"/>
      <c r="V30" s="2588"/>
    </row>
    <row r="31" spans="1:28">
      <c r="A31" s="3317" t="s">
        <v>390</v>
      </c>
      <c r="B31" s="3074"/>
      <c r="C31" s="1959" t="str">
        <f>IF(B31="现房","成新及维护状况正常否",IF(B31="在建","工程状态是否正常",IF(B31="土地","是否闲置","-")))</f>
        <v>-</v>
      </c>
      <c r="D31" s="2208"/>
      <c r="E31" s="3075"/>
      <c r="F31" s="2710"/>
      <c r="G31" s="2710"/>
      <c r="H31" s="2710"/>
      <c r="I31" s="2710"/>
      <c r="J31" s="2588"/>
      <c r="K31" s="3092"/>
      <c r="L31" s="3093"/>
      <c r="M31" s="3093"/>
      <c r="N31" s="2588"/>
      <c r="O31" s="3094"/>
      <c r="P31" s="2588"/>
      <c r="Q31" s="2588"/>
      <c r="R31" s="2588"/>
      <c r="S31" s="2588"/>
      <c r="T31" s="2588"/>
      <c r="U31" s="2588"/>
      <c r="V31" s="2588"/>
    </row>
    <row r="32" spans="1:28">
      <c r="A32" s="3318"/>
      <c r="B32" s="3074"/>
      <c r="C32" s="1959" t="str">
        <f>IF(B32="现房","成新及维护状况是否正常",IF(B32="在建","工程状态是否正常",IF(B32="土地","是否闲置","-")))</f>
        <v>-</v>
      </c>
      <c r="D32" s="2208"/>
      <c r="E32" s="3075"/>
      <c r="F32" s="2710"/>
      <c r="G32" s="2710"/>
      <c r="H32" s="2710"/>
      <c r="I32" s="2710"/>
      <c r="J32" s="2588"/>
      <c r="K32" s="3095"/>
      <c r="L32" s="3093"/>
      <c r="M32" s="3093"/>
      <c r="N32" s="2588"/>
      <c r="O32" s="3094"/>
      <c r="P32" s="2588"/>
      <c r="Q32" s="2588"/>
      <c r="R32" s="2588"/>
      <c r="S32" s="2588"/>
      <c r="T32" s="2588"/>
      <c r="U32" s="2588"/>
      <c r="V32" s="2588"/>
    </row>
    <row r="33" spans="1:30">
      <c r="A33" s="3318"/>
      <c r="B33" s="3076"/>
      <c r="C33" s="2340" t="str">
        <f>IF(B33="现房","成新及维护状况是否正常",IF(B33="在建","工程状态是否正常",IF(B33="土地","是否闲置","-")))</f>
        <v>-</v>
      </c>
      <c r="D33" s="1815"/>
      <c r="E33" s="3077"/>
      <c r="F33" s="2710"/>
      <c r="G33" s="2710"/>
      <c r="H33" s="2710"/>
      <c r="I33" s="2710"/>
      <c r="J33" s="2588"/>
      <c r="K33" s="3095"/>
      <c r="L33" s="3093"/>
      <c r="M33" s="3093"/>
      <c r="N33" s="2588"/>
      <c r="O33" s="3094"/>
      <c r="P33" s="2588"/>
      <c r="Q33" s="2588"/>
      <c r="R33" s="2588"/>
      <c r="S33" s="2588"/>
      <c r="T33" s="2588"/>
      <c r="U33" s="2588"/>
      <c r="V33" s="2588"/>
    </row>
    <row r="34" spans="1:30">
      <c r="A34" s="1806" t="s">
        <v>391</v>
      </c>
      <c r="B34" s="620"/>
      <c r="C34" s="620"/>
      <c r="D34" s="620"/>
      <c r="E34" s="620"/>
      <c r="F34" s="620"/>
      <c r="G34" s="620"/>
      <c r="H34" s="620"/>
      <c r="I34" s="2710"/>
      <c r="J34" s="2588"/>
      <c r="K34" s="296">
        <f>COUNTIF(B34:H34,"——")</f>
        <v>0</v>
      </c>
      <c r="L34" s="1847" t="s">
        <v>392</v>
      </c>
      <c r="M34" s="1847" t="s">
        <v>393</v>
      </c>
      <c r="N34" s="1847" t="s">
        <v>394</v>
      </c>
      <c r="O34" s="1847" t="s">
        <v>395</v>
      </c>
      <c r="P34" s="1847" t="s">
        <v>396</v>
      </c>
      <c r="Q34" s="1847" t="s">
        <v>397</v>
      </c>
      <c r="R34" s="1847" t="s">
        <v>398</v>
      </c>
      <c r="S34" s="3307" t="s">
        <v>399</v>
      </c>
      <c r="T34" s="3114" t="str">
        <f>NUMBERSTRING(7-K34,1)&amp;"通"</f>
        <v>七通</v>
      </c>
      <c r="U34" s="2588"/>
      <c r="V34" s="2588"/>
    </row>
    <row r="35" spans="1:30">
      <c r="A35" s="3078"/>
      <c r="B35" s="3314" t="s">
        <v>400</v>
      </c>
      <c r="C35" s="3314"/>
      <c r="D35" s="3314"/>
      <c r="E35" s="3314"/>
      <c r="F35" s="354">
        <f>C10</f>
        <v>0</v>
      </c>
      <c r="G35" s="2710"/>
      <c r="H35" s="2710"/>
      <c r="I35" s="2710"/>
      <c r="J35" s="2588"/>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307"/>
      <c r="T35" s="1849" t="str">
        <f>IF(T34="一通",L35,IF(T34="二通",M35,IF(T34="三通",N35,IF(T34="四通",O35,IF(T34="五通",P35,IF(T34="六通",Q35,R35))))))</f>
        <v>、、、、、、</v>
      </c>
      <c r="U35" s="2588"/>
      <c r="V35" s="2588"/>
    </row>
    <row r="36" spans="1:30">
      <c r="A36" s="3079"/>
      <c r="B36" s="354" t="s">
        <v>350</v>
      </c>
      <c r="C36" s="354" t="s">
        <v>351</v>
      </c>
      <c r="D36" s="354" t="s">
        <v>349</v>
      </c>
      <c r="E36" s="354" t="s">
        <v>354</v>
      </c>
      <c r="F36" s="3080"/>
      <c r="G36" s="2710"/>
      <c r="H36" s="2710"/>
      <c r="I36" s="2710"/>
      <c r="J36" s="2588"/>
      <c r="K36" s="3095"/>
      <c r="L36" s="3093"/>
      <c r="M36" s="3093"/>
      <c r="N36" s="2588"/>
      <c r="O36" s="3094"/>
      <c r="P36" s="2588"/>
      <c r="Q36" s="2588"/>
      <c r="R36" s="2588"/>
      <c r="S36" s="2588"/>
      <c r="T36" s="2588"/>
      <c r="U36" s="2588"/>
      <c r="V36" s="2588"/>
    </row>
    <row r="37" spans="1:30">
      <c r="A37" s="3081" t="s">
        <v>401</v>
      </c>
      <c r="B37" s="3082"/>
      <c r="C37" s="3082" t="s">
        <v>241</v>
      </c>
      <c r="D37" s="3082"/>
      <c r="E37" s="3082"/>
      <c r="F37" s="3080"/>
      <c r="G37" s="2710"/>
      <c r="H37" s="2710"/>
      <c r="I37" s="2710"/>
      <c r="J37" s="2588"/>
      <c r="K37" s="3095"/>
      <c r="L37" s="3093"/>
      <c r="M37" s="3093"/>
      <c r="N37" s="2588"/>
      <c r="O37" s="3094"/>
      <c r="P37" s="2588"/>
      <c r="Q37" s="2588"/>
      <c r="R37" s="2588"/>
      <c r="S37" s="2588"/>
      <c r="T37" s="2588"/>
      <c r="U37" s="2588"/>
      <c r="V37" s="2588"/>
    </row>
    <row r="38" spans="1:30">
      <c r="A38" s="3083" t="s">
        <v>402</v>
      </c>
      <c r="B38" s="3084"/>
      <c r="C38" s="3084" t="s">
        <v>403</v>
      </c>
      <c r="D38" s="3084"/>
      <c r="E38" s="3084"/>
      <c r="F38" s="3085"/>
      <c r="G38" s="3020"/>
      <c r="H38" s="3020"/>
      <c r="I38" s="3020"/>
      <c r="J38" s="2588"/>
      <c r="K38" s="3095"/>
      <c r="L38" s="3093"/>
      <c r="M38" s="3093"/>
      <c r="N38" s="2588"/>
      <c r="O38" s="3094"/>
      <c r="P38" s="2588"/>
      <c r="Q38" s="2588"/>
      <c r="R38" s="2588"/>
      <c r="S38" s="2588"/>
      <c r="T38" s="2588"/>
      <c r="U38" s="2588"/>
      <c r="V38" s="2588"/>
    </row>
    <row r="39" spans="1:30" s="2987" customFormat="1">
      <c r="A39" s="3086" t="s">
        <v>404</v>
      </c>
      <c r="B39" s="3087"/>
      <c r="C39" s="3087"/>
      <c r="D39" s="3087"/>
      <c r="E39" s="3087"/>
      <c r="F39" s="3087"/>
      <c r="G39" s="3087"/>
      <c r="H39" s="3087"/>
      <c r="I39" s="3087"/>
      <c r="J39" s="3105"/>
      <c r="K39" s="3106"/>
      <c r="L39" s="3105"/>
      <c r="M39" s="3105"/>
      <c r="N39" s="3105"/>
      <c r="O39" s="3107"/>
      <c r="P39" s="3105"/>
      <c r="Q39" s="3105"/>
      <c r="R39" s="3105"/>
      <c r="S39" s="3105"/>
      <c r="T39" s="3105"/>
      <c r="U39" s="3105"/>
      <c r="V39" s="3105"/>
      <c r="W39" s="3115"/>
      <c r="X39" s="3115"/>
      <c r="Y39" s="3115"/>
      <c r="Z39" s="3115"/>
      <c r="AA39" s="3115"/>
      <c r="AB39" s="3115"/>
      <c r="AC39" s="3115"/>
      <c r="AD39" s="3115"/>
    </row>
    <row r="40" spans="1:30">
      <c r="A40" s="3032"/>
      <c r="B40" s="3032"/>
      <c r="C40" s="3032"/>
      <c r="D40" s="3032"/>
      <c r="E40" s="3032"/>
      <c r="F40" s="3032"/>
      <c r="G40" s="3032"/>
      <c r="H40" s="3032"/>
      <c r="I40" s="2360"/>
      <c r="J40" s="2589"/>
      <c r="K40" s="3092"/>
      <c r="L40" s="3100"/>
      <c r="M40" s="3100"/>
      <c r="N40" s="2589"/>
      <c r="O40" s="3100"/>
      <c r="P40" s="2588"/>
      <c r="Q40" s="2588"/>
      <c r="R40" s="2588"/>
      <c r="S40" s="2588"/>
      <c r="T40" s="2588"/>
      <c r="U40" s="2588"/>
      <c r="V40" s="2588"/>
    </row>
    <row r="41" spans="1:30">
      <c r="A41" s="3088" t="s">
        <v>405</v>
      </c>
      <c r="B41" s="2246"/>
      <c r="C41" s="2208"/>
      <c r="D41" s="3032"/>
      <c r="E41" s="3032"/>
      <c r="F41" s="3032"/>
      <c r="G41" s="3032"/>
      <c r="H41" s="3032"/>
      <c r="I41" s="2899"/>
      <c r="J41" s="2588"/>
      <c r="K41" s="3095"/>
      <c r="L41" s="3093"/>
      <c r="M41" s="3093"/>
      <c r="N41" s="2588"/>
      <c r="O41" s="3094"/>
      <c r="P41" s="2588"/>
      <c r="Q41" s="2588"/>
      <c r="R41" s="2588"/>
      <c r="S41" s="2588"/>
      <c r="T41" s="2588"/>
      <c r="U41" s="2588"/>
      <c r="V41" s="2588"/>
    </row>
    <row r="42" spans="1:30" ht="25.2">
      <c r="A42" s="1847" t="s">
        <v>406</v>
      </c>
      <c r="B42" s="296" t="s">
        <v>407</v>
      </c>
      <c r="C42" s="296" t="s">
        <v>408</v>
      </c>
      <c r="D42" s="296" t="s">
        <v>409</v>
      </c>
      <c r="E42" s="296" t="s">
        <v>410</v>
      </c>
      <c r="F42" s="296" t="s">
        <v>411</v>
      </c>
      <c r="G42" s="296" t="s">
        <v>412</v>
      </c>
      <c r="H42" s="296" t="s">
        <v>413</v>
      </c>
      <c r="I42" s="296" t="s">
        <v>414</v>
      </c>
      <c r="J42" s="3108" t="s">
        <v>415</v>
      </c>
      <c r="K42" s="3109" t="s">
        <v>416</v>
      </c>
      <c r="L42" s="3109" t="s">
        <v>417</v>
      </c>
      <c r="M42" s="3109" t="s">
        <v>418</v>
      </c>
      <c r="N42" s="3110" t="s">
        <v>419</v>
      </c>
      <c r="O42" s="3110" t="s">
        <v>420</v>
      </c>
      <c r="P42" s="3110" t="s">
        <v>421</v>
      </c>
      <c r="Q42" s="3116" t="s">
        <v>422</v>
      </c>
      <c r="R42" s="3116" t="s">
        <v>423</v>
      </c>
      <c r="S42" s="2588"/>
      <c r="T42" s="2588"/>
      <c r="U42" s="2588"/>
      <c r="V42" s="2588"/>
    </row>
    <row r="43" spans="1:30" s="2800" customFormat="1">
      <c r="A43" s="2924"/>
      <c r="B43" s="2920"/>
      <c r="C43" s="2920"/>
      <c r="D43" s="2920"/>
      <c r="E43" s="2920"/>
      <c r="F43" s="2920"/>
      <c r="G43" s="2920"/>
      <c r="H43" s="2920"/>
      <c r="I43" s="2920"/>
      <c r="J43" s="3111"/>
      <c r="K43" s="3112"/>
      <c r="L43" s="3112"/>
      <c r="M43" s="2920"/>
      <c r="N43" s="2920"/>
      <c r="O43" s="2920"/>
      <c r="P43" s="2920"/>
      <c r="Q43" s="2920"/>
      <c r="R43" s="2920"/>
      <c r="S43" s="2588"/>
      <c r="T43" s="2588"/>
      <c r="U43" s="2588"/>
      <c r="V43" s="2588"/>
    </row>
    <row r="44" spans="1:30" s="2800" customFormat="1">
      <c r="A44" s="2924"/>
      <c r="B44" s="2924"/>
      <c r="C44" s="2920"/>
      <c r="D44" s="2920"/>
      <c r="E44" s="2920"/>
      <c r="F44" s="2920"/>
      <c r="G44" s="2920"/>
      <c r="H44" s="2920"/>
      <c r="I44" s="2920"/>
      <c r="J44" s="3111"/>
      <c r="K44" s="3112"/>
      <c r="L44" s="3112"/>
      <c r="M44" s="2920"/>
      <c r="N44" s="2920"/>
      <c r="O44" s="2920"/>
      <c r="P44" s="2920"/>
      <c r="Q44" s="2920"/>
      <c r="R44" s="2920"/>
      <c r="S44" s="2588"/>
      <c r="T44" s="2588"/>
      <c r="U44" s="2588"/>
      <c r="V44" s="2588"/>
    </row>
    <row r="45" spans="1:30" s="2800" customFormat="1">
      <c r="A45" s="2924"/>
      <c r="B45" s="2924"/>
      <c r="C45" s="2920"/>
      <c r="D45" s="2920"/>
      <c r="E45" s="2920"/>
      <c r="F45" s="2920"/>
      <c r="G45" s="2920"/>
      <c r="H45" s="2920"/>
      <c r="I45" s="2920"/>
      <c r="J45" s="3111"/>
      <c r="K45" s="3112"/>
      <c r="L45" s="3112"/>
      <c r="M45" s="2920"/>
      <c r="N45" s="2920"/>
      <c r="O45" s="2920"/>
      <c r="P45" s="2920"/>
      <c r="Q45" s="2920"/>
      <c r="R45" s="2920"/>
      <c r="S45" s="2588"/>
      <c r="T45" s="2588"/>
      <c r="U45" s="2588"/>
      <c r="V45" s="2588"/>
    </row>
    <row r="46" spans="1:30" s="2800" customFormat="1">
      <c r="A46" s="2924"/>
      <c r="B46" s="2924"/>
      <c r="C46" s="2920"/>
      <c r="D46" s="2920"/>
      <c r="E46" s="2920"/>
      <c r="F46" s="2920"/>
      <c r="G46" s="2920"/>
      <c r="H46" s="2920"/>
      <c r="I46" s="2920"/>
      <c r="J46" s="3111"/>
      <c r="K46" s="3112"/>
      <c r="L46" s="3112"/>
      <c r="M46" s="2920"/>
      <c r="N46" s="2920"/>
      <c r="O46" s="2920"/>
      <c r="P46" s="2920"/>
      <c r="Q46" s="2920"/>
      <c r="R46" s="2920"/>
      <c r="S46" s="2588"/>
      <c r="T46" s="2588"/>
      <c r="U46" s="2588"/>
      <c r="V46" s="2588"/>
    </row>
    <row r="47" spans="1:30" s="2800" customFormat="1">
      <c r="A47" s="2924"/>
      <c r="B47" s="2924"/>
      <c r="C47" s="2920"/>
      <c r="D47" s="2920"/>
      <c r="E47" s="2920"/>
      <c r="F47" s="2920"/>
      <c r="G47" s="2920"/>
      <c r="H47" s="2920"/>
      <c r="I47" s="2920"/>
      <c r="J47" s="3111"/>
      <c r="K47" s="3112"/>
      <c r="L47" s="3112"/>
      <c r="M47" s="2920"/>
      <c r="N47" s="2920"/>
      <c r="O47" s="2920"/>
      <c r="P47" s="2920"/>
      <c r="Q47" s="2920"/>
      <c r="R47" s="2920"/>
      <c r="S47" s="2588"/>
      <c r="T47" s="2588"/>
      <c r="U47" s="2588"/>
      <c r="V47" s="2588"/>
    </row>
    <row r="48" spans="1:30" s="2800" customFormat="1">
      <c r="A48" s="2924"/>
      <c r="B48" s="2924"/>
      <c r="C48" s="2920"/>
      <c r="D48" s="2920"/>
      <c r="E48" s="2920"/>
      <c r="F48" s="2920"/>
      <c r="G48" s="2920"/>
      <c r="H48" s="2920"/>
      <c r="I48" s="2920"/>
      <c r="J48" s="3111"/>
      <c r="K48" s="3112"/>
      <c r="L48" s="3112"/>
      <c r="M48" s="2920"/>
      <c r="N48" s="2920"/>
      <c r="O48" s="2920"/>
      <c r="P48" s="2920"/>
      <c r="Q48" s="2920"/>
      <c r="R48" s="2920"/>
      <c r="S48" s="2588"/>
      <c r="T48" s="2588"/>
      <c r="U48" s="2588"/>
      <c r="V48" s="2588"/>
    </row>
    <row r="49" spans="1:22" s="2800" customFormat="1">
      <c r="A49" s="2924"/>
      <c r="B49" s="2924"/>
      <c r="C49" s="2920"/>
      <c r="D49" s="2920"/>
      <c r="E49" s="2920"/>
      <c r="F49" s="2920"/>
      <c r="G49" s="2920"/>
      <c r="H49" s="2920"/>
      <c r="I49" s="2920"/>
      <c r="J49" s="3111"/>
      <c r="K49" s="3112"/>
      <c r="L49" s="3112"/>
      <c r="M49" s="2920"/>
      <c r="N49" s="2920"/>
      <c r="O49" s="2920"/>
      <c r="P49" s="2920"/>
      <c r="Q49" s="2920"/>
      <c r="R49" s="2920"/>
      <c r="S49" s="2588"/>
      <c r="T49" s="2588"/>
      <c r="U49" s="2588"/>
      <c r="V49" s="2588"/>
    </row>
    <row r="50" spans="1:22" s="2800" customFormat="1">
      <c r="A50" s="2924"/>
      <c r="B50" s="2924"/>
      <c r="C50" s="2920"/>
      <c r="D50" s="2920"/>
      <c r="E50" s="2920"/>
      <c r="F50" s="2920"/>
      <c r="G50" s="2920"/>
      <c r="H50" s="2920"/>
      <c r="I50" s="2920"/>
      <c r="J50" s="3111"/>
      <c r="K50" s="3112"/>
      <c r="L50" s="3112"/>
      <c r="M50" s="2920"/>
      <c r="N50" s="2920"/>
      <c r="O50" s="2920"/>
      <c r="P50" s="2920"/>
      <c r="Q50" s="2920"/>
      <c r="R50" s="2920"/>
      <c r="S50" s="2588"/>
      <c r="T50" s="2588"/>
      <c r="U50" s="2588"/>
      <c r="V50" s="2588"/>
    </row>
    <row r="51" spans="1:22" s="2800" customFormat="1">
      <c r="A51" s="2924"/>
      <c r="B51" s="2924"/>
      <c r="C51" s="2920"/>
      <c r="D51" s="2920"/>
      <c r="E51" s="2920"/>
      <c r="F51" s="2920"/>
      <c r="G51" s="2920"/>
      <c r="H51" s="2920"/>
      <c r="I51" s="2920"/>
      <c r="J51" s="3111"/>
      <c r="K51" s="3112"/>
      <c r="L51" s="3112"/>
      <c r="M51" s="2920"/>
      <c r="N51" s="2920"/>
      <c r="O51" s="2920"/>
      <c r="P51" s="2920"/>
      <c r="Q51" s="2920"/>
      <c r="R51" s="2920"/>
    </row>
    <row r="52" spans="1:22" s="2800" customFormat="1">
      <c r="A52" s="2924"/>
      <c r="B52" s="2924"/>
      <c r="C52" s="2924"/>
      <c r="D52" s="2924"/>
      <c r="E52" s="2924"/>
      <c r="F52" s="2920"/>
      <c r="G52" s="2924"/>
      <c r="H52" s="2924"/>
      <c r="I52" s="2924"/>
      <c r="J52" s="3113"/>
      <c r="K52" s="3112"/>
      <c r="L52" s="3112"/>
      <c r="M52" s="3112"/>
      <c r="N52" s="2924"/>
      <c r="O52" s="2924"/>
      <c r="P52" s="2924"/>
      <c r="Q52" s="2924"/>
      <c r="R52" s="2924"/>
    </row>
    <row r="53" spans="1:22" s="2800" customFormat="1">
      <c r="A53" s="2924"/>
      <c r="B53" s="2924"/>
      <c r="C53" s="2924"/>
      <c r="D53" s="2924"/>
      <c r="E53" s="2924"/>
      <c r="F53" s="2920"/>
      <c r="G53" s="2924"/>
      <c r="H53" s="2924"/>
      <c r="I53" s="2924"/>
      <c r="J53" s="3113"/>
      <c r="K53" s="3112"/>
      <c r="L53" s="3112"/>
      <c r="M53" s="3112"/>
      <c r="N53" s="2924"/>
      <c r="O53" s="2924"/>
      <c r="P53" s="2924"/>
      <c r="Q53" s="2924"/>
      <c r="R53" s="2924"/>
    </row>
    <row r="54" spans="1:22" s="2800" customFormat="1">
      <c r="A54" s="2924"/>
      <c r="B54" s="2924"/>
      <c r="C54" s="2924"/>
      <c r="D54" s="2924"/>
      <c r="E54" s="2924"/>
      <c r="F54" s="2920"/>
      <c r="G54" s="2924"/>
      <c r="H54" s="2924"/>
      <c r="I54" s="2924"/>
      <c r="J54" s="3113"/>
      <c r="K54" s="3112"/>
      <c r="L54" s="3112"/>
      <c r="M54" s="3112"/>
      <c r="N54" s="2924"/>
      <c r="O54" s="2924"/>
      <c r="P54" s="2924"/>
      <c r="Q54" s="2924"/>
      <c r="R54" s="2924"/>
    </row>
    <row r="55" spans="1:22" s="2800" customFormat="1">
      <c r="A55" s="2924"/>
      <c r="B55" s="2924"/>
      <c r="C55" s="2924"/>
      <c r="D55" s="2924"/>
      <c r="E55" s="2924"/>
      <c r="F55" s="2920"/>
      <c r="G55" s="2924"/>
      <c r="H55" s="2924"/>
      <c r="I55" s="2924"/>
      <c r="J55" s="3113"/>
      <c r="K55" s="3112"/>
      <c r="L55" s="3112"/>
      <c r="M55" s="3112"/>
      <c r="N55" s="2924"/>
      <c r="O55" s="2924"/>
      <c r="P55" s="2924"/>
      <c r="Q55" s="2924"/>
      <c r="R55" s="2924"/>
    </row>
    <row r="56" spans="1:22" s="2800" customFormat="1">
      <c r="A56" s="2924"/>
      <c r="B56" s="2924"/>
      <c r="C56" s="2924"/>
      <c r="D56" s="2924"/>
      <c r="E56" s="2924"/>
      <c r="F56" s="2920"/>
      <c r="G56" s="2924"/>
      <c r="H56" s="2924"/>
      <c r="I56" s="2924"/>
      <c r="J56" s="3113"/>
      <c r="K56" s="3112"/>
      <c r="L56" s="3112"/>
      <c r="M56" s="3112"/>
      <c r="N56" s="2924"/>
      <c r="O56" s="2924"/>
      <c r="P56" s="2924"/>
      <c r="Q56" s="2924"/>
      <c r="R56" s="292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5" sqref="C15"/>
    </sheetView>
  </sheetViews>
  <sheetFormatPr defaultColWidth="8.88671875" defaultRowHeight="13.8"/>
  <cols>
    <col min="1" max="1" width="10.6640625" style="2896" customWidth="1"/>
    <col min="2" max="2" width="11" style="2896" customWidth="1"/>
    <col min="3" max="3" width="10.33203125" style="2896" customWidth="1"/>
    <col min="4" max="4" width="9.109375" style="2896" customWidth="1"/>
    <col min="5" max="6" width="10" style="2894" customWidth="1"/>
    <col min="7" max="8" width="10" style="2896" customWidth="1"/>
    <col min="9" max="9" width="10.6640625" style="2896" customWidth="1"/>
    <col min="10" max="10" width="9.44140625" style="2896" customWidth="1"/>
    <col min="11" max="11" width="11" style="2896" customWidth="1"/>
    <col min="12" max="14" width="9.44140625" style="2896" customWidth="1"/>
    <col min="15" max="15" width="9.88671875" style="2896" customWidth="1"/>
    <col min="16" max="16" width="9.77734375" style="2896" customWidth="1"/>
    <col min="17" max="17" width="9.33203125" style="2896" customWidth="1"/>
    <col min="18" max="18" width="9.21875" style="2896" customWidth="1"/>
    <col min="19" max="19" width="10.88671875" style="2896" customWidth="1"/>
    <col min="20" max="21" width="10.77734375" style="2896" customWidth="1"/>
    <col min="22" max="22" width="10.88671875" style="2896" customWidth="1"/>
    <col min="23" max="27" width="10.77734375" style="2896" customWidth="1"/>
    <col min="28" max="28" width="10.88671875" style="2896" customWidth="1"/>
    <col min="29" max="29" width="11" style="2896" customWidth="1"/>
    <col min="30" max="30" width="10" style="2896" customWidth="1"/>
    <col min="31" max="31" width="9.77734375" style="2896" customWidth="1"/>
    <col min="32" max="46" width="9.44140625" style="2896" customWidth="1"/>
    <col min="47" max="47" width="18.109375" style="2896" customWidth="1"/>
    <col min="48" max="50" width="9.77734375" style="2896" customWidth="1"/>
    <col min="51" max="55" width="10.44140625" style="2896" customWidth="1"/>
    <col min="56" max="56" width="9.44140625" style="2896" customWidth="1"/>
    <col min="57" max="63" width="9.109375" style="2896" customWidth="1"/>
    <col min="64" max="64" width="9.44140625" style="2896" customWidth="1"/>
    <col min="65" max="65" width="9.109375" style="2896" customWidth="1"/>
    <col min="66" max="66" width="9.44140625" style="2896" customWidth="1"/>
    <col min="67" max="69" width="9.109375" style="2896" customWidth="1"/>
    <col min="70" max="70" width="9.44140625" style="2896" customWidth="1"/>
    <col min="71" max="71" width="9" style="2896" customWidth="1"/>
    <col min="72" max="72" width="9.109375" style="2896" customWidth="1"/>
    <col min="73" max="16384" width="8.88671875" style="2896"/>
  </cols>
  <sheetData>
    <row r="1" spans="1:72" ht="21">
      <c r="A1" s="2897" t="s">
        <v>424</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8"/>
      <c r="AH1" s="2898"/>
      <c r="AI1" s="2898"/>
      <c r="AJ1" s="2898"/>
      <c r="AK1" s="2898"/>
      <c r="AL1" s="2898"/>
      <c r="AM1" s="2898"/>
      <c r="AN1" s="2898"/>
      <c r="AO1" s="2898"/>
      <c r="AP1" s="2898"/>
      <c r="AQ1" s="2898"/>
      <c r="AR1" s="2898"/>
      <c r="AS1" s="2898"/>
      <c r="AT1" s="2898"/>
      <c r="AU1" s="2898"/>
      <c r="AV1" s="2950" t="s">
        <v>425</v>
      </c>
      <c r="AW1" s="2898"/>
      <c r="AX1" s="2898"/>
      <c r="AY1" s="2898"/>
      <c r="AZ1" s="2898"/>
      <c r="BA1" s="2898"/>
      <c r="BB1" s="2898"/>
      <c r="BC1" s="2898"/>
      <c r="BD1" s="2898"/>
      <c r="BE1" s="2898"/>
      <c r="BF1" s="2898"/>
      <c r="BG1" s="2898"/>
      <c r="BH1" s="2898"/>
      <c r="BI1" s="2898"/>
      <c r="BJ1" s="2898"/>
      <c r="BK1" s="2898"/>
      <c r="BL1" s="2898"/>
      <c r="BM1" s="2898"/>
      <c r="BN1" s="2898"/>
      <c r="BO1" s="2898"/>
      <c r="BP1" s="2898"/>
      <c r="BQ1" s="2898"/>
      <c r="BR1" s="2898"/>
      <c r="BS1" s="2898"/>
      <c r="BT1" s="2898"/>
    </row>
    <row r="2" spans="1:72" s="2891" customFormat="1" ht="24">
      <c r="A2" s="296" t="s">
        <v>365</v>
      </c>
      <c r="B2" s="296" t="s">
        <v>361</v>
      </c>
      <c r="C2" s="296" t="s">
        <v>426</v>
      </c>
      <c r="D2" s="2899"/>
      <c r="E2" s="2320"/>
      <c r="F2" s="2360"/>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960" t="s">
        <v>427</v>
      </c>
      <c r="AZ2" s="2961" t="s">
        <v>428</v>
      </c>
      <c r="BA2" s="296" t="s">
        <v>429</v>
      </c>
      <c r="BB2" s="2899"/>
      <c r="BC2" s="2899"/>
      <c r="BD2" s="2899"/>
      <c r="BE2" s="2899"/>
      <c r="BF2" s="2899"/>
      <c r="BG2" s="2899"/>
      <c r="BH2" s="2899"/>
      <c r="BI2" s="2899"/>
      <c r="BJ2" s="2899"/>
      <c r="BK2" s="2899"/>
      <c r="BL2" s="2899"/>
      <c r="BM2" s="2899"/>
      <c r="BN2" s="2899"/>
      <c r="BO2" s="2899"/>
      <c r="BP2" s="2899"/>
      <c r="BQ2" s="2899"/>
      <c r="BR2" s="2899"/>
      <c r="BS2" s="2899"/>
      <c r="BT2" s="2899"/>
    </row>
    <row r="3" spans="1:72" s="2891" customFormat="1" ht="13.2">
      <c r="A3" s="2900">
        <v>756.32</v>
      </c>
      <c r="B3" s="2901">
        <f>IF(C3="否",G5-AT5,G5)</f>
        <v>5858.09</v>
      </c>
      <c r="C3" s="2902" t="s">
        <v>430</v>
      </c>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2962"/>
      <c r="AZ3" s="2920"/>
      <c r="BA3" s="2963"/>
      <c r="BB3" s="2899"/>
      <c r="BC3" s="2899"/>
      <c r="BD3" s="2899"/>
      <c r="BE3" s="2899"/>
      <c r="BF3" s="2899"/>
      <c r="BG3" s="2899"/>
      <c r="BH3" s="2899"/>
      <c r="BI3" s="2899"/>
      <c r="BJ3" s="2899"/>
      <c r="BK3" s="2899"/>
      <c r="BL3" s="2899"/>
      <c r="BM3" s="2899"/>
      <c r="BN3" s="2899"/>
      <c r="BO3" s="2899"/>
      <c r="BP3" s="2899"/>
      <c r="BQ3" s="2899"/>
      <c r="BR3" s="2899"/>
      <c r="BS3" s="2899"/>
      <c r="BT3" s="2899"/>
    </row>
    <row r="4" spans="1:72" s="2892" customFormat="1" ht="13.2">
      <c r="A4" s="2903"/>
      <c r="B4" s="2904"/>
      <c r="C4" s="2905"/>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964"/>
      <c r="BB4" s="2899"/>
      <c r="BC4" s="2899"/>
      <c r="BD4" s="2899"/>
      <c r="BE4" s="2899"/>
      <c r="BF4" s="2899"/>
      <c r="BG4" s="2899"/>
      <c r="BH4" s="2899"/>
      <c r="BI4" s="2899"/>
      <c r="BJ4" s="2899"/>
      <c r="BK4" s="2899"/>
      <c r="BL4" s="2899"/>
      <c r="BM4" s="2899"/>
      <c r="BN4" s="2899"/>
      <c r="BO4" s="2899"/>
      <c r="BP4" s="2899"/>
      <c r="BQ4" s="2899"/>
      <c r="BR4" s="2899"/>
      <c r="BS4" s="2899"/>
      <c r="BT4" s="2899"/>
    </row>
    <row r="5" spans="1:72" s="2891" customFormat="1" ht="13.2">
      <c r="A5" s="1959" t="s">
        <v>431</v>
      </c>
      <c r="B5" s="2243"/>
      <c r="C5" s="2243"/>
      <c r="D5" s="2372"/>
      <c r="E5" s="2906" t="s">
        <v>124</v>
      </c>
      <c r="F5" s="2906">
        <f>SUM(F13:F587)</f>
        <v>0</v>
      </c>
      <c r="G5" s="2906">
        <f>SUM(G13:G587)</f>
        <v>5858.09</v>
      </c>
      <c r="H5" s="2906">
        <f t="shared" ref="H5:AT5" si="0">SUM(H13:H656)</f>
        <v>5858.09</v>
      </c>
      <c r="I5" s="2906">
        <f t="shared" si="0"/>
        <v>5858.09</v>
      </c>
      <c r="J5" s="2906">
        <f t="shared" si="0"/>
        <v>0</v>
      </c>
      <c r="K5" s="2906">
        <f t="shared" si="0"/>
        <v>0</v>
      </c>
      <c r="L5" s="2906">
        <f t="shared" si="0"/>
        <v>0</v>
      </c>
      <c r="M5" s="2906">
        <f t="shared" si="0"/>
        <v>0</v>
      </c>
      <c r="N5" s="2906">
        <f t="shared" si="0"/>
        <v>0</v>
      </c>
      <c r="O5" s="2906">
        <f t="shared" si="0"/>
        <v>0</v>
      </c>
      <c r="P5" s="2906">
        <f t="shared" si="0"/>
        <v>0</v>
      </c>
      <c r="Q5" s="2906">
        <f t="shared" si="0"/>
        <v>0</v>
      </c>
      <c r="R5" s="2906">
        <f t="shared" si="0"/>
        <v>0</v>
      </c>
      <c r="S5" s="2906">
        <f t="shared" si="0"/>
        <v>0</v>
      </c>
      <c r="T5" s="2906">
        <f t="shared" si="0"/>
        <v>0</v>
      </c>
      <c r="U5" s="2906">
        <f t="shared" si="0"/>
        <v>0</v>
      </c>
      <c r="V5" s="2906">
        <f t="shared" si="0"/>
        <v>0</v>
      </c>
      <c r="W5" s="2906">
        <f t="shared" si="0"/>
        <v>0</v>
      </c>
      <c r="X5" s="2906">
        <f t="shared" si="0"/>
        <v>0</v>
      </c>
      <c r="Y5" s="2906">
        <f t="shared" si="0"/>
        <v>0</v>
      </c>
      <c r="Z5" s="2906">
        <f t="shared" si="0"/>
        <v>0</v>
      </c>
      <c r="AA5" s="2906">
        <f t="shared" si="0"/>
        <v>0</v>
      </c>
      <c r="AB5" s="2906">
        <f t="shared" si="0"/>
        <v>0</v>
      </c>
      <c r="AC5" s="2906">
        <f t="shared" si="0"/>
        <v>0</v>
      </c>
      <c r="AD5" s="2906">
        <f t="shared" si="0"/>
        <v>0</v>
      </c>
      <c r="AE5" s="2906">
        <f t="shared" si="0"/>
        <v>0</v>
      </c>
      <c r="AF5" s="2906">
        <f t="shared" si="0"/>
        <v>0</v>
      </c>
      <c r="AG5" s="2906">
        <f t="shared" si="0"/>
        <v>0</v>
      </c>
      <c r="AH5" s="2906">
        <f t="shared" si="0"/>
        <v>0</v>
      </c>
      <c r="AI5" s="2906">
        <f t="shared" si="0"/>
        <v>0</v>
      </c>
      <c r="AJ5" s="2906">
        <f t="shared" si="0"/>
        <v>0</v>
      </c>
      <c r="AK5" s="2906">
        <f t="shared" si="0"/>
        <v>0</v>
      </c>
      <c r="AL5" s="2906">
        <f t="shared" si="0"/>
        <v>0</v>
      </c>
      <c r="AM5" s="2906">
        <f t="shared" si="0"/>
        <v>0</v>
      </c>
      <c r="AN5" s="2906">
        <f t="shared" si="0"/>
        <v>0</v>
      </c>
      <c r="AO5" s="2906">
        <f t="shared" si="0"/>
        <v>0</v>
      </c>
      <c r="AP5" s="2906">
        <f t="shared" si="0"/>
        <v>0</v>
      </c>
      <c r="AQ5" s="2906">
        <f t="shared" si="0"/>
        <v>0</v>
      </c>
      <c r="AR5" s="2906">
        <f t="shared" si="0"/>
        <v>0</v>
      </c>
      <c r="AS5" s="2906">
        <f t="shared" si="0"/>
        <v>0</v>
      </c>
      <c r="AT5" s="2906">
        <f t="shared" si="0"/>
        <v>0</v>
      </c>
      <c r="AU5" s="2242"/>
      <c r="AV5" s="1959" t="s">
        <v>431</v>
      </c>
      <c r="AW5" s="2243"/>
      <c r="AX5" s="2243"/>
      <c r="AY5" s="2965" t="s">
        <v>124</v>
      </c>
      <c r="AZ5" s="2966">
        <f t="shared" ref="AZ5:BT5" si="1">SUM(AZ13:AZ656)</f>
        <v>5858.09</v>
      </c>
      <c r="BA5" s="2966">
        <f t="shared" si="1"/>
        <v>5858.09</v>
      </c>
      <c r="BB5" s="2966">
        <f t="shared" si="1"/>
        <v>5858.09</v>
      </c>
      <c r="BC5" s="2966">
        <f t="shared" si="1"/>
        <v>0</v>
      </c>
      <c r="BD5" s="2966">
        <f t="shared" si="1"/>
        <v>0</v>
      </c>
      <c r="BE5" s="2966">
        <f t="shared" si="1"/>
        <v>0</v>
      </c>
      <c r="BF5" s="2966">
        <f t="shared" si="1"/>
        <v>0</v>
      </c>
      <c r="BG5" s="2966">
        <f t="shared" si="1"/>
        <v>0</v>
      </c>
      <c r="BH5" s="2966">
        <f t="shared" si="1"/>
        <v>0</v>
      </c>
      <c r="BI5" s="2966">
        <f t="shared" si="1"/>
        <v>0</v>
      </c>
      <c r="BJ5" s="2966">
        <f t="shared" si="1"/>
        <v>0</v>
      </c>
      <c r="BK5" s="2966">
        <f t="shared" si="1"/>
        <v>0</v>
      </c>
      <c r="BL5" s="2966">
        <f t="shared" si="1"/>
        <v>0</v>
      </c>
      <c r="BM5" s="2966">
        <f t="shared" si="1"/>
        <v>0</v>
      </c>
      <c r="BN5" s="2966">
        <f t="shared" si="1"/>
        <v>0</v>
      </c>
      <c r="BO5" s="2966">
        <f t="shared" si="1"/>
        <v>0</v>
      </c>
      <c r="BP5" s="2966">
        <f t="shared" si="1"/>
        <v>0</v>
      </c>
      <c r="BQ5" s="2966">
        <f t="shared" si="1"/>
        <v>0</v>
      </c>
      <c r="BR5" s="2966">
        <f t="shared" si="1"/>
        <v>0</v>
      </c>
      <c r="BS5" s="2966">
        <f t="shared" si="1"/>
        <v>0</v>
      </c>
      <c r="BT5" s="2975">
        <f t="shared" si="1"/>
        <v>0</v>
      </c>
    </row>
    <row r="6" spans="1:72" s="2893" customFormat="1" ht="13.2">
      <c r="A6" s="1959" t="s">
        <v>432</v>
      </c>
      <c r="B6" s="2907"/>
      <c r="C6" s="2907"/>
      <c r="D6" s="2908"/>
      <c r="E6" s="2906">
        <f>H6+AC6+AT6</f>
        <v>756.32</v>
      </c>
      <c r="F6" s="2906" t="s">
        <v>124</v>
      </c>
      <c r="G6" s="2906" t="s">
        <v>124</v>
      </c>
      <c r="H6" s="2909">
        <f>SUMIF(I$12:AB$12,"总值",I6:AB6)</f>
        <v>756.32</v>
      </c>
      <c r="I6" s="2906">
        <f t="shared" ref="I6:AB6" si="2">ROUND($A$3*I5/$B$3,2)</f>
        <v>756.32</v>
      </c>
      <c r="J6" s="2906">
        <f t="shared" si="2"/>
        <v>0</v>
      </c>
      <c r="K6" s="2906">
        <f t="shared" si="2"/>
        <v>0</v>
      </c>
      <c r="L6" s="2906">
        <f t="shared" si="2"/>
        <v>0</v>
      </c>
      <c r="M6" s="2906">
        <f t="shared" si="2"/>
        <v>0</v>
      </c>
      <c r="N6" s="2906">
        <f t="shared" si="2"/>
        <v>0</v>
      </c>
      <c r="O6" s="2906">
        <f t="shared" si="2"/>
        <v>0</v>
      </c>
      <c r="P6" s="2906">
        <f t="shared" si="2"/>
        <v>0</v>
      </c>
      <c r="Q6" s="2906">
        <f t="shared" si="2"/>
        <v>0</v>
      </c>
      <c r="R6" s="2906">
        <f t="shared" si="2"/>
        <v>0</v>
      </c>
      <c r="S6" s="2906">
        <f t="shared" si="2"/>
        <v>0</v>
      </c>
      <c r="T6" s="2906">
        <f t="shared" si="2"/>
        <v>0</v>
      </c>
      <c r="U6" s="2906">
        <f t="shared" si="2"/>
        <v>0</v>
      </c>
      <c r="V6" s="2906">
        <f t="shared" si="2"/>
        <v>0</v>
      </c>
      <c r="W6" s="2906">
        <f t="shared" si="2"/>
        <v>0</v>
      </c>
      <c r="X6" s="2906">
        <f t="shared" si="2"/>
        <v>0</v>
      </c>
      <c r="Y6" s="2906">
        <f t="shared" si="2"/>
        <v>0</v>
      </c>
      <c r="Z6" s="2906">
        <f t="shared" si="2"/>
        <v>0</v>
      </c>
      <c r="AA6" s="2906">
        <f t="shared" si="2"/>
        <v>0</v>
      </c>
      <c r="AB6" s="2906">
        <f t="shared" si="2"/>
        <v>0</v>
      </c>
      <c r="AC6" s="2909">
        <f>SUMIF(AD$12:AS$12,"总值",AD6:AS6)</f>
        <v>0</v>
      </c>
      <c r="AD6" s="2906">
        <f t="shared" ref="AD6:AS6" si="3">ROUND($A$3*AD5/$B$3,2)</f>
        <v>0</v>
      </c>
      <c r="AE6" s="2906">
        <f t="shared" si="3"/>
        <v>0</v>
      </c>
      <c r="AF6" s="2906">
        <f t="shared" si="3"/>
        <v>0</v>
      </c>
      <c r="AG6" s="2906">
        <f t="shared" si="3"/>
        <v>0</v>
      </c>
      <c r="AH6" s="2906">
        <f t="shared" si="3"/>
        <v>0</v>
      </c>
      <c r="AI6" s="2906">
        <f t="shared" si="3"/>
        <v>0</v>
      </c>
      <c r="AJ6" s="2906">
        <f t="shared" si="3"/>
        <v>0</v>
      </c>
      <c r="AK6" s="2906">
        <f t="shared" si="3"/>
        <v>0</v>
      </c>
      <c r="AL6" s="2906">
        <f t="shared" si="3"/>
        <v>0</v>
      </c>
      <c r="AM6" s="2906">
        <f t="shared" si="3"/>
        <v>0</v>
      </c>
      <c r="AN6" s="2906">
        <f t="shared" si="3"/>
        <v>0</v>
      </c>
      <c r="AO6" s="2906">
        <f t="shared" si="3"/>
        <v>0</v>
      </c>
      <c r="AP6" s="2906">
        <f t="shared" si="3"/>
        <v>0</v>
      </c>
      <c r="AQ6" s="2906">
        <f t="shared" si="3"/>
        <v>0</v>
      </c>
      <c r="AR6" s="2906">
        <f t="shared" si="3"/>
        <v>0</v>
      </c>
      <c r="AS6" s="2906">
        <f t="shared" si="3"/>
        <v>0</v>
      </c>
      <c r="AT6" s="2909">
        <f>IF(C3="是",ROUND($A$3*AT5/$B$3,2),0)</f>
        <v>0</v>
      </c>
      <c r="AU6" s="2951"/>
      <c r="AV6" s="1959" t="s">
        <v>432</v>
      </c>
      <c r="AW6" s="2907"/>
      <c r="AX6" s="2907"/>
      <c r="AY6" s="2967">
        <f>IF(AY3&gt;0,AY3,ROUND($A$3*AZ5/$B$3,2))</f>
        <v>756.32</v>
      </c>
      <c r="AZ6" s="2906" t="s">
        <v>124</v>
      </c>
      <c r="BA6" s="2906">
        <f>ROUND($AY$6*BA5/$AZ$5,2)</f>
        <v>756.32</v>
      </c>
      <c r="BB6" s="2906">
        <f>ROUND($AY$6*BB5/$AZ$5,2)</f>
        <v>756.32</v>
      </c>
      <c r="BC6" s="2906">
        <f t="shared" ref="BC6:BH6" si="4">ROUND($AY$6*BC5/$AZ$5,2)</f>
        <v>0</v>
      </c>
      <c r="BD6" s="2906">
        <f t="shared" si="4"/>
        <v>0</v>
      </c>
      <c r="BE6" s="2906">
        <f t="shared" si="4"/>
        <v>0</v>
      </c>
      <c r="BF6" s="2906">
        <f t="shared" si="4"/>
        <v>0</v>
      </c>
      <c r="BG6" s="2906">
        <f t="shared" si="4"/>
        <v>0</v>
      </c>
      <c r="BH6" s="2906">
        <f t="shared" si="4"/>
        <v>0</v>
      </c>
      <c r="BI6" s="2906">
        <f t="shared" ref="BI6:BT6" si="5">ROUND($AY$6*BI5/$AZ$5,2)</f>
        <v>0</v>
      </c>
      <c r="BJ6" s="2906">
        <f t="shared" si="5"/>
        <v>0</v>
      </c>
      <c r="BK6" s="2906">
        <f t="shared" si="5"/>
        <v>0</v>
      </c>
      <c r="BL6" s="2906">
        <f t="shared" si="5"/>
        <v>0</v>
      </c>
      <c r="BM6" s="2906">
        <f t="shared" si="5"/>
        <v>0</v>
      </c>
      <c r="BN6" s="2906">
        <f t="shared" si="5"/>
        <v>0</v>
      </c>
      <c r="BO6" s="2906">
        <f t="shared" si="5"/>
        <v>0</v>
      </c>
      <c r="BP6" s="2906">
        <f t="shared" si="5"/>
        <v>0</v>
      </c>
      <c r="BQ6" s="2906">
        <f t="shared" si="5"/>
        <v>0</v>
      </c>
      <c r="BR6" s="2906">
        <f t="shared" si="5"/>
        <v>0</v>
      </c>
      <c r="BS6" s="2906">
        <f t="shared" si="5"/>
        <v>0</v>
      </c>
      <c r="BT6" s="2976">
        <f t="shared" si="5"/>
        <v>0</v>
      </c>
    </row>
    <row r="7" spans="1:72" s="2891" customFormat="1" ht="25.2">
      <c r="A7" s="2910" t="s">
        <v>433</v>
      </c>
      <c r="B7" s="2910" t="s">
        <v>434</v>
      </c>
      <c r="C7" s="2910" t="s">
        <v>407</v>
      </c>
      <c r="D7" s="2910" t="s">
        <v>435</v>
      </c>
      <c r="E7" s="2910" t="s">
        <v>432</v>
      </c>
      <c r="F7" s="2910" t="s">
        <v>436</v>
      </c>
      <c r="G7" s="2340" t="s">
        <v>437</v>
      </c>
      <c r="H7" s="2911"/>
      <c r="I7" s="2911"/>
      <c r="J7" s="2911"/>
      <c r="K7" s="2911"/>
      <c r="L7" s="2911"/>
      <c r="M7" s="2911"/>
      <c r="N7" s="2911"/>
      <c r="O7" s="2911"/>
      <c r="P7" s="2911"/>
      <c r="Q7" s="2911"/>
      <c r="R7" s="2911"/>
      <c r="S7" s="2911"/>
      <c r="T7" s="2911"/>
      <c r="U7" s="2911"/>
      <c r="V7" s="2911"/>
      <c r="W7" s="2911"/>
      <c r="X7" s="2911"/>
      <c r="Y7" s="2911"/>
      <c r="Z7" s="2911"/>
      <c r="AA7" s="2911"/>
      <c r="AB7" s="2911"/>
      <c r="AC7" s="2911"/>
      <c r="AD7" s="2911"/>
      <c r="AE7" s="2911"/>
      <c r="AF7" s="2911"/>
      <c r="AG7" s="2911"/>
      <c r="AH7" s="2911"/>
      <c r="AI7" s="2911"/>
      <c r="AJ7" s="2911"/>
      <c r="AK7" s="2911"/>
      <c r="AL7" s="2911"/>
      <c r="AM7" s="2911"/>
      <c r="AN7" s="2911"/>
      <c r="AO7" s="2911"/>
      <c r="AP7" s="2911"/>
      <c r="AQ7" s="2911"/>
      <c r="AR7" s="2911"/>
      <c r="AS7" s="2911"/>
      <c r="AT7" s="2372"/>
      <c r="AU7" s="2911" t="s">
        <v>438</v>
      </c>
      <c r="AV7" s="2952" t="s">
        <v>433</v>
      </c>
      <c r="AW7" s="2360" t="s">
        <v>434</v>
      </c>
      <c r="AX7" s="2952" t="s">
        <v>407</v>
      </c>
      <c r="AY7" s="2243" t="s">
        <v>439</v>
      </c>
      <c r="AZ7" s="2943"/>
      <c r="BA7" s="2911"/>
      <c r="BB7" s="2911"/>
      <c r="BC7" s="2911"/>
      <c r="BD7" s="2911"/>
      <c r="BE7" s="2911"/>
      <c r="BF7" s="2911"/>
      <c r="BG7" s="2911"/>
      <c r="BH7" s="2911"/>
      <c r="BI7" s="2911"/>
      <c r="BJ7" s="2911"/>
      <c r="BK7" s="2911"/>
      <c r="BL7" s="2911"/>
      <c r="BM7" s="2911"/>
      <c r="BN7" s="2911"/>
      <c r="BO7" s="2911"/>
      <c r="BP7" s="2911"/>
      <c r="BQ7" s="2911"/>
      <c r="BR7" s="2911"/>
      <c r="BS7" s="2911"/>
      <c r="BT7" s="2977"/>
    </row>
    <row r="8" spans="1:72" s="2607" customFormat="1" ht="24">
      <c r="A8" s="2912"/>
      <c r="B8" s="2912"/>
      <c r="C8" s="2912"/>
      <c r="D8" s="2912"/>
      <c r="E8" s="2912"/>
      <c r="F8" s="2912"/>
      <c r="G8" s="2913" t="s">
        <v>440</v>
      </c>
      <c r="H8" s="2914" t="s">
        <v>441</v>
      </c>
      <c r="I8" s="2932"/>
      <c r="J8" s="295"/>
      <c r="K8" s="295"/>
      <c r="L8" s="295"/>
      <c r="M8" s="295"/>
      <c r="N8" s="295"/>
      <c r="O8" s="295"/>
      <c r="P8" s="295"/>
      <c r="Q8" s="295"/>
      <c r="R8" s="295"/>
      <c r="S8" s="295"/>
      <c r="T8" s="295"/>
      <c r="U8" s="295"/>
      <c r="V8" s="2939"/>
      <c r="W8" s="295"/>
      <c r="X8" s="295"/>
      <c r="Y8" s="295"/>
      <c r="Z8" s="295"/>
      <c r="AA8" s="2939"/>
      <c r="AB8" s="2941"/>
      <c r="AC8" s="2100" t="s">
        <v>442</v>
      </c>
      <c r="AD8" s="2942"/>
      <c r="AE8" s="2943"/>
      <c r="AF8" s="295"/>
      <c r="AG8" s="295"/>
      <c r="AH8" s="295"/>
      <c r="AI8" s="295"/>
      <c r="AJ8" s="295"/>
      <c r="AK8" s="295"/>
      <c r="AL8" s="295"/>
      <c r="AM8" s="295"/>
      <c r="AN8" s="295"/>
      <c r="AO8" s="295"/>
      <c r="AP8" s="295"/>
      <c r="AQ8" s="295"/>
      <c r="AR8" s="295"/>
      <c r="AS8" s="295"/>
      <c r="AT8" s="1799" t="s">
        <v>443</v>
      </c>
      <c r="AU8" s="2912" t="s">
        <v>444</v>
      </c>
      <c r="AV8" s="1799"/>
      <c r="AW8" s="2320"/>
      <c r="AX8" s="1799"/>
      <c r="AY8" s="2360" t="s">
        <v>432</v>
      </c>
      <c r="AZ8" s="294" t="s">
        <v>361</v>
      </c>
      <c r="BA8" s="295"/>
      <c r="BB8" s="295"/>
      <c r="BC8" s="295"/>
      <c r="BD8" s="295"/>
      <c r="BE8" s="295"/>
      <c r="BF8" s="295"/>
      <c r="BG8" s="295"/>
      <c r="BH8" s="295"/>
      <c r="BI8" s="295"/>
      <c r="BJ8" s="295"/>
      <c r="BK8" s="295"/>
      <c r="BL8" s="295"/>
      <c r="BM8" s="295"/>
      <c r="BN8" s="295"/>
      <c r="BO8" s="295"/>
      <c r="BP8" s="295"/>
      <c r="BQ8" s="295"/>
      <c r="BR8" s="295"/>
      <c r="BS8" s="295"/>
      <c r="BT8" s="1845"/>
    </row>
    <row r="9" spans="1:72" s="2607" customFormat="1" ht="13.2">
      <c r="A9" s="2912"/>
      <c r="B9" s="2912"/>
      <c r="C9" s="2912"/>
      <c r="D9" s="2912"/>
      <c r="E9" s="2912"/>
      <c r="F9" s="2912"/>
      <c r="G9" s="1799"/>
      <c r="H9" s="2915" t="s">
        <v>445</v>
      </c>
      <c r="I9" s="2933" t="s">
        <v>446</v>
      </c>
      <c r="J9" s="2100"/>
      <c r="K9" s="2933"/>
      <c r="L9" s="2100"/>
      <c r="M9" s="2933"/>
      <c r="N9" s="2100"/>
      <c r="O9" s="2933"/>
      <c r="P9" s="2100"/>
      <c r="Q9" s="2933"/>
      <c r="R9" s="2100"/>
      <c r="S9" s="2933"/>
      <c r="T9" s="2100"/>
      <c r="U9" s="2933"/>
      <c r="V9" s="2100"/>
      <c r="W9" s="2933"/>
      <c r="X9" s="2940"/>
      <c r="Y9" s="2933"/>
      <c r="Z9" s="2100"/>
      <c r="AA9" s="2933"/>
      <c r="AB9" s="2100"/>
      <c r="AC9" s="2913" t="s">
        <v>445</v>
      </c>
      <c r="AD9" s="1959" t="s">
        <v>447</v>
      </c>
      <c r="AE9" s="1811"/>
      <c r="AF9" s="1959" t="s">
        <v>448</v>
      </c>
      <c r="AG9" s="1811"/>
      <c r="AH9" s="1959" t="s">
        <v>447</v>
      </c>
      <c r="AI9" s="1811"/>
      <c r="AJ9" s="1959" t="s">
        <v>448</v>
      </c>
      <c r="AK9" s="1811"/>
      <c r="AL9" s="1959" t="s">
        <v>447</v>
      </c>
      <c r="AM9" s="1811"/>
      <c r="AN9" s="1959" t="s">
        <v>448</v>
      </c>
      <c r="AO9" s="1811"/>
      <c r="AP9" s="1959" t="s">
        <v>447</v>
      </c>
      <c r="AQ9" s="1811"/>
      <c r="AR9" s="1959" t="s">
        <v>448</v>
      </c>
      <c r="AS9" s="2953"/>
      <c r="AT9" s="2912"/>
      <c r="AU9" s="2912" t="s">
        <v>449</v>
      </c>
      <c r="AV9" s="1799"/>
      <c r="AW9" s="2320"/>
      <c r="AX9" s="1799"/>
      <c r="AY9" s="2916"/>
      <c r="AZ9" s="2916" t="s">
        <v>440</v>
      </c>
      <c r="BA9" s="2968" t="s">
        <v>450</v>
      </c>
      <c r="BB9" s="2969"/>
      <c r="BC9" s="1857"/>
      <c r="BD9" s="1857"/>
      <c r="BE9" s="1857"/>
      <c r="BF9" s="1857"/>
      <c r="BG9" s="1857"/>
      <c r="BH9" s="1857"/>
      <c r="BI9" s="1857"/>
      <c r="BJ9" s="1857"/>
      <c r="BK9" s="2974"/>
      <c r="BL9" s="1959" t="s">
        <v>451</v>
      </c>
      <c r="BM9" s="295"/>
      <c r="BN9" s="2932"/>
      <c r="BO9" s="295"/>
      <c r="BP9" s="295"/>
      <c r="BQ9" s="295"/>
      <c r="BR9" s="295"/>
      <c r="BS9" s="295"/>
      <c r="BT9" s="1845"/>
    </row>
    <row r="10" spans="1:72" s="2607" customFormat="1" ht="13.2">
      <c r="A10" s="2912"/>
      <c r="B10" s="2912"/>
      <c r="C10" s="2912"/>
      <c r="D10" s="2912"/>
      <c r="E10" s="2912"/>
      <c r="F10" s="2912"/>
      <c r="G10" s="1799"/>
      <c r="H10" s="2916"/>
      <c r="I10" s="2933" t="s">
        <v>452</v>
      </c>
      <c r="J10" s="2100"/>
      <c r="K10" s="2934"/>
      <c r="L10" s="2100"/>
      <c r="M10" s="2934"/>
      <c r="N10" s="2100"/>
      <c r="O10" s="2934"/>
      <c r="P10" s="2100"/>
      <c r="Q10" s="2934"/>
      <c r="R10" s="2100"/>
      <c r="S10" s="2934"/>
      <c r="T10" s="2100"/>
      <c r="U10" s="2934"/>
      <c r="V10" s="2100"/>
      <c r="W10" s="2934"/>
      <c r="X10" s="2100"/>
      <c r="Y10" s="2934"/>
      <c r="Z10" s="2100"/>
      <c r="AA10" s="2934"/>
      <c r="AB10" s="2100"/>
      <c r="AC10" s="1799"/>
      <c r="AD10" s="1959" t="s">
        <v>453</v>
      </c>
      <c r="AE10" s="2944"/>
      <c r="AF10" s="1959" t="s">
        <v>453</v>
      </c>
      <c r="AG10" s="2944"/>
      <c r="AH10" s="1959" t="s">
        <v>454</v>
      </c>
      <c r="AI10" s="2944"/>
      <c r="AJ10" s="1959" t="s">
        <v>454</v>
      </c>
      <c r="AK10" s="2944"/>
      <c r="AL10" s="1959" t="s">
        <v>455</v>
      </c>
      <c r="AM10" s="1811"/>
      <c r="AN10" s="1959" t="s">
        <v>455</v>
      </c>
      <c r="AO10" s="1811"/>
      <c r="AP10" s="1959" t="s">
        <v>456</v>
      </c>
      <c r="AQ10" s="1811"/>
      <c r="AR10" s="1959" t="s">
        <v>456</v>
      </c>
      <c r="AS10" s="1811"/>
      <c r="AT10" s="2912"/>
      <c r="AU10" s="2912"/>
      <c r="AV10" s="1799"/>
      <c r="AW10" s="2320"/>
      <c r="AX10" s="1799"/>
      <c r="AY10" s="2916"/>
      <c r="AZ10" s="2916"/>
      <c r="BA10" s="2917" t="s">
        <v>445</v>
      </c>
      <c r="BB10" s="2970" t="str">
        <f>I9</f>
        <v>地上</v>
      </c>
      <c r="BC10" s="1869">
        <f>K9</f>
        <v>0</v>
      </c>
      <c r="BD10" s="1869">
        <f>M9</f>
        <v>0</v>
      </c>
      <c r="BE10" s="1869">
        <f>O9</f>
        <v>0</v>
      </c>
      <c r="BF10" s="1869">
        <f>Q9</f>
        <v>0</v>
      </c>
      <c r="BG10" s="1869">
        <f>S9</f>
        <v>0</v>
      </c>
      <c r="BH10" s="1869">
        <f>U9</f>
        <v>0</v>
      </c>
      <c r="BI10" s="1869">
        <f>W9</f>
        <v>0</v>
      </c>
      <c r="BJ10" s="1869">
        <f>Y9</f>
        <v>0</v>
      </c>
      <c r="BK10" s="1869">
        <f>AA9</f>
        <v>0</v>
      </c>
      <c r="BL10" s="1865" t="s">
        <v>445</v>
      </c>
      <c r="BM10" s="294" t="str">
        <f>AD9</f>
        <v>地上</v>
      </c>
      <c r="BN10" s="1869" t="str">
        <f>AF9</f>
        <v>地下</v>
      </c>
      <c r="BO10" s="294" t="str">
        <f>AH9</f>
        <v>地上</v>
      </c>
      <c r="BP10" s="1869" t="str">
        <f>AJ9</f>
        <v>地下</v>
      </c>
      <c r="BQ10" s="294" t="str">
        <f>AL9</f>
        <v>地上</v>
      </c>
      <c r="BR10" s="1869" t="str">
        <f>AN9</f>
        <v>地下</v>
      </c>
      <c r="BS10" s="294" t="str">
        <f>AP9</f>
        <v>地上</v>
      </c>
      <c r="BT10" s="2978" t="str">
        <f>AR9</f>
        <v>地下</v>
      </c>
    </row>
    <row r="11" spans="1:72" s="2607" customFormat="1" ht="13.2">
      <c r="A11" s="2912"/>
      <c r="B11" s="2912"/>
      <c r="C11" s="2912"/>
      <c r="D11" s="2912"/>
      <c r="E11" s="2912"/>
      <c r="F11" s="2912"/>
      <c r="G11" s="1799"/>
      <c r="H11" s="2917"/>
      <c r="I11" s="2935"/>
      <c r="J11" s="2936"/>
      <c r="K11" s="2935"/>
      <c r="L11" s="2936"/>
      <c r="M11" s="2935"/>
      <c r="N11" s="2936"/>
      <c r="O11" s="2935"/>
      <c r="P11" s="2936"/>
      <c r="Q11" s="2935"/>
      <c r="R11" s="2936"/>
      <c r="S11" s="2935"/>
      <c r="T11" s="2936"/>
      <c r="U11" s="2935"/>
      <c r="V11" s="2936"/>
      <c r="W11" s="2935"/>
      <c r="X11" s="2936"/>
      <c r="Y11" s="2935"/>
      <c r="Z11" s="2936"/>
      <c r="AA11" s="2935"/>
      <c r="AB11" s="2936"/>
      <c r="AC11" s="1799"/>
      <c r="AD11" s="2945" t="s">
        <v>457</v>
      </c>
      <c r="AE11" s="352"/>
      <c r="AF11" s="2945" t="s">
        <v>457</v>
      </c>
      <c r="AG11" s="352"/>
      <c r="AH11" s="2945" t="s">
        <v>458</v>
      </c>
      <c r="AI11" s="2949"/>
      <c r="AJ11" s="2945" t="s">
        <v>458</v>
      </c>
      <c r="AK11" s="352"/>
      <c r="AL11" s="294"/>
      <c r="AM11" s="352"/>
      <c r="AN11" s="294"/>
      <c r="AO11" s="352"/>
      <c r="AP11" s="294"/>
      <c r="AQ11" s="352"/>
      <c r="AR11" s="294"/>
      <c r="AS11" s="352"/>
      <c r="AT11" s="2320"/>
      <c r="AU11" s="2912"/>
      <c r="AV11" s="1799"/>
      <c r="AW11" s="2320"/>
      <c r="AX11" s="1799"/>
      <c r="AY11" s="2916"/>
      <c r="AZ11" s="2916"/>
      <c r="BA11" s="2916"/>
      <c r="BB11" s="2941" t="str">
        <f>I10</f>
        <v>办公</v>
      </c>
      <c r="BC11" s="2941">
        <f>K10</f>
        <v>0</v>
      </c>
      <c r="BD11" s="2941">
        <f>M10</f>
        <v>0</v>
      </c>
      <c r="BE11" s="2941">
        <f>O10</f>
        <v>0</v>
      </c>
      <c r="BF11" s="2941">
        <f>Q10</f>
        <v>0</v>
      </c>
      <c r="BG11" s="2941">
        <f>S10</f>
        <v>0</v>
      </c>
      <c r="BH11" s="2941">
        <f>U10</f>
        <v>0</v>
      </c>
      <c r="BI11" s="2941">
        <f>W10</f>
        <v>0</v>
      </c>
      <c r="BJ11" s="2941">
        <f>Y10</f>
        <v>0</v>
      </c>
      <c r="BK11" s="2941">
        <f>AA10</f>
        <v>0</v>
      </c>
      <c r="BL11" s="1799"/>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65" t="str">
        <f>AP10</f>
        <v>未注明</v>
      </c>
      <c r="BT11" s="2979" t="str">
        <f>AR10</f>
        <v>未注明</v>
      </c>
    </row>
    <row r="12" spans="1:72" s="2891" customFormat="1" ht="13.2">
      <c r="A12" s="2918"/>
      <c r="B12" s="2918"/>
      <c r="C12" s="2918"/>
      <c r="D12" s="2918"/>
      <c r="E12" s="2918"/>
      <c r="F12" s="2918"/>
      <c r="G12" s="638"/>
      <c r="H12" s="2919"/>
      <c r="I12" s="2372"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42" t="s">
        <v>460</v>
      </c>
      <c r="W12" s="296" t="s">
        <v>459</v>
      </c>
      <c r="X12" s="296" t="s">
        <v>460</v>
      </c>
      <c r="Y12" s="296" t="s">
        <v>459</v>
      </c>
      <c r="Z12" s="296" t="s">
        <v>460</v>
      </c>
      <c r="AA12" s="296" t="s">
        <v>459</v>
      </c>
      <c r="AB12" s="296" t="s">
        <v>460</v>
      </c>
      <c r="AC12" s="2946"/>
      <c r="AD12" s="2372"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18" t="s">
        <v>460</v>
      </c>
      <c r="AT12" s="2954"/>
      <c r="AU12" s="2918"/>
      <c r="AV12" s="2955"/>
      <c r="AW12" s="2360"/>
      <c r="AX12" s="2955"/>
      <c r="AY12" s="2971"/>
      <c r="AZ12" s="2916"/>
      <c r="BA12" s="2917"/>
      <c r="BB12" s="293">
        <f>I11</f>
        <v>0</v>
      </c>
      <c r="BC12" s="2972">
        <f>K11</f>
        <v>0</v>
      </c>
      <c r="BD12" s="2972">
        <f>M11</f>
        <v>0</v>
      </c>
      <c r="BE12" s="2941">
        <f>O11</f>
        <v>0</v>
      </c>
      <c r="BF12" s="2941">
        <f>Q11</f>
        <v>0</v>
      </c>
      <c r="BG12" s="2941">
        <f>S11</f>
        <v>0</v>
      </c>
      <c r="BH12" s="2941">
        <f>U11</f>
        <v>0</v>
      </c>
      <c r="BI12" s="2941">
        <f>W11</f>
        <v>0</v>
      </c>
      <c r="BJ12" s="2941">
        <f>Y11</f>
        <v>0</v>
      </c>
      <c r="BK12" s="2941">
        <f>AA11</f>
        <v>0</v>
      </c>
      <c r="BL12" s="1799"/>
      <c r="BM12" s="294" t="str">
        <f>AD11</f>
        <v>（住宅）</v>
      </c>
      <c r="BN12" s="294" t="str">
        <f>AF11</f>
        <v>（住宅）</v>
      </c>
      <c r="BO12" s="293" t="str">
        <f>AH11</f>
        <v>（住宅、计出让金）</v>
      </c>
      <c r="BP12" s="293" t="str">
        <f>AJ11</f>
        <v>（住宅、计出让金）</v>
      </c>
      <c r="BQ12" s="293">
        <f>AL11</f>
        <v>0</v>
      </c>
      <c r="BR12" s="293">
        <f>AN11</f>
        <v>0</v>
      </c>
      <c r="BS12" s="1865">
        <f>AP11</f>
        <v>0</v>
      </c>
      <c r="BT12" s="2979">
        <f>AR11</f>
        <v>0</v>
      </c>
    </row>
    <row r="13" spans="1:72" s="2891" customFormat="1" ht="13.2">
      <c r="A13" s="2920"/>
      <c r="B13" s="2920"/>
      <c r="C13" s="2920"/>
      <c r="D13" s="2921" t="s">
        <v>461</v>
      </c>
      <c r="E13" s="2906">
        <f>IF($C$3="是",ROUND($A$3*G13/$B$3,2),ROUND($A$3*(G13-AT13)/$B$3,2))</f>
        <v>756.32</v>
      </c>
      <c r="F13" s="2922"/>
      <c r="G13" s="2923">
        <f>H13+AC13+AT13</f>
        <v>5858.09</v>
      </c>
      <c r="H13" s="2909">
        <f>SUMIF(I$12:AB$12,"总值",I13:AB13)</f>
        <v>5858.09</v>
      </c>
      <c r="I13" s="2937">
        <v>5858.09</v>
      </c>
      <c r="J13" s="2937"/>
      <c r="K13" s="2937"/>
      <c r="L13" s="2937"/>
      <c r="M13" s="2937"/>
      <c r="N13" s="2937"/>
      <c r="O13" s="2937"/>
      <c r="P13" s="2937"/>
      <c r="Q13" s="2937"/>
      <c r="R13" s="2937"/>
      <c r="S13" s="2937"/>
      <c r="T13" s="2937"/>
      <c r="U13" s="2937"/>
      <c r="V13" s="2937"/>
      <c r="W13" s="2937"/>
      <c r="X13" s="2937"/>
      <c r="Y13" s="2937"/>
      <c r="Z13" s="2937"/>
      <c r="AA13" s="2937"/>
      <c r="AB13" s="2937"/>
      <c r="AC13" s="2906">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296">
        <f t="shared" ref="AV13:AX17" si="6">A13</f>
        <v>0</v>
      </c>
      <c r="AW13" s="296">
        <f t="shared" si="6"/>
        <v>0</v>
      </c>
      <c r="AX13" s="296">
        <f t="shared" si="6"/>
        <v>0</v>
      </c>
      <c r="AY13" s="2372">
        <f>ROUND($AY$6*AZ13/$AZ$5,2)</f>
        <v>756.32</v>
      </c>
      <c r="AZ13" s="2906">
        <f>BA13+BL13</f>
        <v>5858.09</v>
      </c>
      <c r="BA13" s="2906">
        <f>SUM(BB13:BK13)</f>
        <v>5858.09</v>
      </c>
      <c r="BB13" s="2906">
        <f>IF($D13="是",I13-J13,0)</f>
        <v>5858.09</v>
      </c>
      <c r="BC13" s="2906">
        <f>IF($D13="是",K13-L13,0)</f>
        <v>0</v>
      </c>
      <c r="BD13" s="2906">
        <f>IF($D13="是",M13-N13,0)</f>
        <v>0</v>
      </c>
      <c r="BE13" s="2906">
        <f>IF($D13="是",O13-P13,0)</f>
        <v>0</v>
      </c>
      <c r="BF13" s="2906">
        <f>IF($D13="是",Q13-R13,0)</f>
        <v>0</v>
      </c>
      <c r="BG13" s="2906">
        <f>IF($D13="是",S13-T13,0)</f>
        <v>0</v>
      </c>
      <c r="BH13" s="2906">
        <f>IF($D13="是",U13-V13,0)</f>
        <v>0</v>
      </c>
      <c r="BI13" s="2906">
        <f>IF($D13="是",W13-X13,0)</f>
        <v>0</v>
      </c>
      <c r="BJ13" s="2906">
        <f>IF($D13="是",Y13-Z13,0)</f>
        <v>0</v>
      </c>
      <c r="BK13" s="2906">
        <f>IF($D13="是",AA13-AB13,0)</f>
        <v>0</v>
      </c>
      <c r="BL13" s="2906">
        <f>SUM(BM13:BT13)</f>
        <v>0</v>
      </c>
      <c r="BM13" s="2906">
        <f>IF($D13="是",AD13-AE13,0)</f>
        <v>0</v>
      </c>
      <c r="BN13" s="2906">
        <f>IF($D13="是",AF13-AG13,0)</f>
        <v>0</v>
      </c>
      <c r="BO13" s="2906">
        <f>IF($D13="是",AH13-AI13,0)</f>
        <v>0</v>
      </c>
      <c r="BP13" s="2906">
        <f>IF($D13="是",AJ13-AK13,0)</f>
        <v>0</v>
      </c>
      <c r="BQ13" s="2906">
        <f>IF($D13="是",AL13-AM13,0)</f>
        <v>0</v>
      </c>
      <c r="BR13" s="2906">
        <f>IF($D13="是",AN13-AO13,0)</f>
        <v>0</v>
      </c>
      <c r="BS13" s="2906">
        <f>IF($D13="是",AP13-AQ13,0)</f>
        <v>0</v>
      </c>
      <c r="BT13" s="2976">
        <f>IF($D13="是",AR13-AS13,0)</f>
        <v>0</v>
      </c>
    </row>
    <row r="14" spans="1:72" s="2891" customFormat="1" ht="13.2">
      <c r="A14" s="2920"/>
      <c r="B14" s="2920"/>
      <c r="C14" s="2924"/>
      <c r="D14" s="2921"/>
      <c r="E14" s="2906">
        <f>IF($C$3="是",ROUND($A$3*G14/$B$3,2),ROUND($A$3*(G14-AT14)/$B$3,2))</f>
        <v>0</v>
      </c>
      <c r="F14" s="2922"/>
      <c r="G14" s="2923">
        <f>H14+AC14+AT14</f>
        <v>0</v>
      </c>
      <c r="H14" s="2909">
        <f>SUMIF(I$12:AB$12,"总值",I14:AB14)</f>
        <v>0</v>
      </c>
      <c r="I14" s="2937"/>
      <c r="J14" s="2937"/>
      <c r="K14" s="2937"/>
      <c r="L14" s="2937"/>
      <c r="M14" s="2937"/>
      <c r="N14" s="2937"/>
      <c r="O14" s="2937"/>
      <c r="P14" s="2937"/>
      <c r="Q14" s="2937"/>
      <c r="R14" s="2937"/>
      <c r="S14" s="2937"/>
      <c r="T14" s="2937"/>
      <c r="U14" s="2937"/>
      <c r="V14" s="2937"/>
      <c r="W14" s="2937"/>
      <c r="X14" s="2937"/>
      <c r="Y14" s="2937"/>
      <c r="Z14" s="2937"/>
      <c r="AA14" s="2937"/>
      <c r="AB14" s="2937"/>
      <c r="AC14" s="2906">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296">
        <f t="shared" si="6"/>
        <v>0</v>
      </c>
      <c r="AW14" s="296">
        <f t="shared" si="6"/>
        <v>0</v>
      </c>
      <c r="AX14" s="296">
        <f t="shared" si="6"/>
        <v>0</v>
      </c>
      <c r="AY14" s="2372">
        <f>ROUND($AY$6*AZ14/$AZ$5,2)</f>
        <v>0</v>
      </c>
      <c r="AZ14" s="2906">
        <f>BA14+BL14</f>
        <v>0</v>
      </c>
      <c r="BA14" s="2906">
        <f>SUM(BB14:BK14)</f>
        <v>0</v>
      </c>
      <c r="BB14" s="2906">
        <f>IF($D14="是",I14-J14,0)</f>
        <v>0</v>
      </c>
      <c r="BC14" s="2906">
        <f>IF($D14="是",K14-L14,0)</f>
        <v>0</v>
      </c>
      <c r="BD14" s="2906">
        <f>IF($D14="是",M14-N14,0)</f>
        <v>0</v>
      </c>
      <c r="BE14" s="2906">
        <f>IF($D14="是",O14-P14,0)</f>
        <v>0</v>
      </c>
      <c r="BF14" s="2906">
        <f>IF($D14="是",Q14-R14,0)</f>
        <v>0</v>
      </c>
      <c r="BG14" s="2906">
        <f>IF($D14="是",S14-T14,0)</f>
        <v>0</v>
      </c>
      <c r="BH14" s="2906">
        <f>IF($D14="是",U14-V14,0)</f>
        <v>0</v>
      </c>
      <c r="BI14" s="2906">
        <f>IF($D14="是",W14-X14,0)</f>
        <v>0</v>
      </c>
      <c r="BJ14" s="2906">
        <f>IF($D14="是",Y14-Z14,0)</f>
        <v>0</v>
      </c>
      <c r="BK14" s="2906">
        <f>IF($D14="是",AA14-AB14,0)</f>
        <v>0</v>
      </c>
      <c r="BL14" s="2906">
        <f>SUM(BM14:BT14)</f>
        <v>0</v>
      </c>
      <c r="BM14" s="2906">
        <f>IF($D14="是",AD14-AE14,0)</f>
        <v>0</v>
      </c>
      <c r="BN14" s="2906">
        <f>IF($D14="是",AF14-AG14,0)</f>
        <v>0</v>
      </c>
      <c r="BO14" s="2906">
        <f>IF($D14="是",AH14-AI14,0)</f>
        <v>0</v>
      </c>
      <c r="BP14" s="2906">
        <f>IF($D14="是",AJ14-AK14,0)</f>
        <v>0</v>
      </c>
      <c r="BQ14" s="2906">
        <f>IF($D14="是",AL14-AM14,0)</f>
        <v>0</v>
      </c>
      <c r="BR14" s="2906">
        <f>IF($D14="是",AN14-AO14,0)</f>
        <v>0</v>
      </c>
      <c r="BS14" s="2906">
        <f>IF($D14="是",AP14-AQ14,0)</f>
        <v>0</v>
      </c>
      <c r="BT14" s="2976">
        <f>IF($D14="是",AR14-AS14,0)</f>
        <v>0</v>
      </c>
    </row>
    <row r="15" spans="1:72" s="2891" customFormat="1" ht="13.2">
      <c r="A15" s="2920"/>
      <c r="B15" s="2920"/>
      <c r="C15" s="2924"/>
      <c r="D15" s="2921"/>
      <c r="E15" s="2906">
        <f>IF($C$3="是",ROUND($A$3*G15/$B$3,2),ROUND($A$3*(G15-AT15)/$B$3,2))</f>
        <v>0</v>
      </c>
      <c r="F15" s="2922"/>
      <c r="G15" s="2923">
        <f>H15+AC15+AT15</f>
        <v>0</v>
      </c>
      <c r="H15" s="2909">
        <f>SUMIF(I$12:AB$12,"总值",I15:AB15)</f>
        <v>0</v>
      </c>
      <c r="I15" s="2937"/>
      <c r="J15" s="2937"/>
      <c r="K15" s="2937"/>
      <c r="L15" s="2937"/>
      <c r="M15" s="2937"/>
      <c r="N15" s="2937"/>
      <c r="O15" s="2937"/>
      <c r="P15" s="2937"/>
      <c r="Q15" s="2937"/>
      <c r="R15" s="2937"/>
      <c r="S15" s="2937"/>
      <c r="T15" s="2937"/>
      <c r="U15" s="2937"/>
      <c r="V15" s="2937"/>
      <c r="W15" s="2937"/>
      <c r="X15" s="2937"/>
      <c r="Y15" s="2937"/>
      <c r="Z15" s="2937"/>
      <c r="AA15" s="2937"/>
      <c r="AB15" s="2937"/>
      <c r="AC15" s="2906">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296">
        <f t="shared" si="6"/>
        <v>0</v>
      </c>
      <c r="AW15" s="296">
        <f t="shared" si="6"/>
        <v>0</v>
      </c>
      <c r="AX15" s="296">
        <f t="shared" si="6"/>
        <v>0</v>
      </c>
      <c r="AY15" s="2372">
        <f>ROUND($AY$6*AZ15/$AZ$5,2)</f>
        <v>0</v>
      </c>
      <c r="AZ15" s="2906">
        <f>BA15+BL15</f>
        <v>0</v>
      </c>
      <c r="BA15" s="2906">
        <f>SUM(BB15:BK15)</f>
        <v>0</v>
      </c>
      <c r="BB15" s="2906">
        <f>IF($D15="是",I15-J15,0)</f>
        <v>0</v>
      </c>
      <c r="BC15" s="2906">
        <f>IF($D15="是",K15-L15,0)</f>
        <v>0</v>
      </c>
      <c r="BD15" s="2906">
        <f>IF($D15="是",M15-N15,0)</f>
        <v>0</v>
      </c>
      <c r="BE15" s="2906">
        <f>IF($D15="是",O15-P15,0)</f>
        <v>0</v>
      </c>
      <c r="BF15" s="2906">
        <f>IF($D15="是",Q15-R15,0)</f>
        <v>0</v>
      </c>
      <c r="BG15" s="2906">
        <f>IF($D15="是",S15-T15,0)</f>
        <v>0</v>
      </c>
      <c r="BH15" s="2906">
        <f>IF($D15="是",U15-V15,0)</f>
        <v>0</v>
      </c>
      <c r="BI15" s="2906">
        <f>IF($D15="是",W15-X15,0)</f>
        <v>0</v>
      </c>
      <c r="BJ15" s="2906">
        <f>IF($D15="是",Y15-Z15,0)</f>
        <v>0</v>
      </c>
      <c r="BK15" s="2906">
        <f>IF($D15="是",AA15-AB15,0)</f>
        <v>0</v>
      </c>
      <c r="BL15" s="2906">
        <f>SUM(BM15:BT15)</f>
        <v>0</v>
      </c>
      <c r="BM15" s="2906">
        <f>IF($D15="是",AD15-AE15,0)</f>
        <v>0</v>
      </c>
      <c r="BN15" s="2906">
        <f>IF($D15="是",AF15-AG15,0)</f>
        <v>0</v>
      </c>
      <c r="BO15" s="2906">
        <f>IF($D15="是",AH15-AI15,0)</f>
        <v>0</v>
      </c>
      <c r="BP15" s="2906">
        <f>IF($D15="是",AJ15-AK15,0)</f>
        <v>0</v>
      </c>
      <c r="BQ15" s="2906">
        <f>IF($D15="是",AL15-AM15,0)</f>
        <v>0</v>
      </c>
      <c r="BR15" s="2906">
        <f>IF($D15="是",AN15-AO15,0)</f>
        <v>0</v>
      </c>
      <c r="BS15" s="2906">
        <f>IF($D15="是",AP15-AQ15,0)</f>
        <v>0</v>
      </c>
      <c r="BT15" s="2976">
        <f>IF($D15="是",AR15-AS15,0)</f>
        <v>0</v>
      </c>
    </row>
    <row r="16" spans="1:72" s="2891" customFormat="1" ht="13.2">
      <c r="A16" s="2920"/>
      <c r="B16" s="2920"/>
      <c r="C16" s="2924"/>
      <c r="D16" s="2921"/>
      <c r="E16" s="2906">
        <f>IF($C$3="是",ROUND($A$3*G16/$B$3,2),ROUND($A$3*(G16-AT16)/$B$3,2))</f>
        <v>0</v>
      </c>
      <c r="F16" s="2922"/>
      <c r="G16" s="2923">
        <f>H16+AC16+AT16</f>
        <v>0</v>
      </c>
      <c r="H16" s="2909">
        <f>SUMIF(I$12:AB$12,"总值",I16:AB16)</f>
        <v>0</v>
      </c>
      <c r="I16" s="2937"/>
      <c r="J16" s="2937"/>
      <c r="K16" s="2937"/>
      <c r="L16" s="2937"/>
      <c r="M16" s="2937"/>
      <c r="N16" s="2937"/>
      <c r="O16" s="2937"/>
      <c r="P16" s="2937"/>
      <c r="Q16" s="2937"/>
      <c r="R16" s="2937"/>
      <c r="S16" s="2937"/>
      <c r="T16" s="2937"/>
      <c r="U16" s="2937"/>
      <c r="V16" s="2937"/>
      <c r="W16" s="2937"/>
      <c r="X16" s="2937"/>
      <c r="Y16" s="2937"/>
      <c r="Z16" s="2937"/>
      <c r="AA16" s="2937"/>
      <c r="AB16" s="2937"/>
      <c r="AC16" s="2906">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296">
        <f t="shared" si="6"/>
        <v>0</v>
      </c>
      <c r="AW16" s="296">
        <f t="shared" si="6"/>
        <v>0</v>
      </c>
      <c r="AX16" s="296">
        <f t="shared" si="6"/>
        <v>0</v>
      </c>
      <c r="AY16" s="2372">
        <f>ROUND($AY$6*AZ16/$AZ$5,2)</f>
        <v>0</v>
      </c>
      <c r="AZ16" s="2906">
        <f>BA16+BL16</f>
        <v>0</v>
      </c>
      <c r="BA16" s="2906">
        <f>SUM(BB16:BK16)</f>
        <v>0</v>
      </c>
      <c r="BB16" s="2906">
        <f>IF($D16="是",I16-J16,0)</f>
        <v>0</v>
      </c>
      <c r="BC16" s="2906">
        <f>IF($D16="是",K16-L16,0)</f>
        <v>0</v>
      </c>
      <c r="BD16" s="2906">
        <f>IF($D16="是",M16-N16,0)</f>
        <v>0</v>
      </c>
      <c r="BE16" s="2906">
        <f>IF($D16="是",O16-P16,0)</f>
        <v>0</v>
      </c>
      <c r="BF16" s="2906">
        <f>IF($D16="是",Q16-R16,0)</f>
        <v>0</v>
      </c>
      <c r="BG16" s="2906">
        <f>IF($D16="是",S16-T16,0)</f>
        <v>0</v>
      </c>
      <c r="BH16" s="2906">
        <f>IF($D16="是",U16-V16,0)</f>
        <v>0</v>
      </c>
      <c r="BI16" s="2906">
        <f>IF($D16="是",W16-X16,0)</f>
        <v>0</v>
      </c>
      <c r="BJ16" s="2906">
        <f>IF($D16="是",Y16-Z16,0)</f>
        <v>0</v>
      </c>
      <c r="BK16" s="2906">
        <f>IF($D16="是",AA16-AB16,0)</f>
        <v>0</v>
      </c>
      <c r="BL16" s="2906">
        <f>SUM(BM16:BT16)</f>
        <v>0</v>
      </c>
      <c r="BM16" s="2906">
        <f>IF($D16="是",AD16-AE16,0)</f>
        <v>0</v>
      </c>
      <c r="BN16" s="2906">
        <f>IF($D16="是",AF16-AG16,0)</f>
        <v>0</v>
      </c>
      <c r="BO16" s="2906">
        <f>IF($D16="是",AH16-AI16,0)</f>
        <v>0</v>
      </c>
      <c r="BP16" s="2906">
        <f>IF($D16="是",AJ16-AK16,0)</f>
        <v>0</v>
      </c>
      <c r="BQ16" s="2906">
        <f>IF($D16="是",AL16-AM16,0)</f>
        <v>0</v>
      </c>
      <c r="BR16" s="2906">
        <f>IF($D16="是",AN16-AO16,0)</f>
        <v>0</v>
      </c>
      <c r="BS16" s="2906">
        <f>IF($D16="是",AP16-AQ16,0)</f>
        <v>0</v>
      </c>
      <c r="BT16" s="2976">
        <f>IF($D16="是",AR16-AS16,0)</f>
        <v>0</v>
      </c>
    </row>
    <row r="17" spans="1:72" s="2891" customFormat="1" ht="13.2">
      <c r="A17" s="2920"/>
      <c r="B17" s="2920"/>
      <c r="C17" s="2924"/>
      <c r="D17" s="2921"/>
      <c r="E17" s="2906">
        <f>IF($C$3="是",ROUND($A$3*G17/$B$3,2),ROUND($A$3*(G17-AT17)/$B$3,2))</f>
        <v>0</v>
      </c>
      <c r="F17" s="2922"/>
      <c r="G17" s="2923">
        <f>H17+AC17+AT17</f>
        <v>0</v>
      </c>
      <c r="H17" s="2909">
        <f>SUMIF(I$12:AB$12,"总值",I17:AB17)</f>
        <v>0</v>
      </c>
      <c r="I17" s="2937"/>
      <c r="J17" s="2937"/>
      <c r="K17" s="2937"/>
      <c r="L17" s="2937"/>
      <c r="M17" s="2937"/>
      <c r="N17" s="2937"/>
      <c r="O17" s="2937"/>
      <c r="P17" s="2937"/>
      <c r="Q17" s="2937"/>
      <c r="R17" s="2937"/>
      <c r="S17" s="2937"/>
      <c r="T17" s="2937"/>
      <c r="U17" s="2937"/>
      <c r="V17" s="2937"/>
      <c r="W17" s="2937"/>
      <c r="X17" s="2937"/>
      <c r="Y17" s="2937"/>
      <c r="Z17" s="2937"/>
      <c r="AA17" s="2937"/>
      <c r="AB17" s="2937"/>
      <c r="AC17" s="2906">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296">
        <f t="shared" si="6"/>
        <v>0</v>
      </c>
      <c r="AW17" s="296">
        <f t="shared" si="6"/>
        <v>0</v>
      </c>
      <c r="AX17" s="296">
        <f t="shared" si="6"/>
        <v>0</v>
      </c>
      <c r="AY17" s="2372">
        <f>ROUND($AY$6*AZ17/$AZ$5,2)</f>
        <v>0</v>
      </c>
      <c r="AZ17" s="2906">
        <f>BA17+BL17</f>
        <v>0</v>
      </c>
      <c r="BA17" s="2906">
        <f>SUM(BB17:BK17)</f>
        <v>0</v>
      </c>
      <c r="BB17" s="2906">
        <f>IF($D17="是",I17-J17,0)</f>
        <v>0</v>
      </c>
      <c r="BC17" s="2906">
        <f>IF($D17="是",K17-L17,0)</f>
        <v>0</v>
      </c>
      <c r="BD17" s="2906">
        <f>IF($D17="是",M17-N17,0)</f>
        <v>0</v>
      </c>
      <c r="BE17" s="2906">
        <f>IF($D17="是",O17-P17,0)</f>
        <v>0</v>
      </c>
      <c r="BF17" s="2906">
        <f>IF($D17="是",Q17-R17,0)</f>
        <v>0</v>
      </c>
      <c r="BG17" s="2906">
        <f>IF($D17="是",S17-T17,0)</f>
        <v>0</v>
      </c>
      <c r="BH17" s="2906">
        <f>IF($D17="是",U17-V17,0)</f>
        <v>0</v>
      </c>
      <c r="BI17" s="2906">
        <f>IF($D17="是",W17-X17,0)</f>
        <v>0</v>
      </c>
      <c r="BJ17" s="2906">
        <f>IF($D17="是",Y17-Z17,0)</f>
        <v>0</v>
      </c>
      <c r="BK17" s="2906">
        <f>IF($D17="是",AA17-AB17,0)</f>
        <v>0</v>
      </c>
      <c r="BL17" s="2906">
        <f>SUM(BM17:BT17)</f>
        <v>0</v>
      </c>
      <c r="BM17" s="2906">
        <f>IF($D17="是",AD17-AE17,0)</f>
        <v>0</v>
      </c>
      <c r="BN17" s="2906">
        <f>IF($D17="是",AF17-AG17,0)</f>
        <v>0</v>
      </c>
      <c r="BO17" s="2906">
        <f>IF($D17="是",AH17-AI17,0)</f>
        <v>0</v>
      </c>
      <c r="BP17" s="2906">
        <f>IF($D17="是",AJ17-AK17,0)</f>
        <v>0</v>
      </c>
      <c r="BQ17" s="2906">
        <f>IF($D17="是",AL17-AM17,0)</f>
        <v>0</v>
      </c>
      <c r="BR17" s="2906">
        <f>IF($D17="是",AN17-AO17,0)</f>
        <v>0</v>
      </c>
      <c r="BS17" s="2906">
        <f>IF($D17="是",AP17-AQ17,0)</f>
        <v>0</v>
      </c>
      <c r="BT17" s="2976">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120">
        <f t="shared" ref="AV18:AV112" si="11">A18</f>
        <v>0</v>
      </c>
      <c r="AW18" s="1120">
        <f t="shared" ref="AW18:AW112" si="12">B18</f>
        <v>0</v>
      </c>
      <c r="AX18" s="1120">
        <f t="shared" ref="AX18:AX112" si="13">C18</f>
        <v>0</v>
      </c>
      <c r="AY18" s="2973">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0">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120">
        <f t="shared" si="11"/>
        <v>0</v>
      </c>
      <c r="AW19" s="1120">
        <f t="shared" si="12"/>
        <v>0</v>
      </c>
      <c r="AX19" s="1120">
        <f t="shared" si="13"/>
        <v>0</v>
      </c>
      <c r="AY19" s="2973">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0">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120">
        <f t="shared" si="11"/>
        <v>0</v>
      </c>
      <c r="AW20" s="1120">
        <f t="shared" si="12"/>
        <v>0</v>
      </c>
      <c r="AX20" s="1120">
        <f t="shared" si="13"/>
        <v>0</v>
      </c>
      <c r="AY20" s="2973">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0">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120">
        <f t="shared" si="11"/>
        <v>0</v>
      </c>
      <c r="AW21" s="1120">
        <f t="shared" si="12"/>
        <v>0</v>
      </c>
      <c r="AX21" s="1120">
        <f t="shared" si="13"/>
        <v>0</v>
      </c>
      <c r="AY21" s="2973">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0">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120">
        <f t="shared" si="11"/>
        <v>0</v>
      </c>
      <c r="AW22" s="1120">
        <f t="shared" si="12"/>
        <v>0</v>
      </c>
      <c r="AX22" s="1120">
        <f t="shared" si="13"/>
        <v>0</v>
      </c>
      <c r="AY22" s="2973">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0">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120">
        <f t="shared" si="11"/>
        <v>0</v>
      </c>
      <c r="AW23" s="1120">
        <f t="shared" si="12"/>
        <v>0</v>
      </c>
      <c r="AX23" s="1120">
        <f t="shared" si="13"/>
        <v>0</v>
      </c>
      <c r="AY23" s="2973">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0">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120">
        <f t="shared" si="11"/>
        <v>0</v>
      </c>
      <c r="AW24" s="1120">
        <f t="shared" si="12"/>
        <v>0</v>
      </c>
      <c r="AX24" s="1120">
        <f t="shared" si="13"/>
        <v>0</v>
      </c>
      <c r="AY24" s="2973">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0">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120">
        <f t="shared" si="11"/>
        <v>0</v>
      </c>
      <c r="AW25" s="1120">
        <f t="shared" si="12"/>
        <v>0</v>
      </c>
      <c r="AX25" s="1120">
        <f t="shared" si="13"/>
        <v>0</v>
      </c>
      <c r="AY25" s="2973">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0">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120">
        <f t="shared" si="11"/>
        <v>0</v>
      </c>
      <c r="AW26" s="1120">
        <f t="shared" si="12"/>
        <v>0</v>
      </c>
      <c r="AX26" s="1120">
        <f t="shared" si="13"/>
        <v>0</v>
      </c>
      <c r="AY26" s="2973">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0">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120">
        <f t="shared" si="11"/>
        <v>0</v>
      </c>
      <c r="AW27" s="1120">
        <f t="shared" si="12"/>
        <v>0</v>
      </c>
      <c r="AX27" s="1120">
        <f t="shared" si="13"/>
        <v>0</v>
      </c>
      <c r="AY27" s="2973">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0">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120">
        <f t="shared" si="11"/>
        <v>0</v>
      </c>
      <c r="AW28" s="1120">
        <f t="shared" si="12"/>
        <v>0</v>
      </c>
      <c r="AX28" s="1120">
        <f t="shared" si="13"/>
        <v>0</v>
      </c>
      <c r="AY28" s="2973">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0">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120">
        <f t="shared" si="11"/>
        <v>0</v>
      </c>
      <c r="AW29" s="1120">
        <f t="shared" si="12"/>
        <v>0</v>
      </c>
      <c r="AX29" s="1120">
        <f t="shared" si="13"/>
        <v>0</v>
      </c>
      <c r="AY29" s="2973">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0">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120">
        <f t="shared" si="11"/>
        <v>0</v>
      </c>
      <c r="AW30" s="1120">
        <f t="shared" si="12"/>
        <v>0</v>
      </c>
      <c r="AX30" s="1120">
        <f t="shared" si="13"/>
        <v>0</v>
      </c>
      <c r="AY30" s="2973">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0">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120">
        <f t="shared" si="11"/>
        <v>0</v>
      </c>
      <c r="AW31" s="1120">
        <f t="shared" si="12"/>
        <v>0</v>
      </c>
      <c r="AX31" s="1120">
        <f t="shared" si="13"/>
        <v>0</v>
      </c>
      <c r="AY31" s="2973">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0">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120">
        <f t="shared" si="11"/>
        <v>0</v>
      </c>
      <c r="AW32" s="1120">
        <f t="shared" si="12"/>
        <v>0</v>
      </c>
      <c r="AX32" s="1120">
        <f t="shared" si="13"/>
        <v>0</v>
      </c>
      <c r="AY32" s="2973">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0">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120">
        <f t="shared" si="11"/>
        <v>0</v>
      </c>
      <c r="AW33" s="1120">
        <f t="shared" si="12"/>
        <v>0</v>
      </c>
      <c r="AX33" s="1120">
        <f t="shared" si="13"/>
        <v>0</v>
      </c>
      <c r="AY33" s="2973">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0">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120">
        <f t="shared" si="11"/>
        <v>0</v>
      </c>
      <c r="AW34" s="1120">
        <f t="shared" si="12"/>
        <v>0</v>
      </c>
      <c r="AX34" s="1120">
        <f t="shared" si="13"/>
        <v>0</v>
      </c>
      <c r="AY34" s="2973">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0">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120">
        <f t="shared" si="11"/>
        <v>0</v>
      </c>
      <c r="AW35" s="1120">
        <f t="shared" si="12"/>
        <v>0</v>
      </c>
      <c r="AX35" s="1120">
        <f t="shared" si="13"/>
        <v>0</v>
      </c>
      <c r="AY35" s="2973">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0">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120">
        <f t="shared" si="11"/>
        <v>0</v>
      </c>
      <c r="AW36" s="1120">
        <f t="shared" si="12"/>
        <v>0</v>
      </c>
      <c r="AX36" s="1120">
        <f t="shared" si="13"/>
        <v>0</v>
      </c>
      <c r="AY36" s="2973">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0">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120">
        <f t="shared" si="11"/>
        <v>0</v>
      </c>
      <c r="AW37" s="1120">
        <f t="shared" si="12"/>
        <v>0</v>
      </c>
      <c r="AX37" s="1120">
        <f t="shared" si="13"/>
        <v>0</v>
      </c>
      <c r="AY37" s="2973">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0">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120">
        <f t="shared" si="11"/>
        <v>0</v>
      </c>
      <c r="AW38" s="1120">
        <f t="shared" si="12"/>
        <v>0</v>
      </c>
      <c r="AX38" s="1120">
        <f t="shared" si="13"/>
        <v>0</v>
      </c>
      <c r="AY38" s="2973">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0">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120">
        <f t="shared" si="11"/>
        <v>0</v>
      </c>
      <c r="AW39" s="1120">
        <f t="shared" si="12"/>
        <v>0</v>
      </c>
      <c r="AX39" s="1120">
        <f t="shared" si="13"/>
        <v>0</v>
      </c>
      <c r="AY39" s="2973">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0">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120">
        <f t="shared" si="11"/>
        <v>0</v>
      </c>
      <c r="AW40" s="1120">
        <f t="shared" si="12"/>
        <v>0</v>
      </c>
      <c r="AX40" s="1120">
        <f t="shared" si="13"/>
        <v>0</v>
      </c>
      <c r="AY40" s="2973">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0">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120">
        <f t="shared" si="11"/>
        <v>0</v>
      </c>
      <c r="AW41" s="1120">
        <f t="shared" si="12"/>
        <v>0</v>
      </c>
      <c r="AX41" s="1120">
        <f t="shared" si="13"/>
        <v>0</v>
      </c>
      <c r="AY41" s="2973">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0">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120">
        <f t="shared" si="11"/>
        <v>0</v>
      </c>
      <c r="AW42" s="1120">
        <f t="shared" si="12"/>
        <v>0</v>
      </c>
      <c r="AX42" s="1120">
        <f t="shared" si="13"/>
        <v>0</v>
      </c>
      <c r="AY42" s="2973">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0">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120">
        <f t="shared" si="11"/>
        <v>0</v>
      </c>
      <c r="AW43" s="1120">
        <f t="shared" si="12"/>
        <v>0</v>
      </c>
      <c r="AX43" s="1120">
        <f t="shared" si="13"/>
        <v>0</v>
      </c>
      <c r="AY43" s="2973">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0">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120">
        <f t="shared" si="11"/>
        <v>0</v>
      </c>
      <c r="AW44" s="1120">
        <f t="shared" si="12"/>
        <v>0</v>
      </c>
      <c r="AX44" s="1120">
        <f t="shared" si="13"/>
        <v>0</v>
      </c>
      <c r="AY44" s="2973">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0">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120">
        <f t="shared" si="11"/>
        <v>0</v>
      </c>
      <c r="AW45" s="1120">
        <f t="shared" si="12"/>
        <v>0</v>
      </c>
      <c r="AX45" s="1120">
        <f t="shared" si="13"/>
        <v>0</v>
      </c>
      <c r="AY45" s="2973">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0">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120">
        <f t="shared" si="11"/>
        <v>0</v>
      </c>
      <c r="AW46" s="1120">
        <f t="shared" si="12"/>
        <v>0</v>
      </c>
      <c r="AX46" s="1120">
        <f t="shared" si="13"/>
        <v>0</v>
      </c>
      <c r="AY46" s="2973">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0">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120">
        <f t="shared" si="11"/>
        <v>0</v>
      </c>
      <c r="AW47" s="1120">
        <f t="shared" si="12"/>
        <v>0</v>
      </c>
      <c r="AX47" s="1120">
        <f t="shared" si="13"/>
        <v>0</v>
      </c>
      <c r="AY47" s="2973">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0">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120">
        <f t="shared" si="11"/>
        <v>0</v>
      </c>
      <c r="AW48" s="1120">
        <f t="shared" si="12"/>
        <v>0</v>
      </c>
      <c r="AX48" s="1120">
        <f t="shared" si="13"/>
        <v>0</v>
      </c>
      <c r="AY48" s="2973">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0">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120">
        <f t="shared" si="11"/>
        <v>0</v>
      </c>
      <c r="AW49" s="1120">
        <f t="shared" si="12"/>
        <v>0</v>
      </c>
      <c r="AX49" s="1120">
        <f t="shared" si="13"/>
        <v>0</v>
      </c>
      <c r="AY49" s="2973">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0">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120">
        <f t="shared" si="11"/>
        <v>0</v>
      </c>
      <c r="AW50" s="1120">
        <f t="shared" si="12"/>
        <v>0</v>
      </c>
      <c r="AX50" s="1120">
        <f t="shared" si="13"/>
        <v>0</v>
      </c>
      <c r="AY50" s="2973">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0">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120">
        <f t="shared" si="11"/>
        <v>0</v>
      </c>
      <c r="AW51" s="1120">
        <f t="shared" si="12"/>
        <v>0</v>
      </c>
      <c r="AX51" s="1120">
        <f t="shared" si="13"/>
        <v>0</v>
      </c>
      <c r="AY51" s="2973">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0">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120">
        <f t="shared" si="11"/>
        <v>0</v>
      </c>
      <c r="AW52" s="1120">
        <f t="shared" si="12"/>
        <v>0</v>
      </c>
      <c r="AX52" s="1120">
        <f t="shared" si="13"/>
        <v>0</v>
      </c>
      <c r="AY52" s="2973">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0">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120">
        <f t="shared" si="11"/>
        <v>0</v>
      </c>
      <c r="AW53" s="1120">
        <f t="shared" si="12"/>
        <v>0</v>
      </c>
      <c r="AX53" s="1120">
        <f t="shared" si="13"/>
        <v>0</v>
      </c>
      <c r="AY53" s="2973">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0">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120">
        <f t="shared" si="11"/>
        <v>0</v>
      </c>
      <c r="AW54" s="1120">
        <f t="shared" si="12"/>
        <v>0</v>
      </c>
      <c r="AX54" s="1120">
        <f t="shared" si="13"/>
        <v>0</v>
      </c>
      <c r="AY54" s="2973">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0">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120">
        <f t="shared" si="11"/>
        <v>0</v>
      </c>
      <c r="AW55" s="1120">
        <f t="shared" si="12"/>
        <v>0</v>
      </c>
      <c r="AX55" s="1120">
        <f t="shared" si="13"/>
        <v>0</v>
      </c>
      <c r="AY55" s="2973">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0">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120">
        <f t="shared" si="11"/>
        <v>0</v>
      </c>
      <c r="AW56" s="1120">
        <f t="shared" si="12"/>
        <v>0</v>
      </c>
      <c r="AX56" s="1120">
        <f t="shared" si="13"/>
        <v>0</v>
      </c>
      <c r="AY56" s="2973">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0">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120">
        <f t="shared" si="11"/>
        <v>0</v>
      </c>
      <c r="AW57" s="1120">
        <f t="shared" si="12"/>
        <v>0</v>
      </c>
      <c r="AX57" s="1120">
        <f t="shared" si="13"/>
        <v>0</v>
      </c>
      <c r="AY57" s="2973">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0">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120">
        <f t="shared" si="11"/>
        <v>0</v>
      </c>
      <c r="AW58" s="1120">
        <f t="shared" si="12"/>
        <v>0</v>
      </c>
      <c r="AX58" s="1120">
        <f t="shared" si="13"/>
        <v>0</v>
      </c>
      <c r="AY58" s="2973">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0">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120">
        <f t="shared" si="11"/>
        <v>0</v>
      </c>
      <c r="AW59" s="1120">
        <f t="shared" si="12"/>
        <v>0</v>
      </c>
      <c r="AX59" s="1120">
        <f t="shared" si="13"/>
        <v>0</v>
      </c>
      <c r="AY59" s="2973">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0">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120">
        <f t="shared" si="11"/>
        <v>0</v>
      </c>
      <c r="AW60" s="1120">
        <f t="shared" si="12"/>
        <v>0</v>
      </c>
      <c r="AX60" s="1120">
        <f t="shared" si="13"/>
        <v>0</v>
      </c>
      <c r="AY60" s="2973">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0">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120">
        <f t="shared" si="11"/>
        <v>0</v>
      </c>
      <c r="AW61" s="1120">
        <f t="shared" si="12"/>
        <v>0</v>
      </c>
      <c r="AX61" s="1120">
        <f t="shared" si="13"/>
        <v>0</v>
      </c>
      <c r="AY61" s="2973">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0">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120">
        <f t="shared" si="11"/>
        <v>0</v>
      </c>
      <c r="AW62" s="1120">
        <f t="shared" si="12"/>
        <v>0</v>
      </c>
      <c r="AX62" s="1120">
        <f t="shared" si="13"/>
        <v>0</v>
      </c>
      <c r="AY62" s="2973">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0">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120">
        <f t="shared" si="11"/>
        <v>0</v>
      </c>
      <c r="AW63" s="1120">
        <f t="shared" si="12"/>
        <v>0</v>
      </c>
      <c r="AX63" s="1120">
        <f t="shared" si="13"/>
        <v>0</v>
      </c>
      <c r="AY63" s="2973">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0">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120">
        <f t="shared" si="11"/>
        <v>0</v>
      </c>
      <c r="AW64" s="1120">
        <f t="shared" si="12"/>
        <v>0</v>
      </c>
      <c r="AX64" s="1120">
        <f t="shared" si="13"/>
        <v>0</v>
      </c>
      <c r="AY64" s="2973">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0">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120">
        <f t="shared" si="11"/>
        <v>0</v>
      </c>
      <c r="AW65" s="1120">
        <f t="shared" si="12"/>
        <v>0</v>
      </c>
      <c r="AX65" s="1120">
        <f t="shared" si="13"/>
        <v>0</v>
      </c>
      <c r="AY65" s="2973">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0">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120">
        <f t="shared" si="11"/>
        <v>0</v>
      </c>
      <c r="AW66" s="1120">
        <f t="shared" si="12"/>
        <v>0</v>
      </c>
      <c r="AX66" s="1120">
        <f t="shared" si="13"/>
        <v>0</v>
      </c>
      <c r="AY66" s="2973">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0">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120">
        <f t="shared" si="11"/>
        <v>0</v>
      </c>
      <c r="AW67" s="1120">
        <f t="shared" si="12"/>
        <v>0</v>
      </c>
      <c r="AX67" s="1120">
        <f t="shared" si="13"/>
        <v>0</v>
      </c>
      <c r="AY67" s="2973">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0">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120">
        <f t="shared" si="11"/>
        <v>0</v>
      </c>
      <c r="AW68" s="1120">
        <f t="shared" si="12"/>
        <v>0</v>
      </c>
      <c r="AX68" s="1120">
        <f t="shared" si="13"/>
        <v>0</v>
      </c>
      <c r="AY68" s="2973">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0">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120">
        <f t="shared" si="11"/>
        <v>0</v>
      </c>
      <c r="AW69" s="1120">
        <f t="shared" si="12"/>
        <v>0</v>
      </c>
      <c r="AX69" s="1120">
        <f t="shared" si="13"/>
        <v>0</v>
      </c>
      <c r="AY69" s="2973">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0">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120">
        <f t="shared" si="11"/>
        <v>0</v>
      </c>
      <c r="AW70" s="1120">
        <f t="shared" si="12"/>
        <v>0</v>
      </c>
      <c r="AX70" s="1120">
        <f t="shared" si="13"/>
        <v>0</v>
      </c>
      <c r="AY70" s="2973">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0">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120">
        <f t="shared" si="11"/>
        <v>0</v>
      </c>
      <c r="AW71" s="1120">
        <f t="shared" si="12"/>
        <v>0</v>
      </c>
      <c r="AX71" s="1120">
        <f t="shared" si="13"/>
        <v>0</v>
      </c>
      <c r="AY71" s="2973">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0">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120">
        <f t="shared" si="11"/>
        <v>0</v>
      </c>
      <c r="AW72" s="1120">
        <f t="shared" si="12"/>
        <v>0</v>
      </c>
      <c r="AX72" s="1120">
        <f t="shared" si="13"/>
        <v>0</v>
      </c>
      <c r="AY72" s="2973">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0">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120">
        <f t="shared" si="11"/>
        <v>0</v>
      </c>
      <c r="AW73" s="1120">
        <f t="shared" si="12"/>
        <v>0</v>
      </c>
      <c r="AX73" s="1120">
        <f t="shared" si="13"/>
        <v>0</v>
      </c>
      <c r="AY73" s="2973">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0">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120">
        <f t="shared" si="11"/>
        <v>0</v>
      </c>
      <c r="AW74" s="1120">
        <f t="shared" si="12"/>
        <v>0</v>
      </c>
      <c r="AX74" s="1120">
        <f t="shared" si="13"/>
        <v>0</v>
      </c>
      <c r="AY74" s="2973">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0">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120">
        <f t="shared" si="11"/>
        <v>0</v>
      </c>
      <c r="AW75" s="1120">
        <f t="shared" si="12"/>
        <v>0</v>
      </c>
      <c r="AX75" s="1120">
        <f t="shared" si="13"/>
        <v>0</v>
      </c>
      <c r="AY75" s="2973">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0">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120">
        <f t="shared" si="11"/>
        <v>0</v>
      </c>
      <c r="AW76" s="1120">
        <f t="shared" si="12"/>
        <v>0</v>
      </c>
      <c r="AX76" s="1120">
        <f t="shared" si="13"/>
        <v>0</v>
      </c>
      <c r="AY76" s="2973">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0">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120">
        <f t="shared" si="11"/>
        <v>0</v>
      </c>
      <c r="AW77" s="1120">
        <f t="shared" si="12"/>
        <v>0</v>
      </c>
      <c r="AX77" s="1120">
        <f t="shared" si="13"/>
        <v>0</v>
      </c>
      <c r="AY77" s="2973">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0">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120">
        <f t="shared" si="11"/>
        <v>0</v>
      </c>
      <c r="AW78" s="1120">
        <f t="shared" si="12"/>
        <v>0</v>
      </c>
      <c r="AX78" s="1120">
        <f t="shared" si="13"/>
        <v>0</v>
      </c>
      <c r="AY78" s="2973">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0">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120">
        <f t="shared" si="11"/>
        <v>0</v>
      </c>
      <c r="AW79" s="1120">
        <f t="shared" si="12"/>
        <v>0</v>
      </c>
      <c r="AX79" s="1120">
        <f t="shared" si="13"/>
        <v>0</v>
      </c>
      <c r="AY79" s="2973">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0">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120">
        <f t="shared" si="11"/>
        <v>0</v>
      </c>
      <c r="AW80" s="1120">
        <f t="shared" si="12"/>
        <v>0</v>
      </c>
      <c r="AX80" s="1120">
        <f t="shared" si="13"/>
        <v>0</v>
      </c>
      <c r="AY80" s="2973">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0">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120">
        <f t="shared" si="11"/>
        <v>0</v>
      </c>
      <c r="AW81" s="1120">
        <f t="shared" si="12"/>
        <v>0</v>
      </c>
      <c r="AX81" s="1120">
        <f t="shared" si="13"/>
        <v>0</v>
      </c>
      <c r="AY81" s="2973">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0">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120">
        <f t="shared" si="11"/>
        <v>0</v>
      </c>
      <c r="AW82" s="1120">
        <f t="shared" si="12"/>
        <v>0</v>
      </c>
      <c r="AX82" s="1120">
        <f t="shared" si="13"/>
        <v>0</v>
      </c>
      <c r="AY82" s="2973">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0">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120">
        <f t="shared" si="11"/>
        <v>0</v>
      </c>
      <c r="AW83" s="1120">
        <f t="shared" si="12"/>
        <v>0</v>
      </c>
      <c r="AX83" s="1120">
        <f t="shared" si="13"/>
        <v>0</v>
      </c>
      <c r="AY83" s="2973">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0">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120">
        <f t="shared" si="11"/>
        <v>0</v>
      </c>
      <c r="AW84" s="1120">
        <f t="shared" si="12"/>
        <v>0</v>
      </c>
      <c r="AX84" s="1120">
        <f t="shared" si="13"/>
        <v>0</v>
      </c>
      <c r="AY84" s="2973">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0">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120">
        <f t="shared" si="11"/>
        <v>0</v>
      </c>
      <c r="AW85" s="1120">
        <f t="shared" si="12"/>
        <v>0</v>
      </c>
      <c r="AX85" s="1120">
        <f t="shared" si="13"/>
        <v>0</v>
      </c>
      <c r="AY85" s="2973">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0">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120">
        <f t="shared" si="11"/>
        <v>0</v>
      </c>
      <c r="AW86" s="1120">
        <f t="shared" si="12"/>
        <v>0</v>
      </c>
      <c r="AX86" s="1120">
        <f t="shared" si="13"/>
        <v>0</v>
      </c>
      <c r="AY86" s="2973">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0">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120">
        <f t="shared" si="11"/>
        <v>0</v>
      </c>
      <c r="AW87" s="1120">
        <f t="shared" si="12"/>
        <v>0</v>
      </c>
      <c r="AX87" s="1120">
        <f t="shared" si="13"/>
        <v>0</v>
      </c>
      <c r="AY87" s="2973">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0">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120">
        <f t="shared" si="11"/>
        <v>0</v>
      </c>
      <c r="AW88" s="1120">
        <f t="shared" si="12"/>
        <v>0</v>
      </c>
      <c r="AX88" s="1120">
        <f t="shared" si="13"/>
        <v>0</v>
      </c>
      <c r="AY88" s="2973">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0">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120">
        <f t="shared" si="11"/>
        <v>0</v>
      </c>
      <c r="AW89" s="1120">
        <f t="shared" si="12"/>
        <v>0</v>
      </c>
      <c r="AX89" s="1120">
        <f t="shared" si="13"/>
        <v>0</v>
      </c>
      <c r="AY89" s="2973">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0">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120">
        <f t="shared" si="11"/>
        <v>0</v>
      </c>
      <c r="AW90" s="1120">
        <f t="shared" si="12"/>
        <v>0</v>
      </c>
      <c r="AX90" s="1120">
        <f t="shared" si="13"/>
        <v>0</v>
      </c>
      <c r="AY90" s="2973">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0">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120">
        <f t="shared" si="11"/>
        <v>0</v>
      </c>
      <c r="AW91" s="1120">
        <f t="shared" si="12"/>
        <v>0</v>
      </c>
      <c r="AX91" s="1120">
        <f t="shared" si="13"/>
        <v>0</v>
      </c>
      <c r="AY91" s="2973">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0">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120">
        <f t="shared" si="11"/>
        <v>0</v>
      </c>
      <c r="AW92" s="1120">
        <f t="shared" si="12"/>
        <v>0</v>
      </c>
      <c r="AX92" s="1120">
        <f t="shared" si="13"/>
        <v>0</v>
      </c>
      <c r="AY92" s="2973">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0">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120">
        <f t="shared" si="11"/>
        <v>0</v>
      </c>
      <c r="AW93" s="1120">
        <f t="shared" si="12"/>
        <v>0</v>
      </c>
      <c r="AX93" s="1120">
        <f t="shared" si="13"/>
        <v>0</v>
      </c>
      <c r="AY93" s="2973">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0">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120">
        <f t="shared" si="11"/>
        <v>0</v>
      </c>
      <c r="AW94" s="1120">
        <f t="shared" si="12"/>
        <v>0</v>
      </c>
      <c r="AX94" s="1120">
        <f t="shared" si="13"/>
        <v>0</v>
      </c>
      <c r="AY94" s="2973">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0">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120">
        <f t="shared" si="11"/>
        <v>0</v>
      </c>
      <c r="AW95" s="1120">
        <f t="shared" si="12"/>
        <v>0</v>
      </c>
      <c r="AX95" s="1120">
        <f t="shared" si="13"/>
        <v>0</v>
      </c>
      <c r="AY95" s="2973">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0">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120">
        <f t="shared" si="11"/>
        <v>0</v>
      </c>
      <c r="AW96" s="1120">
        <f t="shared" si="12"/>
        <v>0</v>
      </c>
      <c r="AX96" s="1120">
        <f t="shared" si="13"/>
        <v>0</v>
      </c>
      <c r="AY96" s="2973">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0">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120">
        <f t="shared" si="11"/>
        <v>0</v>
      </c>
      <c r="AW97" s="1120">
        <f t="shared" si="12"/>
        <v>0</v>
      </c>
      <c r="AX97" s="1120">
        <f t="shared" si="13"/>
        <v>0</v>
      </c>
      <c r="AY97" s="2973">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0">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120">
        <f t="shared" si="11"/>
        <v>0</v>
      </c>
      <c r="AW98" s="1120">
        <f t="shared" si="12"/>
        <v>0</v>
      </c>
      <c r="AX98" s="1120">
        <f t="shared" si="13"/>
        <v>0</v>
      </c>
      <c r="AY98" s="2973">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0">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120">
        <f t="shared" si="11"/>
        <v>0</v>
      </c>
      <c r="AW99" s="1120">
        <f t="shared" si="12"/>
        <v>0</v>
      </c>
      <c r="AX99" s="1120">
        <f t="shared" si="13"/>
        <v>0</v>
      </c>
      <c r="AY99" s="2973">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0">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120">
        <f t="shared" si="11"/>
        <v>0</v>
      </c>
      <c r="AW100" s="1120">
        <f t="shared" si="12"/>
        <v>0</v>
      </c>
      <c r="AX100" s="1120">
        <f t="shared" si="13"/>
        <v>0</v>
      </c>
      <c r="AY100" s="2973">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0">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120">
        <f t="shared" si="11"/>
        <v>0</v>
      </c>
      <c r="AW101" s="1120">
        <f t="shared" si="12"/>
        <v>0</v>
      </c>
      <c r="AX101" s="1120">
        <f t="shared" si="13"/>
        <v>0</v>
      </c>
      <c r="AY101" s="2973">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0">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120">
        <f t="shared" si="11"/>
        <v>0</v>
      </c>
      <c r="AW102" s="1120">
        <f t="shared" si="12"/>
        <v>0</v>
      </c>
      <c r="AX102" s="1120">
        <f t="shared" si="13"/>
        <v>0</v>
      </c>
      <c r="AY102" s="2973">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0">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120">
        <f t="shared" si="11"/>
        <v>0</v>
      </c>
      <c r="AW103" s="1120">
        <f t="shared" si="12"/>
        <v>0</v>
      </c>
      <c r="AX103" s="1120">
        <f t="shared" si="13"/>
        <v>0</v>
      </c>
      <c r="AY103" s="2973">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0">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120">
        <f t="shared" si="11"/>
        <v>0</v>
      </c>
      <c r="AW104" s="1120">
        <f t="shared" si="12"/>
        <v>0</v>
      </c>
      <c r="AX104" s="1120">
        <f t="shared" si="13"/>
        <v>0</v>
      </c>
      <c r="AY104" s="2973">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0">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120">
        <f t="shared" si="11"/>
        <v>0</v>
      </c>
      <c r="AW105" s="1120">
        <f t="shared" si="12"/>
        <v>0</v>
      </c>
      <c r="AX105" s="1120">
        <f t="shared" si="13"/>
        <v>0</v>
      </c>
      <c r="AY105" s="2973">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0">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120">
        <f t="shared" si="11"/>
        <v>0</v>
      </c>
      <c r="AW106" s="1120">
        <f t="shared" si="12"/>
        <v>0</v>
      </c>
      <c r="AX106" s="1120">
        <f t="shared" si="13"/>
        <v>0</v>
      </c>
      <c r="AY106" s="2973">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0">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120">
        <f t="shared" si="11"/>
        <v>0</v>
      </c>
      <c r="AW107" s="1120">
        <f t="shared" si="12"/>
        <v>0</v>
      </c>
      <c r="AX107" s="1120">
        <f t="shared" si="13"/>
        <v>0</v>
      </c>
      <c r="AY107" s="2973">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0">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120">
        <f t="shared" si="11"/>
        <v>0</v>
      </c>
      <c r="AW108" s="1120">
        <f t="shared" si="12"/>
        <v>0</v>
      </c>
      <c r="AX108" s="1120">
        <f t="shared" si="13"/>
        <v>0</v>
      </c>
      <c r="AY108" s="2973">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0">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120">
        <f t="shared" si="11"/>
        <v>0</v>
      </c>
      <c r="AW109" s="1120">
        <f t="shared" si="12"/>
        <v>0</v>
      </c>
      <c r="AX109" s="1120">
        <f t="shared" si="13"/>
        <v>0</v>
      </c>
      <c r="AY109" s="2973">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0">
        <f t="shared" si="35"/>
        <v>0</v>
      </c>
    </row>
    <row r="110" spans="1:72">
      <c r="A110" s="2925"/>
      <c r="B110" s="2925"/>
      <c r="C110" s="2925"/>
      <c r="D110" s="2927"/>
      <c r="E110" s="2928">
        <f t="shared" si="7"/>
        <v>0</v>
      </c>
      <c r="F110" s="2981"/>
      <c r="G110" s="2930">
        <f t="shared" ref="G110:G141" si="36">H110+AC110+AT110</f>
        <v>0</v>
      </c>
      <c r="H110" s="2931">
        <f t="shared" ref="H110:H141" si="37">SUMIF(I$12:AB$12,"总值",I110:AB110)</f>
        <v>0</v>
      </c>
      <c r="I110" s="2982"/>
      <c r="J110" s="2982"/>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3"/>
      <c r="AV110" s="1120">
        <f t="shared" si="11"/>
        <v>0</v>
      </c>
      <c r="AW110" s="1120">
        <f t="shared" si="12"/>
        <v>0</v>
      </c>
      <c r="AX110" s="1120">
        <f t="shared" si="13"/>
        <v>0</v>
      </c>
      <c r="AY110" s="2973">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0">
        <f t="shared" ref="BT110:BT141" si="60">IF($D110="是",AR110-AS110,0)</f>
        <v>0</v>
      </c>
    </row>
    <row r="111" spans="1:72">
      <c r="A111" s="2925"/>
      <c r="B111" s="2925"/>
      <c r="C111" s="2925"/>
      <c r="D111" s="2927"/>
      <c r="E111" s="2928">
        <f t="shared" si="7"/>
        <v>0</v>
      </c>
      <c r="F111" s="2981"/>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3"/>
      <c r="AV111" s="1120">
        <f t="shared" si="11"/>
        <v>0</v>
      </c>
      <c r="AW111" s="1120">
        <f t="shared" si="12"/>
        <v>0</v>
      </c>
      <c r="AX111" s="1120">
        <f t="shared" si="13"/>
        <v>0</v>
      </c>
      <c r="AY111" s="2973">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0">
        <f t="shared" si="60"/>
        <v>0</v>
      </c>
    </row>
    <row r="112" spans="1:72">
      <c r="A112" s="2925"/>
      <c r="B112" s="2925"/>
      <c r="C112" s="2925"/>
      <c r="D112" s="2927"/>
      <c r="E112" s="2928">
        <f t="shared" si="7"/>
        <v>0</v>
      </c>
      <c r="F112" s="2981"/>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3"/>
      <c r="AV112" s="1120">
        <f t="shared" si="11"/>
        <v>0</v>
      </c>
      <c r="AW112" s="1120">
        <f t="shared" si="12"/>
        <v>0</v>
      </c>
      <c r="AX112" s="1120">
        <f t="shared" si="13"/>
        <v>0</v>
      </c>
      <c r="AY112" s="2973">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0">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120">
        <f t="shared" ref="AV113:AV144" si="62">A113</f>
        <v>0</v>
      </c>
      <c r="AW113" s="1120">
        <f t="shared" ref="AW113:AW144" si="63">B113</f>
        <v>0</v>
      </c>
      <c r="AX113" s="1120">
        <f t="shared" ref="AX113:AX144" si="64">C113</f>
        <v>0</v>
      </c>
      <c r="AY113" s="2973">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0">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120">
        <f t="shared" si="62"/>
        <v>0</v>
      </c>
      <c r="AW114" s="1120">
        <f t="shared" si="63"/>
        <v>0</v>
      </c>
      <c r="AX114" s="1120">
        <f t="shared" si="64"/>
        <v>0</v>
      </c>
      <c r="AY114" s="2973">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0">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120">
        <f t="shared" si="62"/>
        <v>0</v>
      </c>
      <c r="AW115" s="1120">
        <f t="shared" si="63"/>
        <v>0</v>
      </c>
      <c r="AX115" s="1120">
        <f t="shared" si="64"/>
        <v>0</v>
      </c>
      <c r="AY115" s="2973">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0">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120">
        <f t="shared" si="62"/>
        <v>0</v>
      </c>
      <c r="AW116" s="1120">
        <f t="shared" si="63"/>
        <v>0</v>
      </c>
      <c r="AX116" s="1120">
        <f t="shared" si="64"/>
        <v>0</v>
      </c>
      <c r="AY116" s="2973">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0">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120">
        <f t="shared" si="62"/>
        <v>0</v>
      </c>
      <c r="AW117" s="1120">
        <f t="shared" si="63"/>
        <v>0</v>
      </c>
      <c r="AX117" s="1120">
        <f t="shared" si="64"/>
        <v>0</v>
      </c>
      <c r="AY117" s="2973">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0">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120">
        <f t="shared" si="62"/>
        <v>0</v>
      </c>
      <c r="AW118" s="1120">
        <f t="shared" si="63"/>
        <v>0</v>
      </c>
      <c r="AX118" s="1120">
        <f t="shared" si="64"/>
        <v>0</v>
      </c>
      <c r="AY118" s="2973">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0">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120">
        <f t="shared" si="62"/>
        <v>0</v>
      </c>
      <c r="AW119" s="1120">
        <f t="shared" si="63"/>
        <v>0</v>
      </c>
      <c r="AX119" s="1120">
        <f t="shared" si="64"/>
        <v>0</v>
      </c>
      <c r="AY119" s="2973">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0">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120">
        <f t="shared" si="62"/>
        <v>0</v>
      </c>
      <c r="AW120" s="1120">
        <f t="shared" si="63"/>
        <v>0</v>
      </c>
      <c r="AX120" s="1120">
        <f t="shared" si="64"/>
        <v>0</v>
      </c>
      <c r="AY120" s="2973">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0">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120">
        <f t="shared" si="62"/>
        <v>0</v>
      </c>
      <c r="AW121" s="1120">
        <f t="shared" si="63"/>
        <v>0</v>
      </c>
      <c r="AX121" s="1120">
        <f t="shared" si="64"/>
        <v>0</v>
      </c>
      <c r="AY121" s="2973">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0">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120">
        <f t="shared" si="62"/>
        <v>0</v>
      </c>
      <c r="AW122" s="1120">
        <f t="shared" si="63"/>
        <v>0</v>
      </c>
      <c r="AX122" s="1120">
        <f t="shared" si="64"/>
        <v>0</v>
      </c>
      <c r="AY122" s="2973">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0">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120">
        <f t="shared" si="62"/>
        <v>0</v>
      </c>
      <c r="AW123" s="1120">
        <f t="shared" si="63"/>
        <v>0</v>
      </c>
      <c r="AX123" s="1120">
        <f t="shared" si="64"/>
        <v>0</v>
      </c>
      <c r="AY123" s="2973">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0">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120">
        <f t="shared" si="62"/>
        <v>0</v>
      </c>
      <c r="AW124" s="1120">
        <f t="shared" si="63"/>
        <v>0</v>
      </c>
      <c r="AX124" s="1120">
        <f t="shared" si="64"/>
        <v>0</v>
      </c>
      <c r="AY124" s="2973">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0">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120">
        <f t="shared" si="62"/>
        <v>0</v>
      </c>
      <c r="AW125" s="1120">
        <f t="shared" si="63"/>
        <v>0</v>
      </c>
      <c r="AX125" s="1120">
        <f t="shared" si="64"/>
        <v>0</v>
      </c>
      <c r="AY125" s="2973">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0">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120">
        <f t="shared" si="62"/>
        <v>0</v>
      </c>
      <c r="AW126" s="1120">
        <f t="shared" si="63"/>
        <v>0</v>
      </c>
      <c r="AX126" s="1120">
        <f t="shared" si="64"/>
        <v>0</v>
      </c>
      <c r="AY126" s="2973">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0">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120">
        <f t="shared" si="62"/>
        <v>0</v>
      </c>
      <c r="AW127" s="1120">
        <f t="shared" si="63"/>
        <v>0</v>
      </c>
      <c r="AX127" s="1120">
        <f t="shared" si="64"/>
        <v>0</v>
      </c>
      <c r="AY127" s="2973">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0">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120">
        <f t="shared" si="62"/>
        <v>0</v>
      </c>
      <c r="AW128" s="1120">
        <f t="shared" si="63"/>
        <v>0</v>
      </c>
      <c r="AX128" s="1120">
        <f t="shared" si="64"/>
        <v>0</v>
      </c>
      <c r="AY128" s="2973">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0">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120">
        <f t="shared" si="62"/>
        <v>0</v>
      </c>
      <c r="AW129" s="1120">
        <f t="shared" si="63"/>
        <v>0</v>
      </c>
      <c r="AX129" s="1120">
        <f t="shared" si="64"/>
        <v>0</v>
      </c>
      <c r="AY129" s="2973">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0">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120">
        <f t="shared" si="62"/>
        <v>0</v>
      </c>
      <c r="AW130" s="1120">
        <f t="shared" si="63"/>
        <v>0</v>
      </c>
      <c r="AX130" s="1120">
        <f t="shared" si="64"/>
        <v>0</v>
      </c>
      <c r="AY130" s="2973">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0">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120">
        <f t="shared" si="62"/>
        <v>0</v>
      </c>
      <c r="AW131" s="1120">
        <f t="shared" si="63"/>
        <v>0</v>
      </c>
      <c r="AX131" s="1120">
        <f t="shared" si="64"/>
        <v>0</v>
      </c>
      <c r="AY131" s="2973">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0">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120">
        <f t="shared" si="62"/>
        <v>0</v>
      </c>
      <c r="AW132" s="1120">
        <f t="shared" si="63"/>
        <v>0</v>
      </c>
      <c r="AX132" s="1120">
        <f t="shared" si="64"/>
        <v>0</v>
      </c>
      <c r="AY132" s="2973">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0">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120">
        <f t="shared" si="62"/>
        <v>0</v>
      </c>
      <c r="AW133" s="1120">
        <f t="shared" si="63"/>
        <v>0</v>
      </c>
      <c r="AX133" s="1120">
        <f t="shared" si="64"/>
        <v>0</v>
      </c>
      <c r="AY133" s="2973">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0">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120">
        <f t="shared" si="62"/>
        <v>0</v>
      </c>
      <c r="AW134" s="1120">
        <f t="shared" si="63"/>
        <v>0</v>
      </c>
      <c r="AX134" s="1120">
        <f t="shared" si="64"/>
        <v>0</v>
      </c>
      <c r="AY134" s="2973">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0">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120">
        <f t="shared" si="62"/>
        <v>0</v>
      </c>
      <c r="AW135" s="1120">
        <f t="shared" si="63"/>
        <v>0</v>
      </c>
      <c r="AX135" s="1120">
        <f t="shared" si="64"/>
        <v>0</v>
      </c>
      <c r="AY135" s="2973">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0">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120">
        <f t="shared" si="62"/>
        <v>0</v>
      </c>
      <c r="AW136" s="1120">
        <f t="shared" si="63"/>
        <v>0</v>
      </c>
      <c r="AX136" s="1120">
        <f t="shared" si="64"/>
        <v>0</v>
      </c>
      <c r="AY136" s="2973">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0">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120">
        <f t="shared" si="62"/>
        <v>0</v>
      </c>
      <c r="AW137" s="1120">
        <f t="shared" si="63"/>
        <v>0</v>
      </c>
      <c r="AX137" s="1120">
        <f t="shared" si="64"/>
        <v>0</v>
      </c>
      <c r="AY137" s="2973">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0">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120">
        <f t="shared" si="62"/>
        <v>0</v>
      </c>
      <c r="AW138" s="1120">
        <f t="shared" si="63"/>
        <v>0</v>
      </c>
      <c r="AX138" s="1120">
        <f t="shared" si="64"/>
        <v>0</v>
      </c>
      <c r="AY138" s="2973">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0">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120">
        <f t="shared" si="62"/>
        <v>0</v>
      </c>
      <c r="AW139" s="1120">
        <f t="shared" si="63"/>
        <v>0</v>
      </c>
      <c r="AX139" s="1120">
        <f t="shared" si="64"/>
        <v>0</v>
      </c>
      <c r="AY139" s="2973">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0">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120">
        <f t="shared" si="62"/>
        <v>0</v>
      </c>
      <c r="AW140" s="1120">
        <f t="shared" si="63"/>
        <v>0</v>
      </c>
      <c r="AX140" s="1120">
        <f t="shared" si="64"/>
        <v>0</v>
      </c>
      <c r="AY140" s="2973">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0">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120">
        <f t="shared" si="62"/>
        <v>0</v>
      </c>
      <c r="AW141" s="1120">
        <f t="shared" si="63"/>
        <v>0</v>
      </c>
      <c r="AX141" s="1120">
        <f t="shared" si="64"/>
        <v>0</v>
      </c>
      <c r="AY141" s="2973">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0">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120">
        <f t="shared" si="62"/>
        <v>0</v>
      </c>
      <c r="AW142" s="1120">
        <f t="shared" si="63"/>
        <v>0</v>
      </c>
      <c r="AX142" s="1120">
        <f t="shared" si="64"/>
        <v>0</v>
      </c>
      <c r="AY142" s="2973">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0">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120">
        <f t="shared" si="62"/>
        <v>0</v>
      </c>
      <c r="AW143" s="1120">
        <f t="shared" si="63"/>
        <v>0</v>
      </c>
      <c r="AX143" s="1120">
        <f t="shared" si="64"/>
        <v>0</v>
      </c>
      <c r="AY143" s="2973">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0">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120">
        <f t="shared" si="62"/>
        <v>0</v>
      </c>
      <c r="AW144" s="1120">
        <f t="shared" si="63"/>
        <v>0</v>
      </c>
      <c r="AX144" s="1120">
        <f t="shared" si="64"/>
        <v>0</v>
      </c>
      <c r="AY144" s="2973">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0">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120">
        <f t="shared" ref="AV145:AV176" si="91">A145</f>
        <v>0</v>
      </c>
      <c r="AW145" s="1120">
        <f t="shared" ref="AW145:AW176" si="92">B145</f>
        <v>0</v>
      </c>
      <c r="AX145" s="1120">
        <f t="shared" ref="AX145:AX176" si="93">C145</f>
        <v>0</v>
      </c>
      <c r="AY145" s="2973">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0">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120">
        <f t="shared" si="91"/>
        <v>0</v>
      </c>
      <c r="AW146" s="1120">
        <f t="shared" si="92"/>
        <v>0</v>
      </c>
      <c r="AX146" s="1120">
        <f t="shared" si="93"/>
        <v>0</v>
      </c>
      <c r="AY146" s="2973">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0">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120">
        <f t="shared" si="91"/>
        <v>0</v>
      </c>
      <c r="AW147" s="1120">
        <f t="shared" si="92"/>
        <v>0</v>
      </c>
      <c r="AX147" s="1120">
        <f t="shared" si="93"/>
        <v>0</v>
      </c>
      <c r="AY147" s="2973">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0">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120">
        <f t="shared" si="91"/>
        <v>0</v>
      </c>
      <c r="AW148" s="1120">
        <f t="shared" si="92"/>
        <v>0</v>
      </c>
      <c r="AX148" s="1120">
        <f t="shared" si="93"/>
        <v>0</v>
      </c>
      <c r="AY148" s="2973">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0">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120">
        <f t="shared" si="91"/>
        <v>0</v>
      </c>
      <c r="AW149" s="1120">
        <f t="shared" si="92"/>
        <v>0</v>
      </c>
      <c r="AX149" s="1120">
        <f t="shared" si="93"/>
        <v>0</v>
      </c>
      <c r="AY149" s="2973">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0">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120">
        <f t="shared" si="91"/>
        <v>0</v>
      </c>
      <c r="AW150" s="1120">
        <f t="shared" si="92"/>
        <v>0</v>
      </c>
      <c r="AX150" s="1120">
        <f t="shared" si="93"/>
        <v>0</v>
      </c>
      <c r="AY150" s="2973">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0">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120">
        <f t="shared" si="91"/>
        <v>0</v>
      </c>
      <c r="AW151" s="1120">
        <f t="shared" si="92"/>
        <v>0</v>
      </c>
      <c r="AX151" s="1120">
        <f t="shared" si="93"/>
        <v>0</v>
      </c>
      <c r="AY151" s="2973">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0">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120">
        <f t="shared" si="91"/>
        <v>0</v>
      </c>
      <c r="AW152" s="1120">
        <f t="shared" si="92"/>
        <v>0</v>
      </c>
      <c r="AX152" s="1120">
        <f t="shared" si="93"/>
        <v>0</v>
      </c>
      <c r="AY152" s="2973">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0">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120">
        <f t="shared" si="91"/>
        <v>0</v>
      </c>
      <c r="AW153" s="1120">
        <f t="shared" si="92"/>
        <v>0</v>
      </c>
      <c r="AX153" s="1120">
        <f t="shared" si="93"/>
        <v>0</v>
      </c>
      <c r="AY153" s="2973">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0">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120">
        <f t="shared" si="91"/>
        <v>0</v>
      </c>
      <c r="AW154" s="1120">
        <f t="shared" si="92"/>
        <v>0</v>
      </c>
      <c r="AX154" s="1120">
        <f t="shared" si="93"/>
        <v>0</v>
      </c>
      <c r="AY154" s="2973">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0">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120">
        <f t="shared" si="91"/>
        <v>0</v>
      </c>
      <c r="AW155" s="1120">
        <f t="shared" si="92"/>
        <v>0</v>
      </c>
      <c r="AX155" s="1120">
        <f t="shared" si="93"/>
        <v>0</v>
      </c>
      <c r="AY155" s="2973">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0">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120">
        <f t="shared" si="91"/>
        <v>0</v>
      </c>
      <c r="AW156" s="1120">
        <f t="shared" si="92"/>
        <v>0</v>
      </c>
      <c r="AX156" s="1120">
        <f t="shared" si="93"/>
        <v>0</v>
      </c>
      <c r="AY156" s="2973">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0">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120">
        <f t="shared" si="91"/>
        <v>0</v>
      </c>
      <c r="AW157" s="1120">
        <f t="shared" si="92"/>
        <v>0</v>
      </c>
      <c r="AX157" s="1120">
        <f t="shared" si="93"/>
        <v>0</v>
      </c>
      <c r="AY157" s="2973">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0">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120">
        <f t="shared" si="91"/>
        <v>0</v>
      </c>
      <c r="AW158" s="1120">
        <f t="shared" si="92"/>
        <v>0</v>
      </c>
      <c r="AX158" s="1120">
        <f t="shared" si="93"/>
        <v>0</v>
      </c>
      <c r="AY158" s="2973">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0">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120">
        <f t="shared" si="91"/>
        <v>0</v>
      </c>
      <c r="AW159" s="1120">
        <f t="shared" si="92"/>
        <v>0</v>
      </c>
      <c r="AX159" s="1120">
        <f t="shared" si="93"/>
        <v>0</v>
      </c>
      <c r="AY159" s="2973">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0">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120">
        <f t="shared" si="91"/>
        <v>0</v>
      </c>
      <c r="AW160" s="1120">
        <f t="shared" si="92"/>
        <v>0</v>
      </c>
      <c r="AX160" s="1120">
        <f t="shared" si="93"/>
        <v>0</v>
      </c>
      <c r="AY160" s="2973">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0">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120">
        <f t="shared" si="91"/>
        <v>0</v>
      </c>
      <c r="AW161" s="1120">
        <f t="shared" si="92"/>
        <v>0</v>
      </c>
      <c r="AX161" s="1120">
        <f t="shared" si="93"/>
        <v>0</v>
      </c>
      <c r="AY161" s="2973">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0">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120">
        <f t="shared" si="91"/>
        <v>0</v>
      </c>
      <c r="AW162" s="1120">
        <f t="shared" si="92"/>
        <v>0</v>
      </c>
      <c r="AX162" s="1120">
        <f t="shared" si="93"/>
        <v>0</v>
      </c>
      <c r="AY162" s="2973">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0">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120">
        <f t="shared" si="91"/>
        <v>0</v>
      </c>
      <c r="AW163" s="1120">
        <f t="shared" si="92"/>
        <v>0</v>
      </c>
      <c r="AX163" s="1120">
        <f t="shared" si="93"/>
        <v>0</v>
      </c>
      <c r="AY163" s="2973">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0">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120">
        <f t="shared" si="91"/>
        <v>0</v>
      </c>
      <c r="AW164" s="1120">
        <f t="shared" si="92"/>
        <v>0</v>
      </c>
      <c r="AX164" s="1120">
        <f t="shared" si="93"/>
        <v>0</v>
      </c>
      <c r="AY164" s="2973">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0">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120">
        <f t="shared" si="91"/>
        <v>0</v>
      </c>
      <c r="AW165" s="1120">
        <f t="shared" si="92"/>
        <v>0</v>
      </c>
      <c r="AX165" s="1120">
        <f t="shared" si="93"/>
        <v>0</v>
      </c>
      <c r="AY165" s="2973">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0">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120">
        <f t="shared" si="91"/>
        <v>0</v>
      </c>
      <c r="AW166" s="1120">
        <f t="shared" si="92"/>
        <v>0</v>
      </c>
      <c r="AX166" s="1120">
        <f t="shared" si="93"/>
        <v>0</v>
      </c>
      <c r="AY166" s="2973">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0">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120">
        <f t="shared" si="91"/>
        <v>0</v>
      </c>
      <c r="AW167" s="1120">
        <f t="shared" si="92"/>
        <v>0</v>
      </c>
      <c r="AX167" s="1120">
        <f t="shared" si="93"/>
        <v>0</v>
      </c>
      <c r="AY167" s="2973">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0">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120">
        <f t="shared" si="91"/>
        <v>0</v>
      </c>
      <c r="AW168" s="1120">
        <f t="shared" si="92"/>
        <v>0</v>
      </c>
      <c r="AX168" s="1120">
        <f t="shared" si="93"/>
        <v>0</v>
      </c>
      <c r="AY168" s="2973">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0">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120">
        <f t="shared" si="91"/>
        <v>0</v>
      </c>
      <c r="AW169" s="1120">
        <f t="shared" si="92"/>
        <v>0</v>
      </c>
      <c r="AX169" s="1120">
        <f t="shared" si="93"/>
        <v>0</v>
      </c>
      <c r="AY169" s="2973">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0">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120">
        <f t="shared" si="91"/>
        <v>0</v>
      </c>
      <c r="AW170" s="1120">
        <f t="shared" si="92"/>
        <v>0</v>
      </c>
      <c r="AX170" s="1120">
        <f t="shared" si="93"/>
        <v>0</v>
      </c>
      <c r="AY170" s="2973">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0">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120">
        <f t="shared" si="91"/>
        <v>0</v>
      </c>
      <c r="AW171" s="1120">
        <f t="shared" si="92"/>
        <v>0</v>
      </c>
      <c r="AX171" s="1120">
        <f t="shared" si="93"/>
        <v>0</v>
      </c>
      <c r="AY171" s="2973">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0">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120">
        <f t="shared" si="91"/>
        <v>0</v>
      </c>
      <c r="AW172" s="1120">
        <f t="shared" si="92"/>
        <v>0</v>
      </c>
      <c r="AX172" s="1120">
        <f t="shared" si="93"/>
        <v>0</v>
      </c>
      <c r="AY172" s="2973">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0">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120">
        <f t="shared" si="91"/>
        <v>0</v>
      </c>
      <c r="AW173" s="1120">
        <f t="shared" si="92"/>
        <v>0</v>
      </c>
      <c r="AX173" s="1120">
        <f t="shared" si="93"/>
        <v>0</v>
      </c>
      <c r="AY173" s="2973">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0">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120">
        <f t="shared" si="91"/>
        <v>0</v>
      </c>
      <c r="AW174" s="1120">
        <f t="shared" si="92"/>
        <v>0</v>
      </c>
      <c r="AX174" s="1120">
        <f t="shared" si="93"/>
        <v>0</v>
      </c>
      <c r="AY174" s="2973">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0">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120">
        <f t="shared" si="91"/>
        <v>0</v>
      </c>
      <c r="AW175" s="1120">
        <f t="shared" si="92"/>
        <v>0</v>
      </c>
      <c r="AX175" s="1120">
        <f t="shared" si="93"/>
        <v>0</v>
      </c>
      <c r="AY175" s="2973">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0">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120">
        <f t="shared" si="91"/>
        <v>0</v>
      </c>
      <c r="AW176" s="1120">
        <f t="shared" si="92"/>
        <v>0</v>
      </c>
      <c r="AX176" s="1120">
        <f t="shared" si="93"/>
        <v>0</v>
      </c>
      <c r="AY176" s="2973">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0">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120">
        <f t="shared" ref="AV177:AV207" si="120">A177</f>
        <v>0</v>
      </c>
      <c r="AW177" s="1120">
        <f t="shared" ref="AW177:AW207" si="121">B177</f>
        <v>0</v>
      </c>
      <c r="AX177" s="1120">
        <f t="shared" ref="AX177:AX207" si="122">C177</f>
        <v>0</v>
      </c>
      <c r="AY177" s="2973">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0">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120">
        <f t="shared" si="120"/>
        <v>0</v>
      </c>
      <c r="AW178" s="1120">
        <f t="shared" si="121"/>
        <v>0</v>
      </c>
      <c r="AX178" s="1120">
        <f t="shared" si="122"/>
        <v>0</v>
      </c>
      <c r="AY178" s="2973">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0">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120">
        <f t="shared" si="120"/>
        <v>0</v>
      </c>
      <c r="AW179" s="1120">
        <f t="shared" si="121"/>
        <v>0</v>
      </c>
      <c r="AX179" s="1120">
        <f t="shared" si="122"/>
        <v>0</v>
      </c>
      <c r="AY179" s="2973">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0">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120">
        <f t="shared" si="120"/>
        <v>0</v>
      </c>
      <c r="AW180" s="1120">
        <f t="shared" si="121"/>
        <v>0</v>
      </c>
      <c r="AX180" s="1120">
        <f t="shared" si="122"/>
        <v>0</v>
      </c>
      <c r="AY180" s="2973">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0">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120">
        <f t="shared" si="120"/>
        <v>0</v>
      </c>
      <c r="AW181" s="1120">
        <f t="shared" si="121"/>
        <v>0</v>
      </c>
      <c r="AX181" s="1120">
        <f t="shared" si="122"/>
        <v>0</v>
      </c>
      <c r="AY181" s="2973">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0">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120">
        <f t="shared" si="120"/>
        <v>0</v>
      </c>
      <c r="AW182" s="1120">
        <f t="shared" si="121"/>
        <v>0</v>
      </c>
      <c r="AX182" s="1120">
        <f t="shared" si="122"/>
        <v>0</v>
      </c>
      <c r="AY182" s="2973">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0">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120">
        <f t="shared" si="120"/>
        <v>0</v>
      </c>
      <c r="AW183" s="1120">
        <f t="shared" si="121"/>
        <v>0</v>
      </c>
      <c r="AX183" s="1120">
        <f t="shared" si="122"/>
        <v>0</v>
      </c>
      <c r="AY183" s="2973">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0">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120">
        <f t="shared" si="120"/>
        <v>0</v>
      </c>
      <c r="AW184" s="1120">
        <f t="shared" si="121"/>
        <v>0</v>
      </c>
      <c r="AX184" s="1120">
        <f t="shared" si="122"/>
        <v>0</v>
      </c>
      <c r="AY184" s="2973">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0">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120">
        <f t="shared" si="120"/>
        <v>0</v>
      </c>
      <c r="AW185" s="1120">
        <f t="shared" si="121"/>
        <v>0</v>
      </c>
      <c r="AX185" s="1120">
        <f t="shared" si="122"/>
        <v>0</v>
      </c>
      <c r="AY185" s="2973">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0">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120">
        <f t="shared" si="120"/>
        <v>0</v>
      </c>
      <c r="AW186" s="1120">
        <f t="shared" si="121"/>
        <v>0</v>
      </c>
      <c r="AX186" s="1120">
        <f t="shared" si="122"/>
        <v>0</v>
      </c>
      <c r="AY186" s="2973">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0">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120">
        <f t="shared" si="120"/>
        <v>0</v>
      </c>
      <c r="AW187" s="1120">
        <f t="shared" si="121"/>
        <v>0</v>
      </c>
      <c r="AX187" s="1120">
        <f t="shared" si="122"/>
        <v>0</v>
      </c>
      <c r="AY187" s="2973">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0">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120">
        <f t="shared" si="120"/>
        <v>0</v>
      </c>
      <c r="AW188" s="1120">
        <f t="shared" si="121"/>
        <v>0</v>
      </c>
      <c r="AX188" s="1120">
        <f t="shared" si="122"/>
        <v>0</v>
      </c>
      <c r="AY188" s="2973">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0">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120">
        <f t="shared" si="120"/>
        <v>0</v>
      </c>
      <c r="AW189" s="1120">
        <f t="shared" si="121"/>
        <v>0</v>
      </c>
      <c r="AX189" s="1120">
        <f t="shared" si="122"/>
        <v>0</v>
      </c>
      <c r="AY189" s="2973">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0">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120">
        <f t="shared" si="120"/>
        <v>0</v>
      </c>
      <c r="AW190" s="1120">
        <f t="shared" si="121"/>
        <v>0</v>
      </c>
      <c r="AX190" s="1120">
        <f t="shared" si="122"/>
        <v>0</v>
      </c>
      <c r="AY190" s="2973">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0">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120">
        <f t="shared" si="120"/>
        <v>0</v>
      </c>
      <c r="AW191" s="1120">
        <f t="shared" si="121"/>
        <v>0</v>
      </c>
      <c r="AX191" s="1120">
        <f t="shared" si="122"/>
        <v>0</v>
      </c>
      <c r="AY191" s="2973">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0">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120">
        <f t="shared" si="120"/>
        <v>0</v>
      </c>
      <c r="AW192" s="1120">
        <f t="shared" si="121"/>
        <v>0</v>
      </c>
      <c r="AX192" s="1120">
        <f t="shared" si="122"/>
        <v>0</v>
      </c>
      <c r="AY192" s="2973">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0">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120">
        <f t="shared" si="120"/>
        <v>0</v>
      </c>
      <c r="AW193" s="1120">
        <f t="shared" si="121"/>
        <v>0</v>
      </c>
      <c r="AX193" s="1120">
        <f t="shared" si="122"/>
        <v>0</v>
      </c>
      <c r="AY193" s="2973">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0">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120">
        <f t="shared" si="120"/>
        <v>0</v>
      </c>
      <c r="AW194" s="1120">
        <f t="shared" si="121"/>
        <v>0</v>
      </c>
      <c r="AX194" s="1120">
        <f t="shared" si="122"/>
        <v>0</v>
      </c>
      <c r="AY194" s="2973">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0">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120">
        <f t="shared" si="120"/>
        <v>0</v>
      </c>
      <c r="AW195" s="1120">
        <f t="shared" si="121"/>
        <v>0</v>
      </c>
      <c r="AX195" s="1120">
        <f t="shared" si="122"/>
        <v>0</v>
      </c>
      <c r="AY195" s="2973">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0">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120">
        <f t="shared" si="120"/>
        <v>0</v>
      </c>
      <c r="AW196" s="1120">
        <f t="shared" si="121"/>
        <v>0</v>
      </c>
      <c r="AX196" s="1120">
        <f t="shared" si="122"/>
        <v>0</v>
      </c>
      <c r="AY196" s="2973">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0">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120">
        <f t="shared" si="120"/>
        <v>0</v>
      </c>
      <c r="AW197" s="1120">
        <f t="shared" si="121"/>
        <v>0</v>
      </c>
      <c r="AX197" s="1120">
        <f t="shared" si="122"/>
        <v>0</v>
      </c>
      <c r="AY197" s="2973">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0">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120">
        <f t="shared" si="120"/>
        <v>0</v>
      </c>
      <c r="AW198" s="1120">
        <f t="shared" si="121"/>
        <v>0</v>
      </c>
      <c r="AX198" s="1120">
        <f t="shared" si="122"/>
        <v>0</v>
      </c>
      <c r="AY198" s="2973">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0">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120">
        <f t="shared" si="120"/>
        <v>0</v>
      </c>
      <c r="AW199" s="1120">
        <f t="shared" si="121"/>
        <v>0</v>
      </c>
      <c r="AX199" s="1120">
        <f t="shared" si="122"/>
        <v>0</v>
      </c>
      <c r="AY199" s="2973">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0">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120">
        <f t="shared" si="120"/>
        <v>0</v>
      </c>
      <c r="AW200" s="1120">
        <f t="shared" si="121"/>
        <v>0</v>
      </c>
      <c r="AX200" s="1120">
        <f t="shared" si="122"/>
        <v>0</v>
      </c>
      <c r="AY200" s="2973">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0">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120">
        <f t="shared" si="120"/>
        <v>0</v>
      </c>
      <c r="AW201" s="1120">
        <f t="shared" si="121"/>
        <v>0</v>
      </c>
      <c r="AX201" s="1120">
        <f t="shared" si="122"/>
        <v>0</v>
      </c>
      <c r="AY201" s="2973">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0">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120">
        <f t="shared" si="120"/>
        <v>0</v>
      </c>
      <c r="AW202" s="1120">
        <f t="shared" si="121"/>
        <v>0</v>
      </c>
      <c r="AX202" s="1120">
        <f t="shared" si="122"/>
        <v>0</v>
      </c>
      <c r="AY202" s="2973">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0">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120">
        <f t="shared" si="120"/>
        <v>0</v>
      </c>
      <c r="AW203" s="1120">
        <f t="shared" si="121"/>
        <v>0</v>
      </c>
      <c r="AX203" s="1120">
        <f t="shared" si="122"/>
        <v>0</v>
      </c>
      <c r="AY203" s="2973">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0">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120">
        <f t="shared" si="120"/>
        <v>0</v>
      </c>
      <c r="AW204" s="1120">
        <f t="shared" si="121"/>
        <v>0</v>
      </c>
      <c r="AX204" s="1120">
        <f t="shared" si="122"/>
        <v>0</v>
      </c>
      <c r="AY204" s="2973">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0">
        <f t="shared" si="118"/>
        <v>0</v>
      </c>
    </row>
    <row r="205" spans="1:72">
      <c r="A205" s="2925"/>
      <c r="B205" s="2925"/>
      <c r="C205" s="2925"/>
      <c r="D205" s="2927"/>
      <c r="E205" s="2928">
        <f t="shared" si="119"/>
        <v>0</v>
      </c>
      <c r="F205" s="2981"/>
      <c r="G205" s="2930">
        <f t="shared" si="94"/>
        <v>0</v>
      </c>
      <c r="H205" s="2931">
        <f t="shared" si="95"/>
        <v>0</v>
      </c>
      <c r="I205" s="2982"/>
      <c r="J205" s="2982"/>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3"/>
      <c r="AV205" s="1120">
        <f t="shared" si="120"/>
        <v>0</v>
      </c>
      <c r="AW205" s="1120">
        <f t="shared" si="121"/>
        <v>0</v>
      </c>
      <c r="AX205" s="1120">
        <f t="shared" si="122"/>
        <v>0</v>
      </c>
      <c r="AY205" s="2973">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0">
        <f t="shared" si="118"/>
        <v>0</v>
      </c>
    </row>
    <row r="206" spans="1:72">
      <c r="A206" s="2925"/>
      <c r="B206" s="2925"/>
      <c r="C206" s="2925"/>
      <c r="D206" s="2927"/>
      <c r="E206" s="2928">
        <f t="shared" si="119"/>
        <v>0</v>
      </c>
      <c r="F206" s="2981"/>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3"/>
      <c r="AV206" s="1120">
        <f t="shared" si="120"/>
        <v>0</v>
      </c>
      <c r="AW206" s="1120">
        <f t="shared" si="121"/>
        <v>0</v>
      </c>
      <c r="AX206" s="1120">
        <f t="shared" si="122"/>
        <v>0</v>
      </c>
      <c r="AY206" s="2973">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0">
        <f t="shared" si="118"/>
        <v>0</v>
      </c>
    </row>
    <row r="207" spans="1:72">
      <c r="A207" s="2925"/>
      <c r="B207" s="2925"/>
      <c r="C207" s="2925"/>
      <c r="D207" s="2927"/>
      <c r="E207" s="2928">
        <f t="shared" si="119"/>
        <v>0</v>
      </c>
      <c r="F207" s="2981"/>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3"/>
      <c r="AV207" s="1120">
        <f t="shared" si="120"/>
        <v>0</v>
      </c>
      <c r="AW207" s="1120">
        <f t="shared" si="121"/>
        <v>0</v>
      </c>
      <c r="AX207" s="1120">
        <f t="shared" si="122"/>
        <v>0</v>
      </c>
      <c r="AY207" s="2973">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0">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120">
        <f t="shared" ref="AV208:AV302" si="127">A208</f>
        <v>0</v>
      </c>
      <c r="AW208" s="1120">
        <f t="shared" ref="AW208:AW302" si="128">B208</f>
        <v>0</v>
      </c>
      <c r="AX208" s="1120">
        <f t="shared" ref="AX208:AX302" si="129">C208</f>
        <v>0</v>
      </c>
      <c r="AY208" s="2973">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0">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120">
        <f t="shared" si="127"/>
        <v>0</v>
      </c>
      <c r="AW209" s="1120">
        <f t="shared" si="128"/>
        <v>0</v>
      </c>
      <c r="AX209" s="1120">
        <f t="shared" si="129"/>
        <v>0</v>
      </c>
      <c r="AY209" s="2973">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0">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120">
        <f t="shared" si="127"/>
        <v>0</v>
      </c>
      <c r="AW210" s="1120">
        <f t="shared" si="128"/>
        <v>0</v>
      </c>
      <c r="AX210" s="1120">
        <f t="shared" si="129"/>
        <v>0</v>
      </c>
      <c r="AY210" s="2973">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0">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120">
        <f t="shared" si="127"/>
        <v>0</v>
      </c>
      <c r="AW211" s="1120">
        <f t="shared" si="128"/>
        <v>0</v>
      </c>
      <c r="AX211" s="1120">
        <f t="shared" si="129"/>
        <v>0</v>
      </c>
      <c r="AY211" s="2973">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0">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120">
        <f t="shared" si="127"/>
        <v>0</v>
      </c>
      <c r="AW212" s="1120">
        <f t="shared" si="128"/>
        <v>0</v>
      </c>
      <c r="AX212" s="1120">
        <f t="shared" si="129"/>
        <v>0</v>
      </c>
      <c r="AY212" s="2973">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0">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120">
        <f t="shared" si="127"/>
        <v>0</v>
      </c>
      <c r="AW213" s="1120">
        <f t="shared" si="128"/>
        <v>0</v>
      </c>
      <c r="AX213" s="1120">
        <f t="shared" si="129"/>
        <v>0</v>
      </c>
      <c r="AY213" s="2973">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0">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120">
        <f t="shared" si="127"/>
        <v>0</v>
      </c>
      <c r="AW214" s="1120">
        <f t="shared" si="128"/>
        <v>0</v>
      </c>
      <c r="AX214" s="1120">
        <f t="shared" si="129"/>
        <v>0</v>
      </c>
      <c r="AY214" s="2973">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0">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120">
        <f t="shared" si="127"/>
        <v>0</v>
      </c>
      <c r="AW215" s="1120">
        <f t="shared" si="128"/>
        <v>0</v>
      </c>
      <c r="AX215" s="1120">
        <f t="shared" si="129"/>
        <v>0</v>
      </c>
      <c r="AY215" s="2973">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0">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120">
        <f t="shared" si="127"/>
        <v>0</v>
      </c>
      <c r="AW216" s="1120">
        <f t="shared" si="128"/>
        <v>0</v>
      </c>
      <c r="AX216" s="1120">
        <f t="shared" si="129"/>
        <v>0</v>
      </c>
      <c r="AY216" s="2973">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0">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120">
        <f t="shared" si="127"/>
        <v>0</v>
      </c>
      <c r="AW217" s="1120">
        <f t="shared" si="128"/>
        <v>0</v>
      </c>
      <c r="AX217" s="1120">
        <f t="shared" si="129"/>
        <v>0</v>
      </c>
      <c r="AY217" s="2973">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0">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120">
        <f t="shared" si="127"/>
        <v>0</v>
      </c>
      <c r="AW218" s="1120">
        <f t="shared" si="128"/>
        <v>0</v>
      </c>
      <c r="AX218" s="1120">
        <f t="shared" si="129"/>
        <v>0</v>
      </c>
      <c r="AY218" s="2973">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0">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120">
        <f t="shared" si="127"/>
        <v>0</v>
      </c>
      <c r="AW219" s="1120">
        <f t="shared" si="128"/>
        <v>0</v>
      </c>
      <c r="AX219" s="1120">
        <f t="shared" si="129"/>
        <v>0</v>
      </c>
      <c r="AY219" s="2973">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0">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120">
        <f t="shared" si="127"/>
        <v>0</v>
      </c>
      <c r="AW220" s="1120">
        <f t="shared" si="128"/>
        <v>0</v>
      </c>
      <c r="AX220" s="1120">
        <f t="shared" si="129"/>
        <v>0</v>
      </c>
      <c r="AY220" s="2973">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0">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120">
        <f t="shared" si="127"/>
        <v>0</v>
      </c>
      <c r="AW221" s="1120">
        <f t="shared" si="128"/>
        <v>0</v>
      </c>
      <c r="AX221" s="1120">
        <f t="shared" si="129"/>
        <v>0</v>
      </c>
      <c r="AY221" s="2973">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0">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120">
        <f t="shared" si="127"/>
        <v>0</v>
      </c>
      <c r="AW222" s="1120">
        <f t="shared" si="128"/>
        <v>0</v>
      </c>
      <c r="AX222" s="1120">
        <f t="shared" si="129"/>
        <v>0</v>
      </c>
      <c r="AY222" s="2973">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0">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120">
        <f t="shared" si="127"/>
        <v>0</v>
      </c>
      <c r="AW223" s="1120">
        <f t="shared" si="128"/>
        <v>0</v>
      </c>
      <c r="AX223" s="1120">
        <f t="shared" si="129"/>
        <v>0</v>
      </c>
      <c r="AY223" s="2973">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0">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120">
        <f t="shared" si="127"/>
        <v>0</v>
      </c>
      <c r="AW224" s="1120">
        <f t="shared" si="128"/>
        <v>0</v>
      </c>
      <c r="AX224" s="1120">
        <f t="shared" si="129"/>
        <v>0</v>
      </c>
      <c r="AY224" s="2973">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0">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120">
        <f t="shared" si="127"/>
        <v>0</v>
      </c>
      <c r="AW225" s="1120">
        <f t="shared" si="128"/>
        <v>0</v>
      </c>
      <c r="AX225" s="1120">
        <f t="shared" si="129"/>
        <v>0</v>
      </c>
      <c r="AY225" s="2973">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0">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120">
        <f t="shared" si="127"/>
        <v>0</v>
      </c>
      <c r="AW226" s="1120">
        <f t="shared" si="128"/>
        <v>0</v>
      </c>
      <c r="AX226" s="1120">
        <f t="shared" si="129"/>
        <v>0</v>
      </c>
      <c r="AY226" s="2973">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0">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120">
        <f t="shared" si="127"/>
        <v>0</v>
      </c>
      <c r="AW227" s="1120">
        <f t="shared" si="128"/>
        <v>0</v>
      </c>
      <c r="AX227" s="1120">
        <f t="shared" si="129"/>
        <v>0</v>
      </c>
      <c r="AY227" s="2973">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0">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120">
        <f t="shared" si="127"/>
        <v>0</v>
      </c>
      <c r="AW228" s="1120">
        <f t="shared" si="128"/>
        <v>0</v>
      </c>
      <c r="AX228" s="1120">
        <f t="shared" si="129"/>
        <v>0</v>
      </c>
      <c r="AY228" s="2973">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0">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120">
        <f t="shared" si="127"/>
        <v>0</v>
      </c>
      <c r="AW229" s="1120">
        <f t="shared" si="128"/>
        <v>0</v>
      </c>
      <c r="AX229" s="1120">
        <f t="shared" si="129"/>
        <v>0</v>
      </c>
      <c r="AY229" s="2973">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0">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120">
        <f t="shared" si="127"/>
        <v>0</v>
      </c>
      <c r="AW230" s="1120">
        <f t="shared" si="128"/>
        <v>0</v>
      </c>
      <c r="AX230" s="1120">
        <f t="shared" si="129"/>
        <v>0</v>
      </c>
      <c r="AY230" s="2973">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0">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120">
        <f t="shared" si="127"/>
        <v>0</v>
      </c>
      <c r="AW231" s="1120">
        <f t="shared" si="128"/>
        <v>0</v>
      </c>
      <c r="AX231" s="1120">
        <f t="shared" si="129"/>
        <v>0</v>
      </c>
      <c r="AY231" s="2973">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0">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120">
        <f t="shared" si="127"/>
        <v>0</v>
      </c>
      <c r="AW232" s="1120">
        <f t="shared" si="128"/>
        <v>0</v>
      </c>
      <c r="AX232" s="1120">
        <f t="shared" si="129"/>
        <v>0</v>
      </c>
      <c r="AY232" s="2973">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0">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120">
        <f t="shared" si="127"/>
        <v>0</v>
      </c>
      <c r="AW233" s="1120">
        <f t="shared" si="128"/>
        <v>0</v>
      </c>
      <c r="AX233" s="1120">
        <f t="shared" si="129"/>
        <v>0</v>
      </c>
      <c r="AY233" s="2973">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0">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120">
        <f t="shared" si="127"/>
        <v>0</v>
      </c>
      <c r="AW234" s="1120">
        <f t="shared" si="128"/>
        <v>0</v>
      </c>
      <c r="AX234" s="1120">
        <f t="shared" si="129"/>
        <v>0</v>
      </c>
      <c r="AY234" s="2973">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0">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120">
        <f t="shared" si="127"/>
        <v>0</v>
      </c>
      <c r="AW235" s="1120">
        <f t="shared" si="128"/>
        <v>0</v>
      </c>
      <c r="AX235" s="1120">
        <f t="shared" si="129"/>
        <v>0</v>
      </c>
      <c r="AY235" s="2973">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0">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120">
        <f t="shared" si="127"/>
        <v>0</v>
      </c>
      <c r="AW236" s="1120">
        <f t="shared" si="128"/>
        <v>0</v>
      </c>
      <c r="AX236" s="1120">
        <f t="shared" si="129"/>
        <v>0</v>
      </c>
      <c r="AY236" s="2973">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0">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120">
        <f t="shared" si="127"/>
        <v>0</v>
      </c>
      <c r="AW237" s="1120">
        <f t="shared" si="128"/>
        <v>0</v>
      </c>
      <c r="AX237" s="1120">
        <f t="shared" si="129"/>
        <v>0</v>
      </c>
      <c r="AY237" s="2973">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0">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120">
        <f t="shared" si="127"/>
        <v>0</v>
      </c>
      <c r="AW238" s="1120">
        <f t="shared" si="128"/>
        <v>0</v>
      </c>
      <c r="AX238" s="1120">
        <f t="shared" si="129"/>
        <v>0</v>
      </c>
      <c r="AY238" s="2973">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0">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120">
        <f t="shared" si="127"/>
        <v>0</v>
      </c>
      <c r="AW239" s="1120">
        <f t="shared" si="128"/>
        <v>0</v>
      </c>
      <c r="AX239" s="1120">
        <f t="shared" si="129"/>
        <v>0</v>
      </c>
      <c r="AY239" s="2973">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0">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120">
        <f t="shared" si="127"/>
        <v>0</v>
      </c>
      <c r="AW240" s="1120">
        <f t="shared" si="128"/>
        <v>0</v>
      </c>
      <c r="AX240" s="1120">
        <f t="shared" si="129"/>
        <v>0</v>
      </c>
      <c r="AY240" s="2973">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0">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120">
        <f t="shared" si="127"/>
        <v>0</v>
      </c>
      <c r="AW241" s="1120">
        <f t="shared" si="128"/>
        <v>0</v>
      </c>
      <c r="AX241" s="1120">
        <f t="shared" si="129"/>
        <v>0</v>
      </c>
      <c r="AY241" s="2973">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0">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120">
        <f t="shared" si="127"/>
        <v>0</v>
      </c>
      <c r="AW242" s="1120">
        <f t="shared" si="128"/>
        <v>0</v>
      </c>
      <c r="AX242" s="1120">
        <f t="shared" si="129"/>
        <v>0</v>
      </c>
      <c r="AY242" s="2973">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0">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120">
        <f t="shared" si="127"/>
        <v>0</v>
      </c>
      <c r="AW243" s="1120">
        <f t="shared" si="128"/>
        <v>0</v>
      </c>
      <c r="AX243" s="1120">
        <f t="shared" si="129"/>
        <v>0</v>
      </c>
      <c r="AY243" s="2973">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0">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120">
        <f t="shared" si="127"/>
        <v>0</v>
      </c>
      <c r="AW244" s="1120">
        <f t="shared" si="128"/>
        <v>0</v>
      </c>
      <c r="AX244" s="1120">
        <f t="shared" si="129"/>
        <v>0</v>
      </c>
      <c r="AY244" s="2973">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0">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120">
        <f t="shared" si="127"/>
        <v>0</v>
      </c>
      <c r="AW245" s="1120">
        <f t="shared" si="128"/>
        <v>0</v>
      </c>
      <c r="AX245" s="1120">
        <f t="shared" si="129"/>
        <v>0</v>
      </c>
      <c r="AY245" s="2973">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0">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120">
        <f t="shared" si="127"/>
        <v>0</v>
      </c>
      <c r="AW246" s="1120">
        <f t="shared" si="128"/>
        <v>0</v>
      </c>
      <c r="AX246" s="1120">
        <f t="shared" si="129"/>
        <v>0</v>
      </c>
      <c r="AY246" s="2973">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0">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120">
        <f t="shared" si="127"/>
        <v>0</v>
      </c>
      <c r="AW247" s="1120">
        <f t="shared" si="128"/>
        <v>0</v>
      </c>
      <c r="AX247" s="1120">
        <f t="shared" si="129"/>
        <v>0</v>
      </c>
      <c r="AY247" s="2973">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0">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120">
        <f t="shared" si="127"/>
        <v>0</v>
      </c>
      <c r="AW248" s="1120">
        <f t="shared" si="128"/>
        <v>0</v>
      </c>
      <c r="AX248" s="1120">
        <f t="shared" si="129"/>
        <v>0</v>
      </c>
      <c r="AY248" s="2973">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0">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120">
        <f t="shared" si="127"/>
        <v>0</v>
      </c>
      <c r="AW249" s="1120">
        <f t="shared" si="128"/>
        <v>0</v>
      </c>
      <c r="AX249" s="1120">
        <f t="shared" si="129"/>
        <v>0</v>
      </c>
      <c r="AY249" s="2973">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0">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120">
        <f t="shared" si="127"/>
        <v>0</v>
      </c>
      <c r="AW250" s="1120">
        <f t="shared" si="128"/>
        <v>0</v>
      </c>
      <c r="AX250" s="1120">
        <f t="shared" si="129"/>
        <v>0</v>
      </c>
      <c r="AY250" s="2973">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0">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120">
        <f t="shared" si="127"/>
        <v>0</v>
      </c>
      <c r="AW251" s="1120">
        <f t="shared" si="128"/>
        <v>0</v>
      </c>
      <c r="AX251" s="1120">
        <f t="shared" si="129"/>
        <v>0</v>
      </c>
      <c r="AY251" s="2973">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0">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120">
        <f t="shared" si="127"/>
        <v>0</v>
      </c>
      <c r="AW252" s="1120">
        <f t="shared" si="128"/>
        <v>0</v>
      </c>
      <c r="AX252" s="1120">
        <f t="shared" si="129"/>
        <v>0</v>
      </c>
      <c r="AY252" s="2973">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0">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120">
        <f t="shared" si="127"/>
        <v>0</v>
      </c>
      <c r="AW253" s="1120">
        <f t="shared" si="128"/>
        <v>0</v>
      </c>
      <c r="AX253" s="1120">
        <f t="shared" si="129"/>
        <v>0</v>
      </c>
      <c r="AY253" s="2973">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0">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120">
        <f t="shared" si="127"/>
        <v>0</v>
      </c>
      <c r="AW254" s="1120">
        <f t="shared" si="128"/>
        <v>0</v>
      </c>
      <c r="AX254" s="1120">
        <f t="shared" si="129"/>
        <v>0</v>
      </c>
      <c r="AY254" s="2973">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0">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120">
        <f t="shared" si="127"/>
        <v>0</v>
      </c>
      <c r="AW255" s="1120">
        <f t="shared" si="128"/>
        <v>0</v>
      </c>
      <c r="AX255" s="1120">
        <f t="shared" si="129"/>
        <v>0</v>
      </c>
      <c r="AY255" s="2973">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0">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120">
        <f t="shared" si="127"/>
        <v>0</v>
      </c>
      <c r="AW256" s="1120">
        <f t="shared" si="128"/>
        <v>0</v>
      </c>
      <c r="AX256" s="1120">
        <f t="shared" si="129"/>
        <v>0</v>
      </c>
      <c r="AY256" s="2973">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0">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120">
        <f t="shared" si="127"/>
        <v>0</v>
      </c>
      <c r="AW257" s="1120">
        <f t="shared" si="128"/>
        <v>0</v>
      </c>
      <c r="AX257" s="1120">
        <f t="shared" si="129"/>
        <v>0</v>
      </c>
      <c r="AY257" s="2973">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0">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120">
        <f t="shared" si="127"/>
        <v>0</v>
      </c>
      <c r="AW258" s="1120">
        <f t="shared" si="128"/>
        <v>0</v>
      </c>
      <c r="AX258" s="1120">
        <f t="shared" si="129"/>
        <v>0</v>
      </c>
      <c r="AY258" s="2973">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0">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120">
        <f t="shared" si="127"/>
        <v>0</v>
      </c>
      <c r="AW259" s="1120">
        <f t="shared" si="128"/>
        <v>0</v>
      </c>
      <c r="AX259" s="1120">
        <f t="shared" si="129"/>
        <v>0</v>
      </c>
      <c r="AY259" s="2973">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0">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120">
        <f t="shared" si="127"/>
        <v>0</v>
      </c>
      <c r="AW260" s="1120">
        <f t="shared" si="128"/>
        <v>0</v>
      </c>
      <c r="AX260" s="1120">
        <f t="shared" si="129"/>
        <v>0</v>
      </c>
      <c r="AY260" s="2973">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0">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120">
        <f t="shared" si="127"/>
        <v>0</v>
      </c>
      <c r="AW261" s="1120">
        <f t="shared" si="128"/>
        <v>0</v>
      </c>
      <c r="AX261" s="1120">
        <f t="shared" si="129"/>
        <v>0</v>
      </c>
      <c r="AY261" s="2973">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0">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120">
        <f t="shared" si="127"/>
        <v>0</v>
      </c>
      <c r="AW262" s="1120">
        <f t="shared" si="128"/>
        <v>0</v>
      </c>
      <c r="AX262" s="1120">
        <f t="shared" si="129"/>
        <v>0</v>
      </c>
      <c r="AY262" s="2973">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0">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120">
        <f t="shared" si="127"/>
        <v>0</v>
      </c>
      <c r="AW263" s="1120">
        <f t="shared" si="128"/>
        <v>0</v>
      </c>
      <c r="AX263" s="1120">
        <f t="shared" si="129"/>
        <v>0</v>
      </c>
      <c r="AY263" s="2973">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0">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120">
        <f t="shared" si="127"/>
        <v>0</v>
      </c>
      <c r="AW264" s="1120">
        <f t="shared" si="128"/>
        <v>0</v>
      </c>
      <c r="AX264" s="1120">
        <f t="shared" si="129"/>
        <v>0</v>
      </c>
      <c r="AY264" s="2973">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0">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120">
        <f t="shared" si="127"/>
        <v>0</v>
      </c>
      <c r="AW265" s="1120">
        <f t="shared" si="128"/>
        <v>0</v>
      </c>
      <c r="AX265" s="1120">
        <f t="shared" si="129"/>
        <v>0</v>
      </c>
      <c r="AY265" s="2973">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0">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120">
        <f t="shared" si="127"/>
        <v>0</v>
      </c>
      <c r="AW266" s="1120">
        <f t="shared" si="128"/>
        <v>0</v>
      </c>
      <c r="AX266" s="1120">
        <f t="shared" si="129"/>
        <v>0</v>
      </c>
      <c r="AY266" s="2973">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0">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120">
        <f t="shared" si="127"/>
        <v>0</v>
      </c>
      <c r="AW267" s="1120">
        <f t="shared" si="128"/>
        <v>0</v>
      </c>
      <c r="AX267" s="1120">
        <f t="shared" si="129"/>
        <v>0</v>
      </c>
      <c r="AY267" s="2973">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0">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120">
        <f t="shared" si="127"/>
        <v>0</v>
      </c>
      <c r="AW268" s="1120">
        <f t="shared" si="128"/>
        <v>0</v>
      </c>
      <c r="AX268" s="1120">
        <f t="shared" si="129"/>
        <v>0</v>
      </c>
      <c r="AY268" s="2973">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0">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120">
        <f t="shared" si="127"/>
        <v>0</v>
      </c>
      <c r="AW269" s="1120">
        <f t="shared" si="128"/>
        <v>0</v>
      </c>
      <c r="AX269" s="1120">
        <f t="shared" si="129"/>
        <v>0</v>
      </c>
      <c r="AY269" s="2973">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0">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120">
        <f t="shared" si="127"/>
        <v>0</v>
      </c>
      <c r="AW270" s="1120">
        <f t="shared" si="128"/>
        <v>0</v>
      </c>
      <c r="AX270" s="1120">
        <f t="shared" si="129"/>
        <v>0</v>
      </c>
      <c r="AY270" s="2973">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0">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120">
        <f t="shared" si="127"/>
        <v>0</v>
      </c>
      <c r="AW271" s="1120">
        <f t="shared" si="128"/>
        <v>0</v>
      </c>
      <c r="AX271" s="1120">
        <f t="shared" si="129"/>
        <v>0</v>
      </c>
      <c r="AY271" s="2973">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0">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120">
        <f t="shared" si="127"/>
        <v>0</v>
      </c>
      <c r="AW272" s="1120">
        <f t="shared" si="128"/>
        <v>0</v>
      </c>
      <c r="AX272" s="1120">
        <f t="shared" si="129"/>
        <v>0</v>
      </c>
      <c r="AY272" s="2973">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0">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120">
        <f t="shared" si="127"/>
        <v>0</v>
      </c>
      <c r="AW273" s="1120">
        <f t="shared" si="128"/>
        <v>0</v>
      </c>
      <c r="AX273" s="1120">
        <f t="shared" si="129"/>
        <v>0</v>
      </c>
      <c r="AY273" s="2973">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0">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120">
        <f t="shared" si="127"/>
        <v>0</v>
      </c>
      <c r="AW274" s="1120">
        <f t="shared" si="128"/>
        <v>0</v>
      </c>
      <c r="AX274" s="1120">
        <f t="shared" si="129"/>
        <v>0</v>
      </c>
      <c r="AY274" s="2973">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0">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120">
        <f t="shared" si="127"/>
        <v>0</v>
      </c>
      <c r="AW275" s="1120">
        <f t="shared" si="128"/>
        <v>0</v>
      </c>
      <c r="AX275" s="1120">
        <f t="shared" si="129"/>
        <v>0</v>
      </c>
      <c r="AY275" s="2973">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0">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120">
        <f t="shared" si="127"/>
        <v>0</v>
      </c>
      <c r="AW276" s="1120">
        <f t="shared" si="128"/>
        <v>0</v>
      </c>
      <c r="AX276" s="1120">
        <f t="shared" si="129"/>
        <v>0</v>
      </c>
      <c r="AY276" s="2973">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0">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120">
        <f t="shared" si="127"/>
        <v>0</v>
      </c>
      <c r="AW277" s="1120">
        <f t="shared" si="128"/>
        <v>0</v>
      </c>
      <c r="AX277" s="1120">
        <f t="shared" si="129"/>
        <v>0</v>
      </c>
      <c r="AY277" s="2973">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0">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120">
        <f t="shared" si="127"/>
        <v>0</v>
      </c>
      <c r="AW278" s="1120">
        <f t="shared" si="128"/>
        <v>0</v>
      </c>
      <c r="AX278" s="1120">
        <f t="shared" si="129"/>
        <v>0</v>
      </c>
      <c r="AY278" s="2973">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0">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120">
        <f t="shared" si="127"/>
        <v>0</v>
      </c>
      <c r="AW279" s="1120">
        <f t="shared" si="128"/>
        <v>0</v>
      </c>
      <c r="AX279" s="1120">
        <f t="shared" si="129"/>
        <v>0</v>
      </c>
      <c r="AY279" s="2973">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0">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120">
        <f t="shared" si="127"/>
        <v>0</v>
      </c>
      <c r="AW280" s="1120">
        <f t="shared" si="128"/>
        <v>0</v>
      </c>
      <c r="AX280" s="1120">
        <f t="shared" si="129"/>
        <v>0</v>
      </c>
      <c r="AY280" s="2973">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0">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120">
        <f t="shared" si="127"/>
        <v>0</v>
      </c>
      <c r="AW281" s="1120">
        <f t="shared" si="128"/>
        <v>0</v>
      </c>
      <c r="AX281" s="1120">
        <f t="shared" si="129"/>
        <v>0</v>
      </c>
      <c r="AY281" s="2973">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0">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120">
        <f t="shared" si="127"/>
        <v>0</v>
      </c>
      <c r="AW282" s="1120">
        <f t="shared" si="128"/>
        <v>0</v>
      </c>
      <c r="AX282" s="1120">
        <f t="shared" si="129"/>
        <v>0</v>
      </c>
      <c r="AY282" s="2973">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0">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120">
        <f t="shared" si="127"/>
        <v>0</v>
      </c>
      <c r="AW283" s="1120">
        <f t="shared" si="128"/>
        <v>0</v>
      </c>
      <c r="AX283" s="1120">
        <f t="shared" si="129"/>
        <v>0</v>
      </c>
      <c r="AY283" s="2973">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0">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120">
        <f t="shared" si="127"/>
        <v>0</v>
      </c>
      <c r="AW284" s="1120">
        <f t="shared" si="128"/>
        <v>0</v>
      </c>
      <c r="AX284" s="1120">
        <f t="shared" si="129"/>
        <v>0</v>
      </c>
      <c r="AY284" s="2973">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0">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120">
        <f t="shared" si="127"/>
        <v>0</v>
      </c>
      <c r="AW285" s="1120">
        <f t="shared" si="128"/>
        <v>0</v>
      </c>
      <c r="AX285" s="1120">
        <f t="shared" si="129"/>
        <v>0</v>
      </c>
      <c r="AY285" s="2973">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0">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120">
        <f t="shared" si="127"/>
        <v>0</v>
      </c>
      <c r="AW286" s="1120">
        <f t="shared" si="128"/>
        <v>0</v>
      </c>
      <c r="AX286" s="1120">
        <f t="shared" si="129"/>
        <v>0</v>
      </c>
      <c r="AY286" s="2973">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0">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120">
        <f t="shared" si="127"/>
        <v>0</v>
      </c>
      <c r="AW287" s="1120">
        <f t="shared" si="128"/>
        <v>0</v>
      </c>
      <c r="AX287" s="1120">
        <f t="shared" si="129"/>
        <v>0</v>
      </c>
      <c r="AY287" s="2973">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0">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120">
        <f t="shared" si="127"/>
        <v>0</v>
      </c>
      <c r="AW288" s="1120">
        <f t="shared" si="128"/>
        <v>0</v>
      </c>
      <c r="AX288" s="1120">
        <f t="shared" si="129"/>
        <v>0</v>
      </c>
      <c r="AY288" s="2973">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0">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120">
        <f t="shared" si="127"/>
        <v>0</v>
      </c>
      <c r="AW289" s="1120">
        <f t="shared" si="128"/>
        <v>0</v>
      </c>
      <c r="AX289" s="1120">
        <f t="shared" si="129"/>
        <v>0</v>
      </c>
      <c r="AY289" s="2973">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0">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120">
        <f t="shared" si="127"/>
        <v>0</v>
      </c>
      <c r="AW290" s="1120">
        <f t="shared" si="128"/>
        <v>0</v>
      </c>
      <c r="AX290" s="1120">
        <f t="shared" si="129"/>
        <v>0</v>
      </c>
      <c r="AY290" s="2973">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0">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120">
        <f t="shared" si="127"/>
        <v>0</v>
      </c>
      <c r="AW291" s="1120">
        <f t="shared" si="128"/>
        <v>0</v>
      </c>
      <c r="AX291" s="1120">
        <f t="shared" si="129"/>
        <v>0</v>
      </c>
      <c r="AY291" s="2973">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0">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120">
        <f t="shared" si="127"/>
        <v>0</v>
      </c>
      <c r="AW292" s="1120">
        <f t="shared" si="128"/>
        <v>0</v>
      </c>
      <c r="AX292" s="1120">
        <f t="shared" si="129"/>
        <v>0</v>
      </c>
      <c r="AY292" s="2973">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0">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120">
        <f t="shared" si="127"/>
        <v>0</v>
      </c>
      <c r="AW293" s="1120">
        <f t="shared" si="128"/>
        <v>0</v>
      </c>
      <c r="AX293" s="1120">
        <f t="shared" si="129"/>
        <v>0</v>
      </c>
      <c r="AY293" s="2973">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0">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120">
        <f t="shared" si="127"/>
        <v>0</v>
      </c>
      <c r="AW294" s="1120">
        <f t="shared" si="128"/>
        <v>0</v>
      </c>
      <c r="AX294" s="1120">
        <f t="shared" si="129"/>
        <v>0</v>
      </c>
      <c r="AY294" s="2973">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0">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120">
        <f t="shared" si="127"/>
        <v>0</v>
      </c>
      <c r="AW295" s="1120">
        <f t="shared" si="128"/>
        <v>0</v>
      </c>
      <c r="AX295" s="1120">
        <f t="shared" si="129"/>
        <v>0</v>
      </c>
      <c r="AY295" s="2973">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0">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120">
        <f t="shared" si="127"/>
        <v>0</v>
      </c>
      <c r="AW296" s="1120">
        <f t="shared" si="128"/>
        <v>0</v>
      </c>
      <c r="AX296" s="1120">
        <f t="shared" si="129"/>
        <v>0</v>
      </c>
      <c r="AY296" s="2973">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0">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120">
        <f t="shared" si="127"/>
        <v>0</v>
      </c>
      <c r="AW297" s="1120">
        <f t="shared" si="128"/>
        <v>0</v>
      </c>
      <c r="AX297" s="1120">
        <f t="shared" si="129"/>
        <v>0</v>
      </c>
      <c r="AY297" s="2973">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0">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120">
        <f t="shared" si="127"/>
        <v>0</v>
      </c>
      <c r="AW298" s="1120">
        <f t="shared" si="128"/>
        <v>0</v>
      </c>
      <c r="AX298" s="1120">
        <f t="shared" si="129"/>
        <v>0</v>
      </c>
      <c r="AY298" s="2973">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0">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120">
        <f t="shared" si="127"/>
        <v>0</v>
      </c>
      <c r="AW299" s="1120">
        <f t="shared" si="128"/>
        <v>0</v>
      </c>
      <c r="AX299" s="1120">
        <f t="shared" si="129"/>
        <v>0</v>
      </c>
      <c r="AY299" s="2973">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0">
        <f t="shared" si="151"/>
        <v>0</v>
      </c>
    </row>
    <row r="300" spans="1:72">
      <c r="A300" s="2925"/>
      <c r="B300" s="2925"/>
      <c r="C300" s="2925"/>
      <c r="D300" s="2927"/>
      <c r="E300" s="2928">
        <f t="shared" si="123"/>
        <v>0</v>
      </c>
      <c r="F300" s="2981"/>
      <c r="G300" s="2930">
        <f t="shared" ref="G300:G331" si="152">H300+AC300+AT300</f>
        <v>0</v>
      </c>
      <c r="H300" s="2931">
        <f t="shared" ref="H300:H331" si="153">SUMIF(I$12:AB$12,"总值",I300:AB300)</f>
        <v>0</v>
      </c>
      <c r="I300" s="2982"/>
      <c r="J300" s="2982"/>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3"/>
      <c r="AV300" s="1120">
        <f t="shared" si="127"/>
        <v>0</v>
      </c>
      <c r="AW300" s="1120">
        <f t="shared" si="128"/>
        <v>0</v>
      </c>
      <c r="AX300" s="1120">
        <f t="shared" si="129"/>
        <v>0</v>
      </c>
      <c r="AY300" s="2973">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0">
        <f t="shared" ref="BT300:BT331" si="176">IF($D300="是",AR300-AS300,0)</f>
        <v>0</v>
      </c>
    </row>
    <row r="301" spans="1:72">
      <c r="A301" s="2925"/>
      <c r="B301" s="2925"/>
      <c r="C301" s="2925"/>
      <c r="D301" s="2927"/>
      <c r="E301" s="2928">
        <f t="shared" si="123"/>
        <v>0</v>
      </c>
      <c r="F301" s="2981"/>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3"/>
      <c r="AV301" s="1120">
        <f t="shared" si="127"/>
        <v>0</v>
      </c>
      <c r="AW301" s="1120">
        <f t="shared" si="128"/>
        <v>0</v>
      </c>
      <c r="AX301" s="1120">
        <f t="shared" si="129"/>
        <v>0</v>
      </c>
      <c r="AY301" s="2973">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0">
        <f t="shared" si="176"/>
        <v>0</v>
      </c>
    </row>
    <row r="302" spans="1:72">
      <c r="A302" s="2925"/>
      <c r="B302" s="2925"/>
      <c r="C302" s="2925"/>
      <c r="D302" s="2927"/>
      <c r="E302" s="2928">
        <f t="shared" si="123"/>
        <v>0</v>
      </c>
      <c r="F302" s="2981"/>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3"/>
      <c r="AV302" s="1120">
        <f t="shared" si="127"/>
        <v>0</v>
      </c>
      <c r="AW302" s="1120">
        <f t="shared" si="128"/>
        <v>0</v>
      </c>
      <c r="AX302" s="1120">
        <f t="shared" si="129"/>
        <v>0</v>
      </c>
      <c r="AY302" s="2973">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0">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120">
        <f t="shared" ref="AV303:AV334" si="178">A303</f>
        <v>0</v>
      </c>
      <c r="AW303" s="1120">
        <f t="shared" ref="AW303:AW334" si="179">B303</f>
        <v>0</v>
      </c>
      <c r="AX303" s="1120">
        <f t="shared" ref="AX303:AX334" si="180">C303</f>
        <v>0</v>
      </c>
      <c r="AY303" s="2973">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0">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120">
        <f t="shared" si="178"/>
        <v>0</v>
      </c>
      <c r="AW304" s="1120">
        <f t="shared" si="179"/>
        <v>0</v>
      </c>
      <c r="AX304" s="1120">
        <f t="shared" si="180"/>
        <v>0</v>
      </c>
      <c r="AY304" s="2973">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0">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120">
        <f t="shared" si="178"/>
        <v>0</v>
      </c>
      <c r="AW305" s="1120">
        <f t="shared" si="179"/>
        <v>0</v>
      </c>
      <c r="AX305" s="1120">
        <f t="shared" si="180"/>
        <v>0</v>
      </c>
      <c r="AY305" s="2973">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0">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120">
        <f t="shared" si="178"/>
        <v>0</v>
      </c>
      <c r="AW306" s="1120">
        <f t="shared" si="179"/>
        <v>0</v>
      </c>
      <c r="AX306" s="1120">
        <f t="shared" si="180"/>
        <v>0</v>
      </c>
      <c r="AY306" s="2973">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0">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120">
        <f t="shared" si="178"/>
        <v>0</v>
      </c>
      <c r="AW307" s="1120">
        <f t="shared" si="179"/>
        <v>0</v>
      </c>
      <c r="AX307" s="1120">
        <f t="shared" si="180"/>
        <v>0</v>
      </c>
      <c r="AY307" s="2973">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0">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120">
        <f t="shared" si="178"/>
        <v>0</v>
      </c>
      <c r="AW308" s="1120">
        <f t="shared" si="179"/>
        <v>0</v>
      </c>
      <c r="AX308" s="1120">
        <f t="shared" si="180"/>
        <v>0</v>
      </c>
      <c r="AY308" s="2973">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0">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120">
        <f t="shared" si="178"/>
        <v>0</v>
      </c>
      <c r="AW309" s="1120">
        <f t="shared" si="179"/>
        <v>0</v>
      </c>
      <c r="AX309" s="1120">
        <f t="shared" si="180"/>
        <v>0</v>
      </c>
      <c r="AY309" s="2973">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0">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120">
        <f t="shared" si="178"/>
        <v>0</v>
      </c>
      <c r="AW310" s="1120">
        <f t="shared" si="179"/>
        <v>0</v>
      </c>
      <c r="AX310" s="1120">
        <f t="shared" si="180"/>
        <v>0</v>
      </c>
      <c r="AY310" s="2973">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0">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120">
        <f t="shared" si="178"/>
        <v>0</v>
      </c>
      <c r="AW311" s="1120">
        <f t="shared" si="179"/>
        <v>0</v>
      </c>
      <c r="AX311" s="1120">
        <f t="shared" si="180"/>
        <v>0</v>
      </c>
      <c r="AY311" s="2973">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0">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120">
        <f t="shared" si="178"/>
        <v>0</v>
      </c>
      <c r="AW312" s="1120">
        <f t="shared" si="179"/>
        <v>0</v>
      </c>
      <c r="AX312" s="1120">
        <f t="shared" si="180"/>
        <v>0</v>
      </c>
      <c r="AY312" s="2973">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0">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120">
        <f t="shared" si="178"/>
        <v>0</v>
      </c>
      <c r="AW313" s="1120">
        <f t="shared" si="179"/>
        <v>0</v>
      </c>
      <c r="AX313" s="1120">
        <f t="shared" si="180"/>
        <v>0</v>
      </c>
      <c r="AY313" s="2973">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0">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120">
        <f t="shared" si="178"/>
        <v>0</v>
      </c>
      <c r="AW314" s="1120">
        <f t="shared" si="179"/>
        <v>0</v>
      </c>
      <c r="AX314" s="1120">
        <f t="shared" si="180"/>
        <v>0</v>
      </c>
      <c r="AY314" s="2973">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0">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120">
        <f t="shared" si="178"/>
        <v>0</v>
      </c>
      <c r="AW315" s="1120">
        <f t="shared" si="179"/>
        <v>0</v>
      </c>
      <c r="AX315" s="1120">
        <f t="shared" si="180"/>
        <v>0</v>
      </c>
      <c r="AY315" s="2973">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0">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120">
        <f t="shared" si="178"/>
        <v>0</v>
      </c>
      <c r="AW316" s="1120">
        <f t="shared" si="179"/>
        <v>0</v>
      </c>
      <c r="AX316" s="1120">
        <f t="shared" si="180"/>
        <v>0</v>
      </c>
      <c r="AY316" s="2973">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0">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120">
        <f t="shared" si="178"/>
        <v>0</v>
      </c>
      <c r="AW317" s="1120">
        <f t="shared" si="179"/>
        <v>0</v>
      </c>
      <c r="AX317" s="1120">
        <f t="shared" si="180"/>
        <v>0</v>
      </c>
      <c r="AY317" s="2973">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0">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120">
        <f t="shared" si="178"/>
        <v>0</v>
      </c>
      <c r="AW318" s="1120">
        <f t="shared" si="179"/>
        <v>0</v>
      </c>
      <c r="AX318" s="1120">
        <f t="shared" si="180"/>
        <v>0</v>
      </c>
      <c r="AY318" s="2973">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0">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120">
        <f t="shared" si="178"/>
        <v>0</v>
      </c>
      <c r="AW319" s="1120">
        <f t="shared" si="179"/>
        <v>0</v>
      </c>
      <c r="AX319" s="1120">
        <f t="shared" si="180"/>
        <v>0</v>
      </c>
      <c r="AY319" s="2973">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0">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120">
        <f t="shared" si="178"/>
        <v>0</v>
      </c>
      <c r="AW320" s="1120">
        <f t="shared" si="179"/>
        <v>0</v>
      </c>
      <c r="AX320" s="1120">
        <f t="shared" si="180"/>
        <v>0</v>
      </c>
      <c r="AY320" s="2973">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0">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120">
        <f t="shared" si="178"/>
        <v>0</v>
      </c>
      <c r="AW321" s="1120">
        <f t="shared" si="179"/>
        <v>0</v>
      </c>
      <c r="AX321" s="1120">
        <f t="shared" si="180"/>
        <v>0</v>
      </c>
      <c r="AY321" s="2973">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0">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120">
        <f t="shared" si="178"/>
        <v>0</v>
      </c>
      <c r="AW322" s="1120">
        <f t="shared" si="179"/>
        <v>0</v>
      </c>
      <c r="AX322" s="1120">
        <f t="shared" si="180"/>
        <v>0</v>
      </c>
      <c r="AY322" s="2973">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0">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120">
        <f t="shared" si="178"/>
        <v>0</v>
      </c>
      <c r="AW323" s="1120">
        <f t="shared" si="179"/>
        <v>0</v>
      </c>
      <c r="AX323" s="1120">
        <f t="shared" si="180"/>
        <v>0</v>
      </c>
      <c r="AY323" s="2973">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0">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120">
        <f t="shared" si="178"/>
        <v>0</v>
      </c>
      <c r="AW324" s="1120">
        <f t="shared" si="179"/>
        <v>0</v>
      </c>
      <c r="AX324" s="1120">
        <f t="shared" si="180"/>
        <v>0</v>
      </c>
      <c r="AY324" s="2973">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0">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120">
        <f t="shared" si="178"/>
        <v>0</v>
      </c>
      <c r="AW325" s="1120">
        <f t="shared" si="179"/>
        <v>0</v>
      </c>
      <c r="AX325" s="1120">
        <f t="shared" si="180"/>
        <v>0</v>
      </c>
      <c r="AY325" s="2973">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0">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120">
        <f t="shared" si="178"/>
        <v>0</v>
      </c>
      <c r="AW326" s="1120">
        <f t="shared" si="179"/>
        <v>0</v>
      </c>
      <c r="AX326" s="1120">
        <f t="shared" si="180"/>
        <v>0</v>
      </c>
      <c r="AY326" s="2973">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0">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120">
        <f t="shared" si="178"/>
        <v>0</v>
      </c>
      <c r="AW327" s="1120">
        <f t="shared" si="179"/>
        <v>0</v>
      </c>
      <c r="AX327" s="1120">
        <f t="shared" si="180"/>
        <v>0</v>
      </c>
      <c r="AY327" s="2973">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0">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120">
        <f t="shared" si="178"/>
        <v>0</v>
      </c>
      <c r="AW328" s="1120">
        <f t="shared" si="179"/>
        <v>0</v>
      </c>
      <c r="AX328" s="1120">
        <f t="shared" si="180"/>
        <v>0</v>
      </c>
      <c r="AY328" s="2973">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0">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120">
        <f t="shared" si="178"/>
        <v>0</v>
      </c>
      <c r="AW329" s="1120">
        <f t="shared" si="179"/>
        <v>0</v>
      </c>
      <c r="AX329" s="1120">
        <f t="shared" si="180"/>
        <v>0</v>
      </c>
      <c r="AY329" s="2973">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0">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120">
        <f t="shared" si="178"/>
        <v>0</v>
      </c>
      <c r="AW330" s="1120">
        <f t="shared" si="179"/>
        <v>0</v>
      </c>
      <c r="AX330" s="1120">
        <f t="shared" si="180"/>
        <v>0</v>
      </c>
      <c r="AY330" s="2973">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0">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120">
        <f t="shared" si="178"/>
        <v>0</v>
      </c>
      <c r="AW331" s="1120">
        <f t="shared" si="179"/>
        <v>0</v>
      </c>
      <c r="AX331" s="1120">
        <f t="shared" si="180"/>
        <v>0</v>
      </c>
      <c r="AY331" s="2973">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0">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120">
        <f t="shared" si="178"/>
        <v>0</v>
      </c>
      <c r="AW332" s="1120">
        <f t="shared" si="179"/>
        <v>0</v>
      </c>
      <c r="AX332" s="1120">
        <f t="shared" si="180"/>
        <v>0</v>
      </c>
      <c r="AY332" s="2973">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0">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120">
        <f t="shared" si="178"/>
        <v>0</v>
      </c>
      <c r="AW333" s="1120">
        <f t="shared" si="179"/>
        <v>0</v>
      </c>
      <c r="AX333" s="1120">
        <f t="shared" si="180"/>
        <v>0</v>
      </c>
      <c r="AY333" s="2973">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0">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120">
        <f t="shared" si="178"/>
        <v>0</v>
      </c>
      <c r="AW334" s="1120">
        <f t="shared" si="179"/>
        <v>0</v>
      </c>
      <c r="AX334" s="1120">
        <f t="shared" si="180"/>
        <v>0</v>
      </c>
      <c r="AY334" s="2973">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0">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120">
        <f t="shared" ref="AV335:AV366" si="207">A335</f>
        <v>0</v>
      </c>
      <c r="AW335" s="1120">
        <f t="shared" ref="AW335:AW366" si="208">B335</f>
        <v>0</v>
      </c>
      <c r="AX335" s="1120">
        <f t="shared" ref="AX335:AX366" si="209">C335</f>
        <v>0</v>
      </c>
      <c r="AY335" s="2973">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0">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120">
        <f t="shared" si="207"/>
        <v>0</v>
      </c>
      <c r="AW336" s="1120">
        <f t="shared" si="208"/>
        <v>0</v>
      </c>
      <c r="AX336" s="1120">
        <f t="shared" si="209"/>
        <v>0</v>
      </c>
      <c r="AY336" s="2973">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0">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120">
        <f t="shared" si="207"/>
        <v>0</v>
      </c>
      <c r="AW337" s="1120">
        <f t="shared" si="208"/>
        <v>0</v>
      </c>
      <c r="AX337" s="1120">
        <f t="shared" si="209"/>
        <v>0</v>
      </c>
      <c r="AY337" s="2973">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0">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120">
        <f t="shared" si="207"/>
        <v>0</v>
      </c>
      <c r="AW338" s="1120">
        <f t="shared" si="208"/>
        <v>0</v>
      </c>
      <c r="AX338" s="1120">
        <f t="shared" si="209"/>
        <v>0</v>
      </c>
      <c r="AY338" s="2973">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0">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120">
        <f t="shared" si="207"/>
        <v>0</v>
      </c>
      <c r="AW339" s="1120">
        <f t="shared" si="208"/>
        <v>0</v>
      </c>
      <c r="AX339" s="1120">
        <f t="shared" si="209"/>
        <v>0</v>
      </c>
      <c r="AY339" s="2973">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0">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120">
        <f t="shared" si="207"/>
        <v>0</v>
      </c>
      <c r="AW340" s="1120">
        <f t="shared" si="208"/>
        <v>0</v>
      </c>
      <c r="AX340" s="1120">
        <f t="shared" si="209"/>
        <v>0</v>
      </c>
      <c r="AY340" s="2973">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0">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120">
        <f t="shared" si="207"/>
        <v>0</v>
      </c>
      <c r="AW341" s="1120">
        <f t="shared" si="208"/>
        <v>0</v>
      </c>
      <c r="AX341" s="1120">
        <f t="shared" si="209"/>
        <v>0</v>
      </c>
      <c r="AY341" s="2973">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0">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120">
        <f t="shared" si="207"/>
        <v>0</v>
      </c>
      <c r="AW342" s="1120">
        <f t="shared" si="208"/>
        <v>0</v>
      </c>
      <c r="AX342" s="1120">
        <f t="shared" si="209"/>
        <v>0</v>
      </c>
      <c r="AY342" s="2973">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0">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120">
        <f t="shared" si="207"/>
        <v>0</v>
      </c>
      <c r="AW343" s="1120">
        <f t="shared" si="208"/>
        <v>0</v>
      </c>
      <c r="AX343" s="1120">
        <f t="shared" si="209"/>
        <v>0</v>
      </c>
      <c r="AY343" s="2973">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0">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120">
        <f t="shared" si="207"/>
        <v>0</v>
      </c>
      <c r="AW344" s="1120">
        <f t="shared" si="208"/>
        <v>0</v>
      </c>
      <c r="AX344" s="1120">
        <f t="shared" si="209"/>
        <v>0</v>
      </c>
      <c r="AY344" s="2973">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0">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120">
        <f t="shared" si="207"/>
        <v>0</v>
      </c>
      <c r="AW345" s="1120">
        <f t="shared" si="208"/>
        <v>0</v>
      </c>
      <c r="AX345" s="1120">
        <f t="shared" si="209"/>
        <v>0</v>
      </c>
      <c r="AY345" s="2973">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0">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120">
        <f t="shared" si="207"/>
        <v>0</v>
      </c>
      <c r="AW346" s="1120">
        <f t="shared" si="208"/>
        <v>0</v>
      </c>
      <c r="AX346" s="1120">
        <f t="shared" si="209"/>
        <v>0</v>
      </c>
      <c r="AY346" s="2973">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0">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120">
        <f t="shared" si="207"/>
        <v>0</v>
      </c>
      <c r="AW347" s="1120">
        <f t="shared" si="208"/>
        <v>0</v>
      </c>
      <c r="AX347" s="1120">
        <f t="shared" si="209"/>
        <v>0</v>
      </c>
      <c r="AY347" s="2973">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0">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120">
        <f t="shared" si="207"/>
        <v>0</v>
      </c>
      <c r="AW348" s="1120">
        <f t="shared" si="208"/>
        <v>0</v>
      </c>
      <c r="AX348" s="1120">
        <f t="shared" si="209"/>
        <v>0</v>
      </c>
      <c r="AY348" s="2973">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0">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120">
        <f t="shared" si="207"/>
        <v>0</v>
      </c>
      <c r="AW349" s="1120">
        <f t="shared" si="208"/>
        <v>0</v>
      </c>
      <c r="AX349" s="1120">
        <f t="shared" si="209"/>
        <v>0</v>
      </c>
      <c r="AY349" s="2973">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0">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120">
        <f t="shared" si="207"/>
        <v>0</v>
      </c>
      <c r="AW350" s="1120">
        <f t="shared" si="208"/>
        <v>0</v>
      </c>
      <c r="AX350" s="1120">
        <f t="shared" si="209"/>
        <v>0</v>
      </c>
      <c r="AY350" s="2973">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0">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120">
        <f t="shared" si="207"/>
        <v>0</v>
      </c>
      <c r="AW351" s="1120">
        <f t="shared" si="208"/>
        <v>0</v>
      </c>
      <c r="AX351" s="1120">
        <f t="shared" si="209"/>
        <v>0</v>
      </c>
      <c r="AY351" s="2973">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0">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120">
        <f t="shared" si="207"/>
        <v>0</v>
      </c>
      <c r="AW352" s="1120">
        <f t="shared" si="208"/>
        <v>0</v>
      </c>
      <c r="AX352" s="1120">
        <f t="shared" si="209"/>
        <v>0</v>
      </c>
      <c r="AY352" s="2973">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0">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120">
        <f t="shared" si="207"/>
        <v>0</v>
      </c>
      <c r="AW353" s="1120">
        <f t="shared" si="208"/>
        <v>0</v>
      </c>
      <c r="AX353" s="1120">
        <f t="shared" si="209"/>
        <v>0</v>
      </c>
      <c r="AY353" s="2973">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0">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120">
        <f t="shared" si="207"/>
        <v>0</v>
      </c>
      <c r="AW354" s="1120">
        <f t="shared" si="208"/>
        <v>0</v>
      </c>
      <c r="AX354" s="1120">
        <f t="shared" si="209"/>
        <v>0</v>
      </c>
      <c r="AY354" s="2973">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0">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120">
        <f t="shared" si="207"/>
        <v>0</v>
      </c>
      <c r="AW355" s="1120">
        <f t="shared" si="208"/>
        <v>0</v>
      </c>
      <c r="AX355" s="1120">
        <f t="shared" si="209"/>
        <v>0</v>
      </c>
      <c r="AY355" s="2973">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0">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120">
        <f t="shared" si="207"/>
        <v>0</v>
      </c>
      <c r="AW356" s="1120">
        <f t="shared" si="208"/>
        <v>0</v>
      </c>
      <c r="AX356" s="1120">
        <f t="shared" si="209"/>
        <v>0</v>
      </c>
      <c r="AY356" s="2973">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0">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120">
        <f t="shared" si="207"/>
        <v>0</v>
      </c>
      <c r="AW357" s="1120">
        <f t="shared" si="208"/>
        <v>0</v>
      </c>
      <c r="AX357" s="1120">
        <f t="shared" si="209"/>
        <v>0</v>
      </c>
      <c r="AY357" s="2973">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0">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120">
        <f t="shared" si="207"/>
        <v>0</v>
      </c>
      <c r="AW358" s="1120">
        <f t="shared" si="208"/>
        <v>0</v>
      </c>
      <c r="AX358" s="1120">
        <f t="shared" si="209"/>
        <v>0</v>
      </c>
      <c r="AY358" s="2973">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0">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120">
        <f t="shared" si="207"/>
        <v>0</v>
      </c>
      <c r="AW359" s="1120">
        <f t="shared" si="208"/>
        <v>0</v>
      </c>
      <c r="AX359" s="1120">
        <f t="shared" si="209"/>
        <v>0</v>
      </c>
      <c r="AY359" s="2973">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0">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120">
        <f t="shared" si="207"/>
        <v>0</v>
      </c>
      <c r="AW360" s="1120">
        <f t="shared" si="208"/>
        <v>0</v>
      </c>
      <c r="AX360" s="1120">
        <f t="shared" si="209"/>
        <v>0</v>
      </c>
      <c r="AY360" s="2973">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0">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120">
        <f t="shared" si="207"/>
        <v>0</v>
      </c>
      <c r="AW361" s="1120">
        <f t="shared" si="208"/>
        <v>0</v>
      </c>
      <c r="AX361" s="1120">
        <f t="shared" si="209"/>
        <v>0</v>
      </c>
      <c r="AY361" s="2973">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0">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120">
        <f t="shared" si="207"/>
        <v>0</v>
      </c>
      <c r="AW362" s="1120">
        <f t="shared" si="208"/>
        <v>0</v>
      </c>
      <c r="AX362" s="1120">
        <f t="shared" si="209"/>
        <v>0</v>
      </c>
      <c r="AY362" s="2973">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0">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120">
        <f t="shared" si="207"/>
        <v>0</v>
      </c>
      <c r="AW363" s="1120">
        <f t="shared" si="208"/>
        <v>0</v>
      </c>
      <c r="AX363" s="1120">
        <f t="shared" si="209"/>
        <v>0</v>
      </c>
      <c r="AY363" s="2973">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0">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120">
        <f t="shared" si="207"/>
        <v>0</v>
      </c>
      <c r="AW364" s="1120">
        <f t="shared" si="208"/>
        <v>0</v>
      </c>
      <c r="AX364" s="1120">
        <f t="shared" si="209"/>
        <v>0</v>
      </c>
      <c r="AY364" s="2973">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0">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120">
        <f t="shared" si="207"/>
        <v>0</v>
      </c>
      <c r="AW365" s="1120">
        <f t="shared" si="208"/>
        <v>0</v>
      </c>
      <c r="AX365" s="1120">
        <f t="shared" si="209"/>
        <v>0</v>
      </c>
      <c r="AY365" s="2973">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0">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120">
        <f t="shared" si="207"/>
        <v>0</v>
      </c>
      <c r="AW366" s="1120">
        <f t="shared" si="208"/>
        <v>0</v>
      </c>
      <c r="AX366" s="1120">
        <f t="shared" si="209"/>
        <v>0</v>
      </c>
      <c r="AY366" s="2973">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0">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120">
        <f t="shared" ref="AV367:AV397" si="236">A367</f>
        <v>0</v>
      </c>
      <c r="AW367" s="1120">
        <f t="shared" ref="AW367:AW397" si="237">B367</f>
        <v>0</v>
      </c>
      <c r="AX367" s="1120">
        <f t="shared" ref="AX367:AX397" si="238">C367</f>
        <v>0</v>
      </c>
      <c r="AY367" s="2973">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0">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120">
        <f t="shared" si="236"/>
        <v>0</v>
      </c>
      <c r="AW368" s="1120">
        <f t="shared" si="237"/>
        <v>0</v>
      </c>
      <c r="AX368" s="1120">
        <f t="shared" si="238"/>
        <v>0</v>
      </c>
      <c r="AY368" s="2973">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0">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120">
        <f t="shared" si="236"/>
        <v>0</v>
      </c>
      <c r="AW369" s="1120">
        <f t="shared" si="237"/>
        <v>0</v>
      </c>
      <c r="AX369" s="1120">
        <f t="shared" si="238"/>
        <v>0</v>
      </c>
      <c r="AY369" s="2973">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0">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120">
        <f t="shared" si="236"/>
        <v>0</v>
      </c>
      <c r="AW370" s="1120">
        <f t="shared" si="237"/>
        <v>0</v>
      </c>
      <c r="AX370" s="1120">
        <f t="shared" si="238"/>
        <v>0</v>
      </c>
      <c r="AY370" s="2973">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0">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120">
        <f t="shared" si="236"/>
        <v>0</v>
      </c>
      <c r="AW371" s="1120">
        <f t="shared" si="237"/>
        <v>0</v>
      </c>
      <c r="AX371" s="1120">
        <f t="shared" si="238"/>
        <v>0</v>
      </c>
      <c r="AY371" s="2973">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0">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120">
        <f t="shared" si="236"/>
        <v>0</v>
      </c>
      <c r="AW372" s="1120">
        <f t="shared" si="237"/>
        <v>0</v>
      </c>
      <c r="AX372" s="1120">
        <f t="shared" si="238"/>
        <v>0</v>
      </c>
      <c r="AY372" s="2973">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0">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120">
        <f t="shared" si="236"/>
        <v>0</v>
      </c>
      <c r="AW373" s="1120">
        <f t="shared" si="237"/>
        <v>0</v>
      </c>
      <c r="AX373" s="1120">
        <f t="shared" si="238"/>
        <v>0</v>
      </c>
      <c r="AY373" s="2973">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0">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120">
        <f t="shared" si="236"/>
        <v>0</v>
      </c>
      <c r="AW374" s="1120">
        <f t="shared" si="237"/>
        <v>0</v>
      </c>
      <c r="AX374" s="1120">
        <f t="shared" si="238"/>
        <v>0</v>
      </c>
      <c r="AY374" s="2973">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0">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120">
        <f t="shared" si="236"/>
        <v>0</v>
      </c>
      <c r="AW375" s="1120">
        <f t="shared" si="237"/>
        <v>0</v>
      </c>
      <c r="AX375" s="1120">
        <f t="shared" si="238"/>
        <v>0</v>
      </c>
      <c r="AY375" s="2973">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0">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120">
        <f t="shared" si="236"/>
        <v>0</v>
      </c>
      <c r="AW376" s="1120">
        <f t="shared" si="237"/>
        <v>0</v>
      </c>
      <c r="AX376" s="1120">
        <f t="shared" si="238"/>
        <v>0</v>
      </c>
      <c r="AY376" s="2973">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0">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120">
        <f t="shared" si="236"/>
        <v>0</v>
      </c>
      <c r="AW377" s="1120">
        <f t="shared" si="237"/>
        <v>0</v>
      </c>
      <c r="AX377" s="1120">
        <f t="shared" si="238"/>
        <v>0</v>
      </c>
      <c r="AY377" s="2973">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0">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120">
        <f t="shared" si="236"/>
        <v>0</v>
      </c>
      <c r="AW378" s="1120">
        <f t="shared" si="237"/>
        <v>0</v>
      </c>
      <c r="AX378" s="1120">
        <f t="shared" si="238"/>
        <v>0</v>
      </c>
      <c r="AY378" s="2973">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0">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120">
        <f t="shared" si="236"/>
        <v>0</v>
      </c>
      <c r="AW379" s="1120">
        <f t="shared" si="237"/>
        <v>0</v>
      </c>
      <c r="AX379" s="1120">
        <f t="shared" si="238"/>
        <v>0</v>
      </c>
      <c r="AY379" s="2973">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0">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120">
        <f t="shared" si="236"/>
        <v>0</v>
      </c>
      <c r="AW380" s="1120">
        <f t="shared" si="237"/>
        <v>0</v>
      </c>
      <c r="AX380" s="1120">
        <f t="shared" si="238"/>
        <v>0</v>
      </c>
      <c r="AY380" s="2973">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0">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120">
        <f t="shared" si="236"/>
        <v>0</v>
      </c>
      <c r="AW381" s="1120">
        <f t="shared" si="237"/>
        <v>0</v>
      </c>
      <c r="AX381" s="1120">
        <f t="shared" si="238"/>
        <v>0</v>
      </c>
      <c r="AY381" s="2973">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0">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120">
        <f t="shared" si="236"/>
        <v>0</v>
      </c>
      <c r="AW382" s="1120">
        <f t="shared" si="237"/>
        <v>0</v>
      </c>
      <c r="AX382" s="1120">
        <f t="shared" si="238"/>
        <v>0</v>
      </c>
      <c r="AY382" s="2973">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0">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120">
        <f t="shared" si="236"/>
        <v>0</v>
      </c>
      <c r="AW383" s="1120">
        <f t="shared" si="237"/>
        <v>0</v>
      </c>
      <c r="AX383" s="1120">
        <f t="shared" si="238"/>
        <v>0</v>
      </c>
      <c r="AY383" s="2973">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0">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120">
        <f t="shared" si="236"/>
        <v>0</v>
      </c>
      <c r="AW384" s="1120">
        <f t="shared" si="237"/>
        <v>0</v>
      </c>
      <c r="AX384" s="1120">
        <f t="shared" si="238"/>
        <v>0</v>
      </c>
      <c r="AY384" s="2973">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0">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120">
        <f t="shared" si="236"/>
        <v>0</v>
      </c>
      <c r="AW385" s="1120">
        <f t="shared" si="237"/>
        <v>0</v>
      </c>
      <c r="AX385" s="1120">
        <f t="shared" si="238"/>
        <v>0</v>
      </c>
      <c r="AY385" s="2973">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0">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120">
        <f t="shared" si="236"/>
        <v>0</v>
      </c>
      <c r="AW386" s="1120">
        <f t="shared" si="237"/>
        <v>0</v>
      </c>
      <c r="AX386" s="1120">
        <f t="shared" si="238"/>
        <v>0</v>
      </c>
      <c r="AY386" s="2973">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0">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120">
        <f t="shared" si="236"/>
        <v>0</v>
      </c>
      <c r="AW387" s="1120">
        <f t="shared" si="237"/>
        <v>0</v>
      </c>
      <c r="AX387" s="1120">
        <f t="shared" si="238"/>
        <v>0</v>
      </c>
      <c r="AY387" s="2973">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0">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120">
        <f t="shared" si="236"/>
        <v>0</v>
      </c>
      <c r="AW388" s="1120">
        <f t="shared" si="237"/>
        <v>0</v>
      </c>
      <c r="AX388" s="1120">
        <f t="shared" si="238"/>
        <v>0</v>
      </c>
      <c r="AY388" s="2973">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0">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120">
        <f t="shared" si="236"/>
        <v>0</v>
      </c>
      <c r="AW389" s="1120">
        <f t="shared" si="237"/>
        <v>0</v>
      </c>
      <c r="AX389" s="1120">
        <f t="shared" si="238"/>
        <v>0</v>
      </c>
      <c r="AY389" s="2973">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0">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120">
        <f t="shared" si="236"/>
        <v>0</v>
      </c>
      <c r="AW390" s="1120">
        <f t="shared" si="237"/>
        <v>0</v>
      </c>
      <c r="AX390" s="1120">
        <f t="shared" si="238"/>
        <v>0</v>
      </c>
      <c r="AY390" s="2973">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0">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120">
        <f t="shared" si="236"/>
        <v>0</v>
      </c>
      <c r="AW391" s="1120">
        <f t="shared" si="237"/>
        <v>0</v>
      </c>
      <c r="AX391" s="1120">
        <f t="shared" si="238"/>
        <v>0</v>
      </c>
      <c r="AY391" s="2973">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0">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120">
        <f t="shared" si="236"/>
        <v>0</v>
      </c>
      <c r="AW392" s="1120">
        <f t="shared" si="237"/>
        <v>0</v>
      </c>
      <c r="AX392" s="1120">
        <f t="shared" si="238"/>
        <v>0</v>
      </c>
      <c r="AY392" s="2973">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0">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120">
        <f t="shared" si="236"/>
        <v>0</v>
      </c>
      <c r="AW393" s="1120">
        <f t="shared" si="237"/>
        <v>0</v>
      </c>
      <c r="AX393" s="1120">
        <f t="shared" si="238"/>
        <v>0</v>
      </c>
      <c r="AY393" s="2973">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0">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120">
        <f t="shared" si="236"/>
        <v>0</v>
      </c>
      <c r="AW394" s="1120">
        <f t="shared" si="237"/>
        <v>0</v>
      </c>
      <c r="AX394" s="1120">
        <f t="shared" si="238"/>
        <v>0</v>
      </c>
      <c r="AY394" s="2973">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0">
        <f t="shared" si="234"/>
        <v>0</v>
      </c>
    </row>
    <row r="395" spans="1:72">
      <c r="A395" s="2925"/>
      <c r="B395" s="2925"/>
      <c r="C395" s="2925"/>
      <c r="D395" s="2927"/>
      <c r="E395" s="2928">
        <f t="shared" si="235"/>
        <v>0</v>
      </c>
      <c r="F395" s="2981"/>
      <c r="G395" s="2930">
        <f t="shared" si="210"/>
        <v>0</v>
      </c>
      <c r="H395" s="2931">
        <f t="shared" si="211"/>
        <v>0</v>
      </c>
      <c r="I395" s="2982"/>
      <c r="J395" s="2982"/>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3"/>
      <c r="AV395" s="1120">
        <f t="shared" si="236"/>
        <v>0</v>
      </c>
      <c r="AW395" s="1120">
        <f t="shared" si="237"/>
        <v>0</v>
      </c>
      <c r="AX395" s="1120">
        <f t="shared" si="238"/>
        <v>0</v>
      </c>
      <c r="AY395" s="2973">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0">
        <f t="shared" si="234"/>
        <v>0</v>
      </c>
    </row>
    <row r="396" spans="1:72">
      <c r="A396" s="2925"/>
      <c r="B396" s="2925"/>
      <c r="C396" s="2925"/>
      <c r="D396" s="2927"/>
      <c r="E396" s="2928">
        <f t="shared" si="235"/>
        <v>0</v>
      </c>
      <c r="F396" s="2981"/>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3"/>
      <c r="AV396" s="1120">
        <f t="shared" si="236"/>
        <v>0</v>
      </c>
      <c r="AW396" s="1120">
        <f t="shared" si="237"/>
        <v>0</v>
      </c>
      <c r="AX396" s="1120">
        <f t="shared" si="238"/>
        <v>0</v>
      </c>
      <c r="AY396" s="2973">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0">
        <f t="shared" si="234"/>
        <v>0</v>
      </c>
    </row>
    <row r="397" spans="1:72">
      <c r="A397" s="2925"/>
      <c r="B397" s="2925"/>
      <c r="C397" s="2925"/>
      <c r="D397" s="2927"/>
      <c r="E397" s="2928">
        <f t="shared" si="235"/>
        <v>0</v>
      </c>
      <c r="F397" s="2981"/>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3"/>
      <c r="AV397" s="1120">
        <f t="shared" si="236"/>
        <v>0</v>
      </c>
      <c r="AW397" s="1120">
        <f t="shared" si="237"/>
        <v>0</v>
      </c>
      <c r="AX397" s="1120">
        <f t="shared" si="238"/>
        <v>0</v>
      </c>
      <c r="AY397" s="2973">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0">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120">
        <f t="shared" ref="AV398:AV492" si="243">A398</f>
        <v>0</v>
      </c>
      <c r="AW398" s="1120">
        <f t="shared" ref="AW398:AW492" si="244">B398</f>
        <v>0</v>
      </c>
      <c r="AX398" s="1120">
        <f t="shared" ref="AX398:AX492" si="245">C398</f>
        <v>0</v>
      </c>
      <c r="AY398" s="2973">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0">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120">
        <f t="shared" si="243"/>
        <v>0</v>
      </c>
      <c r="AW399" s="1120">
        <f t="shared" si="244"/>
        <v>0</v>
      </c>
      <c r="AX399" s="1120">
        <f t="shared" si="245"/>
        <v>0</v>
      </c>
      <c r="AY399" s="2973">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0">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120">
        <f t="shared" si="243"/>
        <v>0</v>
      </c>
      <c r="AW400" s="1120">
        <f t="shared" si="244"/>
        <v>0</v>
      </c>
      <c r="AX400" s="1120">
        <f t="shared" si="245"/>
        <v>0</v>
      </c>
      <c r="AY400" s="2973">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0">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120">
        <f t="shared" si="243"/>
        <v>0</v>
      </c>
      <c r="AW401" s="1120">
        <f t="shared" si="244"/>
        <v>0</v>
      </c>
      <c r="AX401" s="1120">
        <f t="shared" si="245"/>
        <v>0</v>
      </c>
      <c r="AY401" s="2973">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0">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120">
        <f t="shared" si="243"/>
        <v>0</v>
      </c>
      <c r="AW402" s="1120">
        <f t="shared" si="244"/>
        <v>0</v>
      </c>
      <c r="AX402" s="1120">
        <f t="shared" si="245"/>
        <v>0</v>
      </c>
      <c r="AY402" s="2973">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0">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120">
        <f t="shared" si="243"/>
        <v>0</v>
      </c>
      <c r="AW403" s="1120">
        <f t="shared" si="244"/>
        <v>0</v>
      </c>
      <c r="AX403" s="1120">
        <f t="shared" si="245"/>
        <v>0</v>
      </c>
      <c r="AY403" s="2973">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0">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120">
        <f t="shared" si="243"/>
        <v>0</v>
      </c>
      <c r="AW404" s="1120">
        <f t="shared" si="244"/>
        <v>0</v>
      </c>
      <c r="AX404" s="1120">
        <f t="shared" si="245"/>
        <v>0</v>
      </c>
      <c r="AY404" s="2973">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0">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120">
        <f t="shared" si="243"/>
        <v>0</v>
      </c>
      <c r="AW405" s="1120">
        <f t="shared" si="244"/>
        <v>0</v>
      </c>
      <c r="AX405" s="1120">
        <f t="shared" si="245"/>
        <v>0</v>
      </c>
      <c r="AY405" s="2973">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0">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120">
        <f t="shared" si="243"/>
        <v>0</v>
      </c>
      <c r="AW406" s="1120">
        <f t="shared" si="244"/>
        <v>0</v>
      </c>
      <c r="AX406" s="1120">
        <f t="shared" si="245"/>
        <v>0</v>
      </c>
      <c r="AY406" s="2973">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0">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120">
        <f t="shared" si="243"/>
        <v>0</v>
      </c>
      <c r="AW407" s="1120">
        <f t="shared" si="244"/>
        <v>0</v>
      </c>
      <c r="AX407" s="1120">
        <f t="shared" si="245"/>
        <v>0</v>
      </c>
      <c r="AY407" s="2973">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0">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120">
        <f t="shared" si="243"/>
        <v>0</v>
      </c>
      <c r="AW408" s="1120">
        <f t="shared" si="244"/>
        <v>0</v>
      </c>
      <c r="AX408" s="1120">
        <f t="shared" si="245"/>
        <v>0</v>
      </c>
      <c r="AY408" s="2973">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0">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120">
        <f t="shared" si="243"/>
        <v>0</v>
      </c>
      <c r="AW409" s="1120">
        <f t="shared" si="244"/>
        <v>0</v>
      </c>
      <c r="AX409" s="1120">
        <f t="shared" si="245"/>
        <v>0</v>
      </c>
      <c r="AY409" s="2973">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0">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120">
        <f t="shared" si="243"/>
        <v>0</v>
      </c>
      <c r="AW410" s="1120">
        <f t="shared" si="244"/>
        <v>0</v>
      </c>
      <c r="AX410" s="1120">
        <f t="shared" si="245"/>
        <v>0</v>
      </c>
      <c r="AY410" s="2973">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0">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120">
        <f t="shared" si="243"/>
        <v>0</v>
      </c>
      <c r="AW411" s="1120">
        <f t="shared" si="244"/>
        <v>0</v>
      </c>
      <c r="AX411" s="1120">
        <f t="shared" si="245"/>
        <v>0</v>
      </c>
      <c r="AY411" s="2973">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0">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120">
        <f t="shared" si="243"/>
        <v>0</v>
      </c>
      <c r="AW412" s="1120">
        <f t="shared" si="244"/>
        <v>0</v>
      </c>
      <c r="AX412" s="1120">
        <f t="shared" si="245"/>
        <v>0</v>
      </c>
      <c r="AY412" s="2973">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0">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120">
        <f t="shared" si="243"/>
        <v>0</v>
      </c>
      <c r="AW413" s="1120">
        <f t="shared" si="244"/>
        <v>0</v>
      </c>
      <c r="AX413" s="1120">
        <f t="shared" si="245"/>
        <v>0</v>
      </c>
      <c r="AY413" s="2973">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0">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120">
        <f t="shared" si="243"/>
        <v>0</v>
      </c>
      <c r="AW414" s="1120">
        <f t="shared" si="244"/>
        <v>0</v>
      </c>
      <c r="AX414" s="1120">
        <f t="shared" si="245"/>
        <v>0</v>
      </c>
      <c r="AY414" s="2973">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0">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120">
        <f t="shared" si="243"/>
        <v>0</v>
      </c>
      <c r="AW415" s="1120">
        <f t="shared" si="244"/>
        <v>0</v>
      </c>
      <c r="AX415" s="1120">
        <f t="shared" si="245"/>
        <v>0</v>
      </c>
      <c r="AY415" s="2973">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0">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120">
        <f t="shared" si="243"/>
        <v>0</v>
      </c>
      <c r="AW416" s="1120">
        <f t="shared" si="244"/>
        <v>0</v>
      </c>
      <c r="AX416" s="1120">
        <f t="shared" si="245"/>
        <v>0</v>
      </c>
      <c r="AY416" s="2973">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0">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120">
        <f t="shared" si="243"/>
        <v>0</v>
      </c>
      <c r="AW417" s="1120">
        <f t="shared" si="244"/>
        <v>0</v>
      </c>
      <c r="AX417" s="1120">
        <f t="shared" si="245"/>
        <v>0</v>
      </c>
      <c r="AY417" s="2973">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0">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120">
        <f t="shared" si="243"/>
        <v>0</v>
      </c>
      <c r="AW418" s="1120">
        <f t="shared" si="244"/>
        <v>0</v>
      </c>
      <c r="AX418" s="1120">
        <f t="shared" si="245"/>
        <v>0</v>
      </c>
      <c r="AY418" s="2973">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0">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120">
        <f t="shared" si="243"/>
        <v>0</v>
      </c>
      <c r="AW419" s="1120">
        <f t="shared" si="244"/>
        <v>0</v>
      </c>
      <c r="AX419" s="1120">
        <f t="shared" si="245"/>
        <v>0</v>
      </c>
      <c r="AY419" s="2973">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0">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120">
        <f t="shared" si="243"/>
        <v>0</v>
      </c>
      <c r="AW420" s="1120">
        <f t="shared" si="244"/>
        <v>0</v>
      </c>
      <c r="AX420" s="1120">
        <f t="shared" si="245"/>
        <v>0</v>
      </c>
      <c r="AY420" s="2973">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0">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120">
        <f t="shared" si="243"/>
        <v>0</v>
      </c>
      <c r="AW421" s="1120">
        <f t="shared" si="244"/>
        <v>0</v>
      </c>
      <c r="AX421" s="1120">
        <f t="shared" si="245"/>
        <v>0</v>
      </c>
      <c r="AY421" s="2973">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0">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120">
        <f t="shared" si="243"/>
        <v>0</v>
      </c>
      <c r="AW422" s="1120">
        <f t="shared" si="244"/>
        <v>0</v>
      </c>
      <c r="AX422" s="1120">
        <f t="shared" si="245"/>
        <v>0</v>
      </c>
      <c r="AY422" s="2973">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0">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120">
        <f t="shared" si="243"/>
        <v>0</v>
      </c>
      <c r="AW423" s="1120">
        <f t="shared" si="244"/>
        <v>0</v>
      </c>
      <c r="AX423" s="1120">
        <f t="shared" si="245"/>
        <v>0</v>
      </c>
      <c r="AY423" s="2973">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0">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120">
        <f t="shared" si="243"/>
        <v>0</v>
      </c>
      <c r="AW424" s="1120">
        <f t="shared" si="244"/>
        <v>0</v>
      </c>
      <c r="AX424" s="1120">
        <f t="shared" si="245"/>
        <v>0</v>
      </c>
      <c r="AY424" s="2973">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0">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120">
        <f t="shared" si="243"/>
        <v>0</v>
      </c>
      <c r="AW425" s="1120">
        <f t="shared" si="244"/>
        <v>0</v>
      </c>
      <c r="AX425" s="1120">
        <f t="shared" si="245"/>
        <v>0</v>
      </c>
      <c r="AY425" s="2973">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0">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120">
        <f t="shared" si="243"/>
        <v>0</v>
      </c>
      <c r="AW426" s="1120">
        <f t="shared" si="244"/>
        <v>0</v>
      </c>
      <c r="AX426" s="1120">
        <f t="shared" si="245"/>
        <v>0</v>
      </c>
      <c r="AY426" s="2973">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0">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120">
        <f t="shared" si="243"/>
        <v>0</v>
      </c>
      <c r="AW427" s="1120">
        <f t="shared" si="244"/>
        <v>0</v>
      </c>
      <c r="AX427" s="1120">
        <f t="shared" si="245"/>
        <v>0</v>
      </c>
      <c r="AY427" s="2973">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0">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120">
        <f t="shared" si="243"/>
        <v>0</v>
      </c>
      <c r="AW428" s="1120">
        <f t="shared" si="244"/>
        <v>0</v>
      </c>
      <c r="AX428" s="1120">
        <f t="shared" si="245"/>
        <v>0</v>
      </c>
      <c r="AY428" s="2973">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0">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120">
        <f t="shared" si="243"/>
        <v>0</v>
      </c>
      <c r="AW429" s="1120">
        <f t="shared" si="244"/>
        <v>0</v>
      </c>
      <c r="AX429" s="1120">
        <f t="shared" si="245"/>
        <v>0</v>
      </c>
      <c r="AY429" s="2973">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0">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120">
        <f t="shared" si="243"/>
        <v>0</v>
      </c>
      <c r="AW430" s="1120">
        <f t="shared" si="244"/>
        <v>0</v>
      </c>
      <c r="AX430" s="1120">
        <f t="shared" si="245"/>
        <v>0</v>
      </c>
      <c r="AY430" s="2973">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0">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120">
        <f t="shared" si="243"/>
        <v>0</v>
      </c>
      <c r="AW431" s="1120">
        <f t="shared" si="244"/>
        <v>0</v>
      </c>
      <c r="AX431" s="1120">
        <f t="shared" si="245"/>
        <v>0</v>
      </c>
      <c r="AY431" s="2973">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0">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120">
        <f t="shared" si="243"/>
        <v>0</v>
      </c>
      <c r="AW432" s="1120">
        <f t="shared" si="244"/>
        <v>0</v>
      </c>
      <c r="AX432" s="1120">
        <f t="shared" si="245"/>
        <v>0</v>
      </c>
      <c r="AY432" s="2973">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0">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120">
        <f t="shared" si="243"/>
        <v>0</v>
      </c>
      <c r="AW433" s="1120">
        <f t="shared" si="244"/>
        <v>0</v>
      </c>
      <c r="AX433" s="1120">
        <f t="shared" si="245"/>
        <v>0</v>
      </c>
      <c r="AY433" s="2973">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0">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120">
        <f t="shared" si="243"/>
        <v>0</v>
      </c>
      <c r="AW434" s="1120">
        <f t="shared" si="244"/>
        <v>0</v>
      </c>
      <c r="AX434" s="1120">
        <f t="shared" si="245"/>
        <v>0</v>
      </c>
      <c r="AY434" s="2973">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0">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120">
        <f t="shared" si="243"/>
        <v>0</v>
      </c>
      <c r="AW435" s="1120">
        <f t="shared" si="244"/>
        <v>0</v>
      </c>
      <c r="AX435" s="1120">
        <f t="shared" si="245"/>
        <v>0</v>
      </c>
      <c r="AY435" s="2973">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0">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120">
        <f t="shared" si="243"/>
        <v>0</v>
      </c>
      <c r="AW436" s="1120">
        <f t="shared" si="244"/>
        <v>0</v>
      </c>
      <c r="AX436" s="1120">
        <f t="shared" si="245"/>
        <v>0</v>
      </c>
      <c r="AY436" s="2973">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0">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120">
        <f t="shared" si="243"/>
        <v>0</v>
      </c>
      <c r="AW437" s="1120">
        <f t="shared" si="244"/>
        <v>0</v>
      </c>
      <c r="AX437" s="1120">
        <f t="shared" si="245"/>
        <v>0</v>
      </c>
      <c r="AY437" s="2973">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0">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120">
        <f t="shared" si="243"/>
        <v>0</v>
      </c>
      <c r="AW438" s="1120">
        <f t="shared" si="244"/>
        <v>0</v>
      </c>
      <c r="AX438" s="1120">
        <f t="shared" si="245"/>
        <v>0</v>
      </c>
      <c r="AY438" s="2973">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0">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120">
        <f t="shared" si="243"/>
        <v>0</v>
      </c>
      <c r="AW439" s="1120">
        <f t="shared" si="244"/>
        <v>0</v>
      </c>
      <c r="AX439" s="1120">
        <f t="shared" si="245"/>
        <v>0</v>
      </c>
      <c r="AY439" s="2973">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0">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120">
        <f t="shared" si="243"/>
        <v>0</v>
      </c>
      <c r="AW440" s="1120">
        <f t="shared" si="244"/>
        <v>0</v>
      </c>
      <c r="AX440" s="1120">
        <f t="shared" si="245"/>
        <v>0</v>
      </c>
      <c r="AY440" s="2973">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0">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120">
        <f t="shared" si="243"/>
        <v>0</v>
      </c>
      <c r="AW441" s="1120">
        <f t="shared" si="244"/>
        <v>0</v>
      </c>
      <c r="AX441" s="1120">
        <f t="shared" si="245"/>
        <v>0</v>
      </c>
      <c r="AY441" s="2973">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0">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120">
        <f t="shared" si="243"/>
        <v>0</v>
      </c>
      <c r="AW442" s="1120">
        <f t="shared" si="244"/>
        <v>0</v>
      </c>
      <c r="AX442" s="1120">
        <f t="shared" si="245"/>
        <v>0</v>
      </c>
      <c r="AY442" s="2973">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0">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120">
        <f t="shared" si="243"/>
        <v>0</v>
      </c>
      <c r="AW443" s="1120">
        <f t="shared" si="244"/>
        <v>0</v>
      </c>
      <c r="AX443" s="1120">
        <f t="shared" si="245"/>
        <v>0</v>
      </c>
      <c r="AY443" s="2973">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0">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120">
        <f t="shared" si="243"/>
        <v>0</v>
      </c>
      <c r="AW444" s="1120">
        <f t="shared" si="244"/>
        <v>0</v>
      </c>
      <c r="AX444" s="1120">
        <f t="shared" si="245"/>
        <v>0</v>
      </c>
      <c r="AY444" s="2973">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0">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120">
        <f t="shared" si="243"/>
        <v>0</v>
      </c>
      <c r="AW445" s="1120">
        <f t="shared" si="244"/>
        <v>0</v>
      </c>
      <c r="AX445" s="1120">
        <f t="shared" si="245"/>
        <v>0</v>
      </c>
      <c r="AY445" s="2973">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0">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120">
        <f t="shared" si="243"/>
        <v>0</v>
      </c>
      <c r="AW446" s="1120">
        <f t="shared" si="244"/>
        <v>0</v>
      </c>
      <c r="AX446" s="1120">
        <f t="shared" si="245"/>
        <v>0</v>
      </c>
      <c r="AY446" s="2973">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0">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120">
        <f t="shared" si="243"/>
        <v>0</v>
      </c>
      <c r="AW447" s="1120">
        <f t="shared" si="244"/>
        <v>0</v>
      </c>
      <c r="AX447" s="1120">
        <f t="shared" si="245"/>
        <v>0</v>
      </c>
      <c r="AY447" s="2973">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0">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120">
        <f t="shared" si="243"/>
        <v>0</v>
      </c>
      <c r="AW448" s="1120">
        <f t="shared" si="244"/>
        <v>0</v>
      </c>
      <c r="AX448" s="1120">
        <f t="shared" si="245"/>
        <v>0</v>
      </c>
      <c r="AY448" s="2973">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0">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120">
        <f t="shared" si="243"/>
        <v>0</v>
      </c>
      <c r="AW449" s="1120">
        <f t="shared" si="244"/>
        <v>0</v>
      </c>
      <c r="AX449" s="1120">
        <f t="shared" si="245"/>
        <v>0</v>
      </c>
      <c r="AY449" s="2973">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0">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120">
        <f t="shared" si="243"/>
        <v>0</v>
      </c>
      <c r="AW450" s="1120">
        <f t="shared" si="244"/>
        <v>0</v>
      </c>
      <c r="AX450" s="1120">
        <f t="shared" si="245"/>
        <v>0</v>
      </c>
      <c r="AY450" s="2973">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0">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120">
        <f t="shared" si="243"/>
        <v>0</v>
      </c>
      <c r="AW451" s="1120">
        <f t="shared" si="244"/>
        <v>0</v>
      </c>
      <c r="AX451" s="1120">
        <f t="shared" si="245"/>
        <v>0</v>
      </c>
      <c r="AY451" s="2973">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0">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120">
        <f t="shared" si="243"/>
        <v>0</v>
      </c>
      <c r="AW452" s="1120">
        <f t="shared" si="244"/>
        <v>0</v>
      </c>
      <c r="AX452" s="1120">
        <f t="shared" si="245"/>
        <v>0</v>
      </c>
      <c r="AY452" s="2973">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0">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120">
        <f t="shared" si="243"/>
        <v>0</v>
      </c>
      <c r="AW453" s="1120">
        <f t="shared" si="244"/>
        <v>0</v>
      </c>
      <c r="AX453" s="1120">
        <f t="shared" si="245"/>
        <v>0</v>
      </c>
      <c r="AY453" s="2973">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0">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120">
        <f t="shared" si="243"/>
        <v>0</v>
      </c>
      <c r="AW454" s="1120">
        <f t="shared" si="244"/>
        <v>0</v>
      </c>
      <c r="AX454" s="1120">
        <f t="shared" si="245"/>
        <v>0</v>
      </c>
      <c r="AY454" s="2973">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0">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120">
        <f t="shared" si="243"/>
        <v>0</v>
      </c>
      <c r="AW455" s="1120">
        <f t="shared" si="244"/>
        <v>0</v>
      </c>
      <c r="AX455" s="1120">
        <f t="shared" si="245"/>
        <v>0</v>
      </c>
      <c r="AY455" s="2973">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0">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120">
        <f t="shared" si="243"/>
        <v>0</v>
      </c>
      <c r="AW456" s="1120">
        <f t="shared" si="244"/>
        <v>0</v>
      </c>
      <c r="AX456" s="1120">
        <f t="shared" si="245"/>
        <v>0</v>
      </c>
      <c r="AY456" s="2973">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0">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120">
        <f t="shared" si="243"/>
        <v>0</v>
      </c>
      <c r="AW457" s="1120">
        <f t="shared" si="244"/>
        <v>0</v>
      </c>
      <c r="AX457" s="1120">
        <f t="shared" si="245"/>
        <v>0</v>
      </c>
      <c r="AY457" s="2973">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0">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120">
        <f t="shared" si="243"/>
        <v>0</v>
      </c>
      <c r="AW458" s="1120">
        <f t="shared" si="244"/>
        <v>0</v>
      </c>
      <c r="AX458" s="1120">
        <f t="shared" si="245"/>
        <v>0</v>
      </c>
      <c r="AY458" s="2973">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0">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120">
        <f t="shared" si="243"/>
        <v>0</v>
      </c>
      <c r="AW459" s="1120">
        <f t="shared" si="244"/>
        <v>0</v>
      </c>
      <c r="AX459" s="1120">
        <f t="shared" si="245"/>
        <v>0</v>
      </c>
      <c r="AY459" s="2973">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0">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120">
        <f t="shared" si="243"/>
        <v>0</v>
      </c>
      <c r="AW460" s="1120">
        <f t="shared" si="244"/>
        <v>0</v>
      </c>
      <c r="AX460" s="1120">
        <f t="shared" si="245"/>
        <v>0</v>
      </c>
      <c r="AY460" s="2973">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0">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120">
        <f t="shared" si="243"/>
        <v>0</v>
      </c>
      <c r="AW461" s="1120">
        <f t="shared" si="244"/>
        <v>0</v>
      </c>
      <c r="AX461" s="1120">
        <f t="shared" si="245"/>
        <v>0</v>
      </c>
      <c r="AY461" s="2973">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0">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120">
        <f t="shared" si="243"/>
        <v>0</v>
      </c>
      <c r="AW462" s="1120">
        <f t="shared" si="244"/>
        <v>0</v>
      </c>
      <c r="AX462" s="1120">
        <f t="shared" si="245"/>
        <v>0</v>
      </c>
      <c r="AY462" s="2973">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0">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120">
        <f t="shared" si="243"/>
        <v>0</v>
      </c>
      <c r="AW463" s="1120">
        <f t="shared" si="244"/>
        <v>0</v>
      </c>
      <c r="AX463" s="1120">
        <f t="shared" si="245"/>
        <v>0</v>
      </c>
      <c r="AY463" s="2973">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0">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120">
        <f t="shared" si="243"/>
        <v>0</v>
      </c>
      <c r="AW464" s="1120">
        <f t="shared" si="244"/>
        <v>0</v>
      </c>
      <c r="AX464" s="1120">
        <f t="shared" si="245"/>
        <v>0</v>
      </c>
      <c r="AY464" s="2973">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0">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120">
        <f t="shared" si="243"/>
        <v>0</v>
      </c>
      <c r="AW465" s="1120">
        <f t="shared" si="244"/>
        <v>0</v>
      </c>
      <c r="AX465" s="1120">
        <f t="shared" si="245"/>
        <v>0</v>
      </c>
      <c r="AY465" s="2973">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0">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120">
        <f t="shared" si="243"/>
        <v>0</v>
      </c>
      <c r="AW466" s="1120">
        <f t="shared" si="244"/>
        <v>0</v>
      </c>
      <c r="AX466" s="1120">
        <f t="shared" si="245"/>
        <v>0</v>
      </c>
      <c r="AY466" s="2973">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0">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120">
        <f t="shared" si="243"/>
        <v>0</v>
      </c>
      <c r="AW467" s="1120">
        <f t="shared" si="244"/>
        <v>0</v>
      </c>
      <c r="AX467" s="1120">
        <f t="shared" si="245"/>
        <v>0</v>
      </c>
      <c r="AY467" s="2973">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0">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120">
        <f t="shared" si="243"/>
        <v>0</v>
      </c>
      <c r="AW468" s="1120">
        <f t="shared" si="244"/>
        <v>0</v>
      </c>
      <c r="AX468" s="1120">
        <f t="shared" si="245"/>
        <v>0</v>
      </c>
      <c r="AY468" s="2973">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0">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120">
        <f t="shared" si="243"/>
        <v>0</v>
      </c>
      <c r="AW469" s="1120">
        <f t="shared" si="244"/>
        <v>0</v>
      </c>
      <c r="AX469" s="1120">
        <f t="shared" si="245"/>
        <v>0</v>
      </c>
      <c r="AY469" s="2973">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0">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120">
        <f t="shared" si="243"/>
        <v>0</v>
      </c>
      <c r="AW470" s="1120">
        <f t="shared" si="244"/>
        <v>0</v>
      </c>
      <c r="AX470" s="1120">
        <f t="shared" si="245"/>
        <v>0</v>
      </c>
      <c r="AY470" s="2973">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0">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120">
        <f t="shared" si="243"/>
        <v>0</v>
      </c>
      <c r="AW471" s="1120">
        <f t="shared" si="244"/>
        <v>0</v>
      </c>
      <c r="AX471" s="1120">
        <f t="shared" si="245"/>
        <v>0</v>
      </c>
      <c r="AY471" s="2973">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0">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120">
        <f t="shared" si="243"/>
        <v>0</v>
      </c>
      <c r="AW472" s="1120">
        <f t="shared" si="244"/>
        <v>0</v>
      </c>
      <c r="AX472" s="1120">
        <f t="shared" si="245"/>
        <v>0</v>
      </c>
      <c r="AY472" s="2973">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0">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120">
        <f t="shared" si="243"/>
        <v>0</v>
      </c>
      <c r="AW473" s="1120">
        <f t="shared" si="244"/>
        <v>0</v>
      </c>
      <c r="AX473" s="1120">
        <f t="shared" si="245"/>
        <v>0</v>
      </c>
      <c r="AY473" s="2973">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0">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120">
        <f t="shared" si="243"/>
        <v>0</v>
      </c>
      <c r="AW474" s="1120">
        <f t="shared" si="244"/>
        <v>0</v>
      </c>
      <c r="AX474" s="1120">
        <f t="shared" si="245"/>
        <v>0</v>
      </c>
      <c r="AY474" s="2973">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0">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120">
        <f t="shared" si="243"/>
        <v>0</v>
      </c>
      <c r="AW475" s="1120">
        <f t="shared" si="244"/>
        <v>0</v>
      </c>
      <c r="AX475" s="1120">
        <f t="shared" si="245"/>
        <v>0</v>
      </c>
      <c r="AY475" s="2973">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0">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120">
        <f t="shared" si="243"/>
        <v>0</v>
      </c>
      <c r="AW476" s="1120">
        <f t="shared" si="244"/>
        <v>0</v>
      </c>
      <c r="AX476" s="1120">
        <f t="shared" si="245"/>
        <v>0</v>
      </c>
      <c r="AY476" s="2973">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0">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120">
        <f t="shared" si="243"/>
        <v>0</v>
      </c>
      <c r="AW477" s="1120">
        <f t="shared" si="244"/>
        <v>0</v>
      </c>
      <c r="AX477" s="1120">
        <f t="shared" si="245"/>
        <v>0</v>
      </c>
      <c r="AY477" s="2973">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0">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120">
        <f t="shared" si="243"/>
        <v>0</v>
      </c>
      <c r="AW478" s="1120">
        <f t="shared" si="244"/>
        <v>0</v>
      </c>
      <c r="AX478" s="1120">
        <f t="shared" si="245"/>
        <v>0</v>
      </c>
      <c r="AY478" s="2973">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0">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120">
        <f t="shared" si="243"/>
        <v>0</v>
      </c>
      <c r="AW479" s="1120">
        <f t="shared" si="244"/>
        <v>0</v>
      </c>
      <c r="AX479" s="1120">
        <f t="shared" si="245"/>
        <v>0</v>
      </c>
      <c r="AY479" s="2973">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0">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120">
        <f t="shared" si="243"/>
        <v>0</v>
      </c>
      <c r="AW480" s="1120">
        <f t="shared" si="244"/>
        <v>0</v>
      </c>
      <c r="AX480" s="1120">
        <f t="shared" si="245"/>
        <v>0</v>
      </c>
      <c r="AY480" s="2973">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0">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120">
        <f t="shared" si="243"/>
        <v>0</v>
      </c>
      <c r="AW481" s="1120">
        <f t="shared" si="244"/>
        <v>0</v>
      </c>
      <c r="AX481" s="1120">
        <f t="shared" si="245"/>
        <v>0</v>
      </c>
      <c r="AY481" s="2973">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0">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120">
        <f t="shared" si="243"/>
        <v>0</v>
      </c>
      <c r="AW482" s="1120">
        <f t="shared" si="244"/>
        <v>0</v>
      </c>
      <c r="AX482" s="1120">
        <f t="shared" si="245"/>
        <v>0</v>
      </c>
      <c r="AY482" s="2973">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0">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120">
        <f t="shared" si="243"/>
        <v>0</v>
      </c>
      <c r="AW483" s="1120">
        <f t="shared" si="244"/>
        <v>0</v>
      </c>
      <c r="AX483" s="1120">
        <f t="shared" si="245"/>
        <v>0</v>
      </c>
      <c r="AY483" s="2973">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0">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120">
        <f t="shared" si="243"/>
        <v>0</v>
      </c>
      <c r="AW484" s="1120">
        <f t="shared" si="244"/>
        <v>0</v>
      </c>
      <c r="AX484" s="1120">
        <f t="shared" si="245"/>
        <v>0</v>
      </c>
      <c r="AY484" s="2973">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0">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120">
        <f t="shared" si="243"/>
        <v>0</v>
      </c>
      <c r="AW485" s="1120">
        <f t="shared" si="244"/>
        <v>0</v>
      </c>
      <c r="AX485" s="1120">
        <f t="shared" si="245"/>
        <v>0</v>
      </c>
      <c r="AY485" s="2973">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0">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120">
        <f t="shared" si="243"/>
        <v>0</v>
      </c>
      <c r="AW486" s="1120">
        <f t="shared" si="244"/>
        <v>0</v>
      </c>
      <c r="AX486" s="1120">
        <f t="shared" si="245"/>
        <v>0</v>
      </c>
      <c r="AY486" s="2973">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0">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120">
        <f t="shared" si="243"/>
        <v>0</v>
      </c>
      <c r="AW487" s="1120">
        <f t="shared" si="244"/>
        <v>0</v>
      </c>
      <c r="AX487" s="1120">
        <f t="shared" si="245"/>
        <v>0</v>
      </c>
      <c r="AY487" s="2973">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0">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120">
        <f t="shared" si="243"/>
        <v>0</v>
      </c>
      <c r="AW488" s="1120">
        <f t="shared" si="244"/>
        <v>0</v>
      </c>
      <c r="AX488" s="1120">
        <f t="shared" si="245"/>
        <v>0</v>
      </c>
      <c r="AY488" s="2973">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0">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120">
        <f t="shared" si="243"/>
        <v>0</v>
      </c>
      <c r="AW489" s="1120">
        <f t="shared" si="244"/>
        <v>0</v>
      </c>
      <c r="AX489" s="1120">
        <f t="shared" si="245"/>
        <v>0</v>
      </c>
      <c r="AY489" s="2973">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0">
        <f t="shared" si="267"/>
        <v>0</v>
      </c>
    </row>
    <row r="490" spans="1:72">
      <c r="A490" s="2925"/>
      <c r="B490" s="2925"/>
      <c r="C490" s="2925"/>
      <c r="D490" s="2927"/>
      <c r="E490" s="2928">
        <f t="shared" si="239"/>
        <v>0</v>
      </c>
      <c r="F490" s="2981"/>
      <c r="G490" s="2930">
        <f t="shared" ref="G490:G521" si="268">H490+AC490+AT490</f>
        <v>0</v>
      </c>
      <c r="H490" s="2931">
        <f t="shared" ref="H490:H521" si="269">SUMIF(I$12:AB$12,"总值",I490:AB490)</f>
        <v>0</v>
      </c>
      <c r="I490" s="2982"/>
      <c r="J490" s="2982"/>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3"/>
      <c r="AV490" s="1120">
        <f t="shared" si="243"/>
        <v>0</v>
      </c>
      <c r="AW490" s="1120">
        <f t="shared" si="244"/>
        <v>0</v>
      </c>
      <c r="AX490" s="1120">
        <f t="shared" si="245"/>
        <v>0</v>
      </c>
      <c r="AY490" s="2973">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0">
        <f t="shared" ref="BT490:BT521" si="292">IF($D490="是",AR490-AS490,0)</f>
        <v>0</v>
      </c>
    </row>
    <row r="491" spans="1:72">
      <c r="A491" s="2925"/>
      <c r="B491" s="2925"/>
      <c r="C491" s="2925"/>
      <c r="D491" s="2927"/>
      <c r="E491" s="2928">
        <f t="shared" si="239"/>
        <v>0</v>
      </c>
      <c r="F491" s="2981"/>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3"/>
      <c r="AV491" s="1120">
        <f t="shared" si="243"/>
        <v>0</v>
      </c>
      <c r="AW491" s="1120">
        <f t="shared" si="244"/>
        <v>0</v>
      </c>
      <c r="AX491" s="1120">
        <f t="shared" si="245"/>
        <v>0</v>
      </c>
      <c r="AY491" s="2973">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0">
        <f t="shared" si="292"/>
        <v>0</v>
      </c>
    </row>
    <row r="492" spans="1:72">
      <c r="A492" s="2925"/>
      <c r="B492" s="2925"/>
      <c r="C492" s="2925"/>
      <c r="D492" s="2927"/>
      <c r="E492" s="2928">
        <f t="shared" si="239"/>
        <v>0</v>
      </c>
      <c r="F492" s="2981"/>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3"/>
      <c r="AV492" s="1120">
        <f t="shared" si="243"/>
        <v>0</v>
      </c>
      <c r="AW492" s="1120">
        <f t="shared" si="244"/>
        <v>0</v>
      </c>
      <c r="AX492" s="1120">
        <f t="shared" si="245"/>
        <v>0</v>
      </c>
      <c r="AY492" s="2973">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0">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120">
        <f t="shared" ref="AV493:AV520" si="294">A493</f>
        <v>0</v>
      </c>
      <c r="AW493" s="1120">
        <f t="shared" ref="AW493:AW520" si="295">B493</f>
        <v>0</v>
      </c>
      <c r="AX493" s="1120">
        <f t="shared" ref="AX493:AX520" si="296">C493</f>
        <v>0</v>
      </c>
      <c r="AY493" s="2973">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0">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120">
        <f t="shared" si="294"/>
        <v>0</v>
      </c>
      <c r="AW494" s="1120">
        <f t="shared" si="295"/>
        <v>0</v>
      </c>
      <c r="AX494" s="1120">
        <f t="shared" si="296"/>
        <v>0</v>
      </c>
      <c r="AY494" s="2973">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0">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120">
        <f t="shared" si="294"/>
        <v>0</v>
      </c>
      <c r="AW495" s="1120">
        <f t="shared" si="295"/>
        <v>0</v>
      </c>
      <c r="AX495" s="1120">
        <f t="shared" si="296"/>
        <v>0</v>
      </c>
      <c r="AY495" s="2973">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0">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120">
        <f t="shared" si="294"/>
        <v>0</v>
      </c>
      <c r="AW496" s="1120">
        <f t="shared" si="295"/>
        <v>0</v>
      </c>
      <c r="AX496" s="1120">
        <f t="shared" si="296"/>
        <v>0</v>
      </c>
      <c r="AY496" s="2973">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0">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120">
        <f t="shared" si="294"/>
        <v>0</v>
      </c>
      <c r="AW497" s="1120">
        <f t="shared" si="295"/>
        <v>0</v>
      </c>
      <c r="AX497" s="1120">
        <f t="shared" si="296"/>
        <v>0</v>
      </c>
      <c r="AY497" s="2973">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0">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120">
        <f t="shared" si="294"/>
        <v>0</v>
      </c>
      <c r="AW498" s="1120">
        <f t="shared" si="295"/>
        <v>0</v>
      </c>
      <c r="AX498" s="1120">
        <f t="shared" si="296"/>
        <v>0</v>
      </c>
      <c r="AY498" s="2973">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0">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120">
        <f t="shared" si="294"/>
        <v>0</v>
      </c>
      <c r="AW499" s="1120">
        <f t="shared" si="295"/>
        <v>0</v>
      </c>
      <c r="AX499" s="1120">
        <f t="shared" si="296"/>
        <v>0</v>
      </c>
      <c r="AY499" s="2973">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0">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120">
        <f t="shared" si="294"/>
        <v>0</v>
      </c>
      <c r="AW500" s="1120">
        <f t="shared" si="295"/>
        <v>0</v>
      </c>
      <c r="AX500" s="1120">
        <f t="shared" si="296"/>
        <v>0</v>
      </c>
      <c r="AY500" s="2973">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0">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120">
        <f t="shared" si="294"/>
        <v>0</v>
      </c>
      <c r="AW501" s="1120">
        <f t="shared" si="295"/>
        <v>0</v>
      </c>
      <c r="AX501" s="1120">
        <f t="shared" si="296"/>
        <v>0</v>
      </c>
      <c r="AY501" s="2973">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0">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120">
        <f t="shared" si="294"/>
        <v>0</v>
      </c>
      <c r="AW502" s="1120">
        <f t="shared" si="295"/>
        <v>0</v>
      </c>
      <c r="AX502" s="1120">
        <f t="shared" si="296"/>
        <v>0</v>
      </c>
      <c r="AY502" s="2973">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0">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120">
        <f t="shared" si="294"/>
        <v>0</v>
      </c>
      <c r="AW503" s="1120">
        <f t="shared" si="295"/>
        <v>0</v>
      </c>
      <c r="AX503" s="1120">
        <f t="shared" si="296"/>
        <v>0</v>
      </c>
      <c r="AY503" s="2973">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0">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120">
        <f t="shared" si="294"/>
        <v>0</v>
      </c>
      <c r="AW504" s="1120">
        <f t="shared" si="295"/>
        <v>0</v>
      </c>
      <c r="AX504" s="1120">
        <f t="shared" si="296"/>
        <v>0</v>
      </c>
      <c r="AY504" s="2973">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0">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120">
        <f t="shared" si="294"/>
        <v>0</v>
      </c>
      <c r="AW505" s="1120">
        <f t="shared" si="295"/>
        <v>0</v>
      </c>
      <c r="AX505" s="1120">
        <f t="shared" si="296"/>
        <v>0</v>
      </c>
      <c r="AY505" s="2973">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0">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120">
        <f t="shared" si="294"/>
        <v>0</v>
      </c>
      <c r="AW506" s="1120">
        <f t="shared" si="295"/>
        <v>0</v>
      </c>
      <c r="AX506" s="1120">
        <f t="shared" si="296"/>
        <v>0</v>
      </c>
      <c r="AY506" s="2973">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0">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120">
        <f t="shared" si="294"/>
        <v>0</v>
      </c>
      <c r="AW507" s="1120">
        <f t="shared" si="295"/>
        <v>0</v>
      </c>
      <c r="AX507" s="1120">
        <f t="shared" si="296"/>
        <v>0</v>
      </c>
      <c r="AY507" s="2973">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0">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120">
        <f t="shared" si="294"/>
        <v>0</v>
      </c>
      <c r="AW508" s="1120">
        <f t="shared" si="295"/>
        <v>0</v>
      </c>
      <c r="AX508" s="1120">
        <f t="shared" si="296"/>
        <v>0</v>
      </c>
      <c r="AY508" s="2973">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0">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120">
        <f t="shared" si="294"/>
        <v>0</v>
      </c>
      <c r="AW509" s="1120">
        <f t="shared" si="295"/>
        <v>0</v>
      </c>
      <c r="AX509" s="1120">
        <f t="shared" si="296"/>
        <v>0</v>
      </c>
      <c r="AY509" s="2973">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0">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120">
        <f t="shared" si="294"/>
        <v>0</v>
      </c>
      <c r="AW510" s="1120">
        <f t="shared" si="295"/>
        <v>0</v>
      </c>
      <c r="AX510" s="1120">
        <f t="shared" si="296"/>
        <v>0</v>
      </c>
      <c r="AY510" s="2973">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0">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120">
        <f t="shared" si="294"/>
        <v>0</v>
      </c>
      <c r="AW511" s="1120">
        <f t="shared" si="295"/>
        <v>0</v>
      </c>
      <c r="AX511" s="1120">
        <f t="shared" si="296"/>
        <v>0</v>
      </c>
      <c r="AY511" s="2973">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0">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120">
        <f t="shared" si="294"/>
        <v>0</v>
      </c>
      <c r="AW512" s="1120">
        <f t="shared" si="295"/>
        <v>0</v>
      </c>
      <c r="AX512" s="1120">
        <f t="shared" si="296"/>
        <v>0</v>
      </c>
      <c r="AY512" s="2973">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0">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120">
        <f t="shared" si="294"/>
        <v>0</v>
      </c>
      <c r="AW513" s="1120">
        <f t="shared" si="295"/>
        <v>0</v>
      </c>
      <c r="AX513" s="1120">
        <f t="shared" si="296"/>
        <v>0</v>
      </c>
      <c r="AY513" s="2973">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0">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120">
        <f t="shared" si="294"/>
        <v>0</v>
      </c>
      <c r="AW514" s="1120">
        <f t="shared" si="295"/>
        <v>0</v>
      </c>
      <c r="AX514" s="1120">
        <f t="shared" si="296"/>
        <v>0</v>
      </c>
      <c r="AY514" s="2973">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0">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120">
        <f t="shared" si="294"/>
        <v>0</v>
      </c>
      <c r="AW515" s="1120">
        <f t="shared" si="295"/>
        <v>0</v>
      </c>
      <c r="AX515" s="1120">
        <f t="shared" si="296"/>
        <v>0</v>
      </c>
      <c r="AY515" s="2973">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0">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120">
        <f t="shared" si="294"/>
        <v>0</v>
      </c>
      <c r="AW516" s="1120">
        <f t="shared" si="295"/>
        <v>0</v>
      </c>
      <c r="AX516" s="1120">
        <f t="shared" si="296"/>
        <v>0</v>
      </c>
      <c r="AY516" s="2973">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0">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120">
        <f t="shared" si="294"/>
        <v>0</v>
      </c>
      <c r="AW517" s="1120">
        <f t="shared" si="295"/>
        <v>0</v>
      </c>
      <c r="AX517" s="1120">
        <f t="shared" si="296"/>
        <v>0</v>
      </c>
      <c r="AY517" s="2973">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0">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120">
        <f t="shared" si="294"/>
        <v>0</v>
      </c>
      <c r="AW518" s="1120">
        <f t="shared" si="295"/>
        <v>0</v>
      </c>
      <c r="AX518" s="1120">
        <f t="shared" si="296"/>
        <v>0</v>
      </c>
      <c r="AY518" s="2973">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0">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120">
        <f t="shared" si="294"/>
        <v>0</v>
      </c>
      <c r="AW519" s="1120">
        <f t="shared" si="295"/>
        <v>0</v>
      </c>
      <c r="AX519" s="1120">
        <f t="shared" si="296"/>
        <v>0</v>
      </c>
      <c r="AY519" s="2973">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0">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120">
        <f t="shared" si="294"/>
        <v>0</v>
      </c>
      <c r="AW520" s="1120">
        <f t="shared" si="295"/>
        <v>0</v>
      </c>
      <c r="AX520" s="1120">
        <f t="shared" si="296"/>
        <v>0</v>
      </c>
      <c r="AY520" s="2973">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0">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120">
        <f t="shared" ref="AV521:AV552" si="298">A521</f>
        <v>0</v>
      </c>
      <c r="AW521" s="1120">
        <f t="shared" ref="AW521:AW552" si="299">B521</f>
        <v>0</v>
      </c>
      <c r="AX521" s="1120">
        <f t="shared" ref="AX521:AX552" si="300">C521</f>
        <v>0</v>
      </c>
      <c r="AY521" s="2973">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0">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120">
        <f t="shared" si="298"/>
        <v>0</v>
      </c>
      <c r="AW522" s="1120">
        <f t="shared" si="299"/>
        <v>0</v>
      </c>
      <c r="AX522" s="1120">
        <f t="shared" si="300"/>
        <v>0</v>
      </c>
      <c r="AY522" s="2973">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0">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120">
        <f t="shared" si="298"/>
        <v>0</v>
      </c>
      <c r="AW523" s="1120">
        <f t="shared" si="299"/>
        <v>0</v>
      </c>
      <c r="AX523" s="1120">
        <f t="shared" si="300"/>
        <v>0</v>
      </c>
      <c r="AY523" s="2973">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0">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120">
        <f t="shared" si="298"/>
        <v>0</v>
      </c>
      <c r="AW524" s="1120">
        <f t="shared" si="299"/>
        <v>0</v>
      </c>
      <c r="AX524" s="1120">
        <f t="shared" si="300"/>
        <v>0</v>
      </c>
      <c r="AY524" s="2973">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0">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120">
        <f t="shared" si="298"/>
        <v>0</v>
      </c>
      <c r="AW525" s="1120">
        <f t="shared" si="299"/>
        <v>0</v>
      </c>
      <c r="AX525" s="1120">
        <f t="shared" si="300"/>
        <v>0</v>
      </c>
      <c r="AY525" s="2973">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0">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120">
        <f t="shared" si="298"/>
        <v>0</v>
      </c>
      <c r="AW526" s="1120">
        <f t="shared" si="299"/>
        <v>0</v>
      </c>
      <c r="AX526" s="1120">
        <f t="shared" si="300"/>
        <v>0</v>
      </c>
      <c r="AY526" s="2973">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0">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120">
        <f t="shared" si="298"/>
        <v>0</v>
      </c>
      <c r="AW527" s="1120">
        <f t="shared" si="299"/>
        <v>0</v>
      </c>
      <c r="AX527" s="1120">
        <f t="shared" si="300"/>
        <v>0</v>
      </c>
      <c r="AY527" s="2973">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0">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120">
        <f t="shared" si="298"/>
        <v>0</v>
      </c>
      <c r="AW528" s="1120">
        <f t="shared" si="299"/>
        <v>0</v>
      </c>
      <c r="AX528" s="1120">
        <f t="shared" si="300"/>
        <v>0</v>
      </c>
      <c r="AY528" s="2973">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0">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120">
        <f t="shared" si="298"/>
        <v>0</v>
      </c>
      <c r="AW529" s="1120">
        <f t="shared" si="299"/>
        <v>0</v>
      </c>
      <c r="AX529" s="1120">
        <f t="shared" si="300"/>
        <v>0</v>
      </c>
      <c r="AY529" s="2973">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0">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120">
        <f t="shared" si="298"/>
        <v>0</v>
      </c>
      <c r="AW530" s="1120">
        <f t="shared" si="299"/>
        <v>0</v>
      </c>
      <c r="AX530" s="1120">
        <f t="shared" si="300"/>
        <v>0</v>
      </c>
      <c r="AY530" s="2973">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0">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120">
        <f t="shared" si="298"/>
        <v>0</v>
      </c>
      <c r="AW531" s="1120">
        <f t="shared" si="299"/>
        <v>0</v>
      </c>
      <c r="AX531" s="1120">
        <f t="shared" si="300"/>
        <v>0</v>
      </c>
      <c r="AY531" s="2973">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0">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120">
        <f t="shared" si="298"/>
        <v>0</v>
      </c>
      <c r="AW532" s="1120">
        <f t="shared" si="299"/>
        <v>0</v>
      </c>
      <c r="AX532" s="1120">
        <f t="shared" si="300"/>
        <v>0</v>
      </c>
      <c r="AY532" s="2973">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0">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120">
        <f t="shared" si="298"/>
        <v>0</v>
      </c>
      <c r="AW533" s="1120">
        <f t="shared" si="299"/>
        <v>0</v>
      </c>
      <c r="AX533" s="1120">
        <f t="shared" si="300"/>
        <v>0</v>
      </c>
      <c r="AY533" s="2973">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0">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120">
        <f t="shared" si="298"/>
        <v>0</v>
      </c>
      <c r="AW534" s="1120">
        <f t="shared" si="299"/>
        <v>0</v>
      </c>
      <c r="AX534" s="1120">
        <f t="shared" si="300"/>
        <v>0</v>
      </c>
      <c r="AY534" s="2973">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0">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120">
        <f t="shared" si="298"/>
        <v>0</v>
      </c>
      <c r="AW535" s="1120">
        <f t="shared" si="299"/>
        <v>0</v>
      </c>
      <c r="AX535" s="1120">
        <f t="shared" si="300"/>
        <v>0</v>
      </c>
      <c r="AY535" s="2973">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0">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120">
        <f t="shared" si="298"/>
        <v>0</v>
      </c>
      <c r="AW536" s="1120">
        <f t="shared" si="299"/>
        <v>0</v>
      </c>
      <c r="AX536" s="1120">
        <f t="shared" si="300"/>
        <v>0</v>
      </c>
      <c r="AY536" s="2973">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0">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120">
        <f t="shared" si="298"/>
        <v>0</v>
      </c>
      <c r="AW537" s="1120">
        <f t="shared" si="299"/>
        <v>0</v>
      </c>
      <c r="AX537" s="1120">
        <f t="shared" si="300"/>
        <v>0</v>
      </c>
      <c r="AY537" s="2973">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0">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120">
        <f t="shared" si="298"/>
        <v>0</v>
      </c>
      <c r="AW538" s="1120">
        <f t="shared" si="299"/>
        <v>0</v>
      </c>
      <c r="AX538" s="1120">
        <f t="shared" si="300"/>
        <v>0</v>
      </c>
      <c r="AY538" s="2973">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0">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120">
        <f t="shared" si="298"/>
        <v>0</v>
      </c>
      <c r="AW539" s="1120">
        <f t="shared" si="299"/>
        <v>0</v>
      </c>
      <c r="AX539" s="1120">
        <f t="shared" si="300"/>
        <v>0</v>
      </c>
      <c r="AY539" s="2973">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0">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120">
        <f t="shared" si="298"/>
        <v>0</v>
      </c>
      <c r="AW540" s="1120">
        <f t="shared" si="299"/>
        <v>0</v>
      </c>
      <c r="AX540" s="1120">
        <f t="shared" si="300"/>
        <v>0</v>
      </c>
      <c r="AY540" s="2973">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0">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120">
        <f t="shared" si="298"/>
        <v>0</v>
      </c>
      <c r="AW541" s="1120">
        <f t="shared" si="299"/>
        <v>0</v>
      </c>
      <c r="AX541" s="1120">
        <f t="shared" si="300"/>
        <v>0</v>
      </c>
      <c r="AY541" s="2973">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0">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120">
        <f t="shared" si="298"/>
        <v>0</v>
      </c>
      <c r="AW542" s="1120">
        <f t="shared" si="299"/>
        <v>0</v>
      </c>
      <c r="AX542" s="1120">
        <f t="shared" si="300"/>
        <v>0</v>
      </c>
      <c r="AY542" s="2973">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0">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120">
        <f t="shared" si="298"/>
        <v>0</v>
      </c>
      <c r="AW543" s="1120">
        <f t="shared" si="299"/>
        <v>0</v>
      </c>
      <c r="AX543" s="1120">
        <f t="shared" si="300"/>
        <v>0</v>
      </c>
      <c r="AY543" s="2973">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0">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120">
        <f t="shared" si="298"/>
        <v>0</v>
      </c>
      <c r="AW544" s="1120">
        <f t="shared" si="299"/>
        <v>0</v>
      </c>
      <c r="AX544" s="1120">
        <f t="shared" si="300"/>
        <v>0</v>
      </c>
      <c r="AY544" s="2973">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0">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120">
        <f t="shared" si="298"/>
        <v>0</v>
      </c>
      <c r="AW545" s="1120">
        <f t="shared" si="299"/>
        <v>0</v>
      </c>
      <c r="AX545" s="1120">
        <f t="shared" si="300"/>
        <v>0</v>
      </c>
      <c r="AY545" s="2973">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0">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120">
        <f t="shared" si="298"/>
        <v>0</v>
      </c>
      <c r="AW546" s="1120">
        <f t="shared" si="299"/>
        <v>0</v>
      </c>
      <c r="AX546" s="1120">
        <f t="shared" si="300"/>
        <v>0</v>
      </c>
      <c r="AY546" s="2973">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0">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120">
        <f t="shared" si="298"/>
        <v>0</v>
      </c>
      <c r="AW547" s="1120">
        <f t="shared" si="299"/>
        <v>0</v>
      </c>
      <c r="AX547" s="1120">
        <f t="shared" si="300"/>
        <v>0</v>
      </c>
      <c r="AY547" s="2973">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0">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120">
        <f t="shared" si="298"/>
        <v>0</v>
      </c>
      <c r="AW548" s="1120">
        <f t="shared" si="299"/>
        <v>0</v>
      </c>
      <c r="AX548" s="1120">
        <f t="shared" si="300"/>
        <v>0</v>
      </c>
      <c r="AY548" s="2973">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0">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120">
        <f t="shared" si="298"/>
        <v>0</v>
      </c>
      <c r="AW549" s="1120">
        <f t="shared" si="299"/>
        <v>0</v>
      </c>
      <c r="AX549" s="1120">
        <f t="shared" si="300"/>
        <v>0</v>
      </c>
      <c r="AY549" s="2973">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0">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120">
        <f t="shared" si="298"/>
        <v>0</v>
      </c>
      <c r="AW550" s="1120">
        <f t="shared" si="299"/>
        <v>0</v>
      </c>
      <c r="AX550" s="1120">
        <f t="shared" si="300"/>
        <v>0</v>
      </c>
      <c r="AY550" s="2973">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0">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120">
        <f t="shared" si="298"/>
        <v>0</v>
      </c>
      <c r="AW551" s="1120">
        <f t="shared" si="299"/>
        <v>0</v>
      </c>
      <c r="AX551" s="1120">
        <f t="shared" si="300"/>
        <v>0</v>
      </c>
      <c r="AY551" s="2973">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0">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120">
        <f t="shared" si="298"/>
        <v>0</v>
      </c>
      <c r="AW552" s="1120">
        <f t="shared" si="299"/>
        <v>0</v>
      </c>
      <c r="AX552" s="1120">
        <f t="shared" si="300"/>
        <v>0</v>
      </c>
      <c r="AY552" s="2973">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0">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120">
        <f t="shared" ref="AV553:AV587" si="330">A553</f>
        <v>0</v>
      </c>
      <c r="AW553" s="1120">
        <f t="shared" ref="AW553:AW587" si="331">B553</f>
        <v>0</v>
      </c>
      <c r="AX553" s="1120">
        <f t="shared" ref="AX553:AX587" si="332">C553</f>
        <v>0</v>
      </c>
      <c r="AY553" s="2973">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0">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120">
        <f t="shared" si="330"/>
        <v>0</v>
      </c>
      <c r="AW554" s="1120">
        <f t="shared" si="331"/>
        <v>0</v>
      </c>
      <c r="AX554" s="1120">
        <f t="shared" si="332"/>
        <v>0</v>
      </c>
      <c r="AY554" s="2973">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0">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120">
        <f t="shared" si="330"/>
        <v>0</v>
      </c>
      <c r="AW555" s="1120">
        <f t="shared" si="331"/>
        <v>0</v>
      </c>
      <c r="AX555" s="1120">
        <f t="shared" si="332"/>
        <v>0</v>
      </c>
      <c r="AY555" s="2973">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0">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120">
        <f t="shared" si="330"/>
        <v>0</v>
      </c>
      <c r="AW556" s="1120">
        <f t="shared" si="331"/>
        <v>0</v>
      </c>
      <c r="AX556" s="1120">
        <f t="shared" si="332"/>
        <v>0</v>
      </c>
      <c r="AY556" s="2973">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0">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120">
        <f t="shared" si="330"/>
        <v>0</v>
      </c>
      <c r="AW557" s="1120">
        <f t="shared" si="331"/>
        <v>0</v>
      </c>
      <c r="AX557" s="1120">
        <f t="shared" si="332"/>
        <v>0</v>
      </c>
      <c r="AY557" s="2973">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0">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120">
        <f t="shared" si="330"/>
        <v>0</v>
      </c>
      <c r="AW558" s="1120">
        <f t="shared" si="331"/>
        <v>0</v>
      </c>
      <c r="AX558" s="1120">
        <f t="shared" si="332"/>
        <v>0</v>
      </c>
      <c r="AY558" s="2973">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0">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120">
        <f t="shared" si="330"/>
        <v>0</v>
      </c>
      <c r="AW559" s="1120">
        <f t="shared" si="331"/>
        <v>0</v>
      </c>
      <c r="AX559" s="1120">
        <f t="shared" si="332"/>
        <v>0</v>
      </c>
      <c r="AY559" s="2973">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0">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120">
        <f t="shared" si="330"/>
        <v>0</v>
      </c>
      <c r="AW560" s="1120">
        <f t="shared" si="331"/>
        <v>0</v>
      </c>
      <c r="AX560" s="1120">
        <f t="shared" si="332"/>
        <v>0</v>
      </c>
      <c r="AY560" s="2973">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0">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120">
        <f t="shared" si="330"/>
        <v>0</v>
      </c>
      <c r="AW561" s="1120">
        <f t="shared" si="331"/>
        <v>0</v>
      </c>
      <c r="AX561" s="1120">
        <f t="shared" si="332"/>
        <v>0</v>
      </c>
      <c r="AY561" s="2973">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0">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120">
        <f t="shared" si="330"/>
        <v>0</v>
      </c>
      <c r="AW562" s="1120">
        <f t="shared" si="331"/>
        <v>0</v>
      </c>
      <c r="AX562" s="1120">
        <f t="shared" si="332"/>
        <v>0</v>
      </c>
      <c r="AY562" s="2973">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0">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120">
        <f t="shared" si="330"/>
        <v>0</v>
      </c>
      <c r="AW563" s="1120">
        <f t="shared" si="331"/>
        <v>0</v>
      </c>
      <c r="AX563" s="1120">
        <f t="shared" si="332"/>
        <v>0</v>
      </c>
      <c r="AY563" s="2973">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0">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120">
        <f t="shared" si="330"/>
        <v>0</v>
      </c>
      <c r="AW564" s="1120">
        <f t="shared" si="331"/>
        <v>0</v>
      </c>
      <c r="AX564" s="1120">
        <f t="shared" si="332"/>
        <v>0</v>
      </c>
      <c r="AY564" s="2973">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0">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120">
        <f t="shared" si="330"/>
        <v>0</v>
      </c>
      <c r="AW565" s="1120">
        <f t="shared" si="331"/>
        <v>0</v>
      </c>
      <c r="AX565" s="1120">
        <f t="shared" si="332"/>
        <v>0</v>
      </c>
      <c r="AY565" s="2973">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0">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120">
        <f t="shared" si="330"/>
        <v>0</v>
      </c>
      <c r="AW566" s="1120">
        <f t="shared" si="331"/>
        <v>0</v>
      </c>
      <c r="AX566" s="1120">
        <f t="shared" si="332"/>
        <v>0</v>
      </c>
      <c r="AY566" s="2973">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0">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120">
        <f t="shared" si="330"/>
        <v>0</v>
      </c>
      <c r="AW567" s="1120">
        <f t="shared" si="331"/>
        <v>0</v>
      </c>
      <c r="AX567" s="1120">
        <f t="shared" si="332"/>
        <v>0</v>
      </c>
      <c r="AY567" s="2973">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0">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120">
        <f t="shared" si="330"/>
        <v>0</v>
      </c>
      <c r="AW568" s="1120">
        <f t="shared" si="331"/>
        <v>0</v>
      </c>
      <c r="AX568" s="1120">
        <f t="shared" si="332"/>
        <v>0</v>
      </c>
      <c r="AY568" s="2973">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0">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120">
        <f t="shared" si="330"/>
        <v>0</v>
      </c>
      <c r="AW569" s="1120">
        <f t="shared" si="331"/>
        <v>0</v>
      </c>
      <c r="AX569" s="1120">
        <f t="shared" si="332"/>
        <v>0</v>
      </c>
      <c r="AY569" s="2973">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0">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120">
        <f t="shared" si="330"/>
        <v>0</v>
      </c>
      <c r="AW570" s="1120">
        <f t="shared" si="331"/>
        <v>0</v>
      </c>
      <c r="AX570" s="1120">
        <f t="shared" si="332"/>
        <v>0</v>
      </c>
      <c r="AY570" s="2973">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0">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120">
        <f t="shared" si="330"/>
        <v>0</v>
      </c>
      <c r="AW571" s="1120">
        <f t="shared" si="331"/>
        <v>0</v>
      </c>
      <c r="AX571" s="1120">
        <f t="shared" si="332"/>
        <v>0</v>
      </c>
      <c r="AY571" s="2973">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0">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120">
        <f t="shared" si="330"/>
        <v>0</v>
      </c>
      <c r="AW572" s="1120">
        <f t="shared" si="331"/>
        <v>0</v>
      </c>
      <c r="AX572" s="1120">
        <f t="shared" si="332"/>
        <v>0</v>
      </c>
      <c r="AY572" s="2973">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0">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120">
        <f t="shared" si="330"/>
        <v>0</v>
      </c>
      <c r="AW573" s="1120">
        <f t="shared" si="331"/>
        <v>0</v>
      </c>
      <c r="AX573" s="1120">
        <f t="shared" si="332"/>
        <v>0</v>
      </c>
      <c r="AY573" s="2973">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0">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120">
        <f t="shared" si="330"/>
        <v>0</v>
      </c>
      <c r="AW574" s="1120">
        <f t="shared" si="331"/>
        <v>0</v>
      </c>
      <c r="AX574" s="1120">
        <f t="shared" si="332"/>
        <v>0</v>
      </c>
      <c r="AY574" s="2973">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0">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120">
        <f t="shared" si="330"/>
        <v>0</v>
      </c>
      <c r="AW575" s="1120">
        <f t="shared" si="331"/>
        <v>0</v>
      </c>
      <c r="AX575" s="1120">
        <f t="shared" si="332"/>
        <v>0</v>
      </c>
      <c r="AY575" s="2973">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0">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120">
        <f t="shared" si="330"/>
        <v>0</v>
      </c>
      <c r="AW576" s="1120">
        <f t="shared" si="331"/>
        <v>0</v>
      </c>
      <c r="AX576" s="1120">
        <f t="shared" si="332"/>
        <v>0</v>
      </c>
      <c r="AY576" s="2973">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0">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120">
        <f t="shared" si="330"/>
        <v>0</v>
      </c>
      <c r="AW577" s="1120">
        <f t="shared" si="331"/>
        <v>0</v>
      </c>
      <c r="AX577" s="1120">
        <f t="shared" si="332"/>
        <v>0</v>
      </c>
      <c r="AY577" s="2973">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0">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120">
        <f t="shared" si="330"/>
        <v>0</v>
      </c>
      <c r="AW578" s="1120">
        <f t="shared" si="331"/>
        <v>0</v>
      </c>
      <c r="AX578" s="1120">
        <f t="shared" si="332"/>
        <v>0</v>
      </c>
      <c r="AY578" s="2973">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0">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120">
        <f t="shared" si="330"/>
        <v>0</v>
      </c>
      <c r="AW579" s="1120">
        <f t="shared" si="331"/>
        <v>0</v>
      </c>
      <c r="AX579" s="1120">
        <f t="shared" si="332"/>
        <v>0</v>
      </c>
      <c r="AY579" s="2973">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0">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120">
        <f t="shared" si="330"/>
        <v>0</v>
      </c>
      <c r="AW580" s="1120">
        <f t="shared" si="331"/>
        <v>0</v>
      </c>
      <c r="AX580" s="1120">
        <f t="shared" si="332"/>
        <v>0</v>
      </c>
      <c r="AY580" s="2973">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0">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120">
        <f t="shared" si="330"/>
        <v>0</v>
      </c>
      <c r="AW581" s="1120">
        <f t="shared" si="331"/>
        <v>0</v>
      </c>
      <c r="AX581" s="1120">
        <f t="shared" si="332"/>
        <v>0</v>
      </c>
      <c r="AY581" s="2973">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0">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120">
        <f t="shared" si="330"/>
        <v>0</v>
      </c>
      <c r="AW582" s="1120">
        <f t="shared" si="331"/>
        <v>0</v>
      </c>
      <c r="AX582" s="1120">
        <f t="shared" si="332"/>
        <v>0</v>
      </c>
      <c r="AY582" s="2973">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0">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120">
        <f t="shared" si="330"/>
        <v>0</v>
      </c>
      <c r="AW583" s="1120">
        <f t="shared" si="331"/>
        <v>0</v>
      </c>
      <c r="AX583" s="1120">
        <f t="shared" si="332"/>
        <v>0</v>
      </c>
      <c r="AY583" s="2973">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0">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120">
        <f t="shared" si="330"/>
        <v>0</v>
      </c>
      <c r="AW584" s="1120">
        <f t="shared" si="331"/>
        <v>0</v>
      </c>
      <c r="AX584" s="1120">
        <f t="shared" si="332"/>
        <v>0</v>
      </c>
      <c r="AY584" s="2973">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0">
        <f t="shared" si="354"/>
        <v>0</v>
      </c>
    </row>
    <row r="585" spans="1:72">
      <c r="A585" s="2925"/>
      <c r="B585" s="2925"/>
      <c r="C585" s="2925"/>
      <c r="D585" s="2927"/>
      <c r="E585" s="2928">
        <f t="shared" si="326"/>
        <v>0</v>
      </c>
      <c r="F585" s="2981"/>
      <c r="G585" s="2930">
        <f t="shared" si="327"/>
        <v>0</v>
      </c>
      <c r="H585" s="2931">
        <f t="shared" si="328"/>
        <v>0</v>
      </c>
      <c r="I585" s="2982"/>
      <c r="J585" s="2982"/>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3"/>
      <c r="AV585" s="1120">
        <f t="shared" si="330"/>
        <v>0</v>
      </c>
      <c r="AW585" s="1120">
        <f t="shared" si="331"/>
        <v>0</v>
      </c>
      <c r="AX585" s="1120">
        <f t="shared" si="332"/>
        <v>0</v>
      </c>
      <c r="AY585" s="2973">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0">
        <f t="shared" si="354"/>
        <v>0</v>
      </c>
    </row>
    <row r="586" spans="1:72">
      <c r="A586" s="2925"/>
      <c r="B586" s="2925"/>
      <c r="C586" s="2925"/>
      <c r="D586" s="2927"/>
      <c r="E586" s="2928">
        <f t="shared" si="326"/>
        <v>0</v>
      </c>
      <c r="F586" s="2981"/>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3"/>
      <c r="AV586" s="1120">
        <f t="shared" si="330"/>
        <v>0</v>
      </c>
      <c r="AW586" s="1120">
        <f t="shared" si="331"/>
        <v>0</v>
      </c>
      <c r="AX586" s="1120">
        <f t="shared" si="332"/>
        <v>0</v>
      </c>
      <c r="AY586" s="2973">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0">
        <f t="shared" si="354"/>
        <v>0</v>
      </c>
    </row>
    <row r="587" spans="1:72">
      <c r="A587" s="2925"/>
      <c r="B587" s="2925"/>
      <c r="C587" s="2925"/>
      <c r="D587" s="2927"/>
      <c r="E587" s="2928">
        <f t="shared" si="326"/>
        <v>0</v>
      </c>
      <c r="F587" s="2981"/>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3"/>
      <c r="AV587" s="1120">
        <f t="shared" si="330"/>
        <v>0</v>
      </c>
      <c r="AW587" s="1120">
        <f t="shared" si="331"/>
        <v>0</v>
      </c>
      <c r="AX587" s="1120">
        <f t="shared" si="332"/>
        <v>0</v>
      </c>
      <c r="AY587" s="2973">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0">
        <f t="shared" si="354"/>
        <v>0</v>
      </c>
    </row>
    <row r="588" spans="1:72" s="2894" customFormat="1">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pans="1:72" s="2895" customFormat="1">
      <c r="C589" s="2986"/>
      <c r="D589" s="2986"/>
    </row>
    <row r="590" spans="1:72" s="2895" customFormat="1">
      <c r="C590" s="2986"/>
      <c r="D590" s="2986"/>
    </row>
    <row r="593" spans="2:2">
      <c r="B593" s="2986"/>
    </row>
  </sheetData>
  <sheetProtection password="C66D" sheet="1" objects="1" scenarios="1" formatCells="0" formatColumns="0" formatRows="0"/>
  <phoneticPr fontId="227"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88" customWidth="1"/>
    <col min="2" max="2" width="10.6640625" style="2888" customWidth="1"/>
    <col min="3" max="3" width="15.77734375" style="2888" customWidth="1"/>
    <col min="4" max="7" width="9.44140625" style="2888" customWidth="1"/>
    <col min="8" max="13" width="9.109375" style="2888" customWidth="1"/>
    <col min="14" max="16384" width="9" style="2888"/>
  </cols>
  <sheetData>
    <row r="1" spans="1:13" ht="15.6">
      <c r="A1" s="3337" t="s">
        <v>462</v>
      </c>
      <c r="B1" s="3337" t="s">
        <v>463</v>
      </c>
      <c r="C1" s="3337" t="s">
        <v>464</v>
      </c>
      <c r="D1" s="3336" t="s">
        <v>465</v>
      </c>
      <c r="E1" s="3336" t="s">
        <v>466</v>
      </c>
      <c r="F1" s="3336"/>
      <c r="G1" s="3336"/>
      <c r="H1" s="3336"/>
      <c r="I1" s="3336"/>
      <c r="J1" s="3336"/>
      <c r="K1" s="3336"/>
      <c r="L1" s="3336"/>
      <c r="M1" s="3336"/>
    </row>
    <row r="2" spans="1:13" ht="27" customHeight="1">
      <c r="A2" s="3337"/>
      <c r="B2" s="3337"/>
      <c r="C2" s="3337"/>
      <c r="D2" s="3336"/>
      <c r="E2" s="3336" t="s">
        <v>467</v>
      </c>
      <c r="F2" s="3336" t="s">
        <v>468</v>
      </c>
      <c r="G2" s="3336"/>
      <c r="H2" s="3336"/>
      <c r="I2" s="3336"/>
      <c r="J2" s="3336" t="s">
        <v>469</v>
      </c>
      <c r="K2" s="3336"/>
      <c r="L2" s="3336"/>
      <c r="M2" s="3336"/>
    </row>
    <row r="3" spans="1:13" ht="46.8">
      <c r="A3" s="3337"/>
      <c r="B3" s="3337"/>
      <c r="C3" s="3337"/>
      <c r="D3" s="3336"/>
      <c r="E3" s="3336"/>
      <c r="F3" s="2890" t="s">
        <v>470</v>
      </c>
      <c r="G3" s="2890" t="s">
        <v>471</v>
      </c>
      <c r="H3" s="2890" t="s">
        <v>472</v>
      </c>
      <c r="I3" s="2890" t="s">
        <v>473</v>
      </c>
      <c r="J3" s="2890" t="s">
        <v>470</v>
      </c>
      <c r="K3" s="2890" t="s">
        <v>474</v>
      </c>
      <c r="L3" s="2890" t="s">
        <v>475</v>
      </c>
      <c r="M3" s="2890" t="s">
        <v>476</v>
      </c>
    </row>
    <row r="4" spans="1:13" ht="46.8">
      <c r="A4" s="2890" t="s">
        <v>477</v>
      </c>
      <c r="B4" s="2890" t="s">
        <v>478</v>
      </c>
      <c r="C4" s="2890" t="s">
        <v>479</v>
      </c>
      <c r="D4" s="2889">
        <v>3807.94</v>
      </c>
      <c r="E4" s="2889">
        <v>20666.91</v>
      </c>
      <c r="F4" s="2889">
        <v>19673</v>
      </c>
      <c r="G4" s="2889">
        <v>0</v>
      </c>
      <c r="H4" s="2889">
        <v>19673</v>
      </c>
      <c r="I4" s="2889">
        <v>0</v>
      </c>
      <c r="J4" s="2889">
        <v>993.91</v>
      </c>
      <c r="K4" s="2889">
        <v>0</v>
      </c>
      <c r="L4" s="2889">
        <v>0</v>
      </c>
      <c r="M4" s="2889">
        <v>993.91</v>
      </c>
    </row>
    <row r="5" spans="1:13" ht="46.8">
      <c r="A5" s="2890" t="s">
        <v>477</v>
      </c>
      <c r="B5" s="2890" t="s">
        <v>480</v>
      </c>
      <c r="C5" s="2890" t="s">
        <v>481</v>
      </c>
      <c r="D5" s="2889">
        <v>3667.86</v>
      </c>
      <c r="E5" s="2889">
        <v>19906.61</v>
      </c>
      <c r="F5" s="2889">
        <v>18792.87</v>
      </c>
      <c r="G5" s="2889">
        <v>18792.87</v>
      </c>
      <c r="H5" s="2889">
        <v>0</v>
      </c>
      <c r="I5" s="2889">
        <v>0</v>
      </c>
      <c r="J5" s="2889">
        <v>1113.74</v>
      </c>
      <c r="K5" s="2889">
        <v>55.59</v>
      </c>
      <c r="L5" s="2889">
        <v>0</v>
      </c>
      <c r="M5" s="2889">
        <v>1058.1500000000001</v>
      </c>
    </row>
    <row r="6" spans="1:13" ht="46.8">
      <c r="A6" s="2890" t="s">
        <v>477</v>
      </c>
      <c r="B6" s="2890" t="s">
        <v>480</v>
      </c>
      <c r="C6" s="2890" t="s">
        <v>482</v>
      </c>
      <c r="D6" s="2889">
        <v>2067.52</v>
      </c>
      <c r="E6" s="2889">
        <v>11221.06</v>
      </c>
      <c r="F6" s="2889">
        <v>9934.1299999999992</v>
      </c>
      <c r="G6" s="2889">
        <v>9934.1299999999992</v>
      </c>
      <c r="H6" s="2889">
        <v>0</v>
      </c>
      <c r="I6" s="2889">
        <v>0</v>
      </c>
      <c r="J6" s="2889">
        <v>1286.93</v>
      </c>
      <c r="K6" s="2889">
        <v>0</v>
      </c>
      <c r="L6" s="2889">
        <v>0</v>
      </c>
      <c r="M6" s="2889">
        <v>1286.93</v>
      </c>
    </row>
    <row r="7" spans="1:13" ht="46.8">
      <c r="A7" s="2890" t="s">
        <v>477</v>
      </c>
      <c r="B7" s="2890" t="s">
        <v>480</v>
      </c>
      <c r="C7" s="2890" t="s">
        <v>483</v>
      </c>
      <c r="D7" s="2889">
        <v>8.18</v>
      </c>
      <c r="E7" s="2889">
        <v>44.41</v>
      </c>
      <c r="F7" s="2889">
        <v>0</v>
      </c>
      <c r="G7" s="2889">
        <v>0</v>
      </c>
      <c r="H7" s="2889">
        <v>0</v>
      </c>
      <c r="I7" s="2889">
        <v>0</v>
      </c>
      <c r="J7" s="2889">
        <v>44.41</v>
      </c>
      <c r="K7" s="2889">
        <v>44.41</v>
      </c>
      <c r="L7" s="2889">
        <v>0</v>
      </c>
      <c r="M7" s="2889">
        <v>0</v>
      </c>
    </row>
    <row r="8" spans="1:13" ht="46.8">
      <c r="A8" s="2890" t="s">
        <v>477</v>
      </c>
      <c r="B8" s="2890" t="s">
        <v>480</v>
      </c>
      <c r="C8" s="2890" t="s">
        <v>473</v>
      </c>
      <c r="D8" s="2889">
        <v>2455.5300000000002</v>
      </c>
      <c r="E8" s="2889">
        <v>13326.96</v>
      </c>
      <c r="F8" s="2889">
        <v>9231.0499999999993</v>
      </c>
      <c r="G8" s="2889">
        <v>0</v>
      </c>
      <c r="H8" s="2889">
        <v>0</v>
      </c>
      <c r="I8" s="2889">
        <v>9231.0499999999993</v>
      </c>
      <c r="J8" s="2889">
        <v>4095.91</v>
      </c>
      <c r="K8" s="2889">
        <v>0</v>
      </c>
      <c r="L8" s="2889">
        <v>3320.79</v>
      </c>
      <c r="M8" s="2889">
        <v>775.12</v>
      </c>
    </row>
    <row r="9" spans="1:13" ht="27" customHeight="1">
      <c r="A9" s="3336" t="s">
        <v>484</v>
      </c>
      <c r="B9" s="3336"/>
      <c r="C9" s="3336"/>
      <c r="D9" s="2889">
        <v>12007.03</v>
      </c>
      <c r="E9" s="2889">
        <v>65165.95</v>
      </c>
      <c r="F9" s="2889">
        <v>57631.05</v>
      </c>
      <c r="G9" s="2889">
        <v>28727</v>
      </c>
      <c r="H9" s="2889">
        <v>19673</v>
      </c>
      <c r="I9" s="2889">
        <v>9231.0499999999993</v>
      </c>
      <c r="J9" s="2889">
        <v>7534.9</v>
      </c>
      <c r="K9" s="2889">
        <v>100</v>
      </c>
      <c r="L9" s="2889">
        <v>3320.79</v>
      </c>
      <c r="M9" s="288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8" sqref="H48"/>
    </sheetView>
  </sheetViews>
  <sheetFormatPr defaultColWidth="9.21875" defaultRowHeight="13.8"/>
  <cols>
    <col min="1" max="1" width="12.109375" style="2802" customWidth="1"/>
    <col min="2" max="2" width="10.21875" style="2802" customWidth="1"/>
    <col min="3" max="3" width="18.44140625" style="2802" customWidth="1"/>
    <col min="4" max="4" width="11.6640625" style="2802" customWidth="1"/>
    <col min="5" max="5" width="13.33203125" style="2802" customWidth="1"/>
    <col min="6" max="8" width="11.44140625" style="2802" customWidth="1"/>
    <col min="9" max="9" width="11.109375" style="2802" customWidth="1"/>
    <col min="10" max="10" width="3.109375" style="2803" customWidth="1"/>
    <col min="11" max="16" width="10" style="2802" customWidth="1"/>
    <col min="17" max="17" width="2.6640625" style="2802" customWidth="1"/>
    <col min="18" max="18" width="9.33203125" style="2802" customWidth="1"/>
    <col min="19" max="19" width="10.44140625" style="2802" customWidth="1"/>
    <col min="20" max="16384" width="9.21875" style="2802"/>
  </cols>
  <sheetData>
    <row r="1" spans="1:16" ht="17.399999999999999">
      <c r="A1" s="2233" t="s">
        <v>485</v>
      </c>
      <c r="B1" s="2307"/>
      <c r="C1" s="2307"/>
      <c r="D1" s="2307"/>
      <c r="E1" s="2307"/>
      <c r="F1" s="2307"/>
      <c r="G1" s="2307"/>
      <c r="H1" s="2307"/>
      <c r="I1" s="2307"/>
      <c r="J1" s="2307"/>
      <c r="K1" s="2307"/>
      <c r="L1" s="2307"/>
      <c r="M1" s="2307"/>
      <c r="N1" s="2307"/>
      <c r="O1" s="2307"/>
      <c r="P1" s="2307"/>
    </row>
    <row r="2" spans="1:16" ht="14.4">
      <c r="A2" s="3347" t="s">
        <v>486</v>
      </c>
      <c r="B2" s="3347"/>
      <c r="C2" s="3347"/>
      <c r="D2" s="2084" t="s">
        <v>487</v>
      </c>
      <c r="E2" s="2804" t="s">
        <v>488</v>
      </c>
      <c r="F2" s="2805"/>
      <c r="G2" s="2806"/>
      <c r="H2" s="2807"/>
      <c r="I2" s="2459" t="s">
        <v>489</v>
      </c>
      <c r="J2" s="2805"/>
      <c r="K2" s="2805"/>
      <c r="L2" s="2805"/>
      <c r="M2" s="2805"/>
      <c r="N2" s="1246"/>
      <c r="O2" s="2805"/>
      <c r="P2" s="2805"/>
    </row>
    <row r="3" spans="1:16" ht="14.4">
      <c r="A3" s="3348" t="s">
        <v>490</v>
      </c>
      <c r="B3" s="3348"/>
      <c r="C3" s="3348"/>
      <c r="D3" s="2808">
        <f>'数据-基础表'!AY6</f>
        <v>756.32</v>
      </c>
      <c r="E3" s="2808">
        <f>'数据-基础表'!AZ5</f>
        <v>5858.09</v>
      </c>
      <c r="F3" s="2805"/>
      <c r="G3" s="2809"/>
      <c r="H3" s="2259" t="s">
        <v>491</v>
      </c>
      <c r="I3" s="2869">
        <f>ROUND('数据-基础表'!B3/'数据-基础表'!A3,2)</f>
        <v>7.75</v>
      </c>
      <c r="J3" s="2805"/>
      <c r="K3" s="2805"/>
      <c r="L3" s="2805"/>
      <c r="M3" s="2805"/>
      <c r="N3" s="1246"/>
      <c r="O3" s="2805"/>
      <c r="P3" s="2805"/>
    </row>
    <row r="4" spans="1:16" ht="14.4">
      <c r="A4" s="3349"/>
      <c r="B4" s="3350"/>
      <c r="C4" s="3351"/>
      <c r="D4" s="2810" t="s">
        <v>487</v>
      </c>
      <c r="E4" s="2811" t="s">
        <v>488</v>
      </c>
      <c r="F4" s="2805"/>
      <c r="G4" s="2812" t="s">
        <v>492</v>
      </c>
      <c r="H4" s="2259" t="s">
        <v>493</v>
      </c>
      <c r="I4" s="2869">
        <f>ROUND(SUMIF('数据-基础表'!I9:AS9,"地上",'数据-基础表'!I5:AS5)/'数据-基础表'!A3,2)</f>
        <v>7.75</v>
      </c>
      <c r="J4" s="2805"/>
      <c r="K4" s="2805"/>
      <c r="L4" s="2805"/>
      <c r="M4" s="2805"/>
      <c r="N4" s="1246"/>
      <c r="O4" s="2805"/>
      <c r="P4" s="2805"/>
    </row>
    <row r="5" spans="1:16" ht="14.4">
      <c r="A5" s="2813" t="s">
        <v>494</v>
      </c>
      <c r="B5" s="3352" t="s">
        <v>495</v>
      </c>
      <c r="C5" s="3352"/>
      <c r="D5" s="2814">
        <f>ROUND($D$3*E5/$E$3,2)</f>
        <v>0</v>
      </c>
      <c r="E5" s="2815">
        <f>SUMIF('数据-基础表'!$11:$11,"住宅",'数据-基础表'!$5:$5)</f>
        <v>0</v>
      </c>
      <c r="F5" s="2805"/>
      <c r="G5" s="2809"/>
      <c r="H5" s="2259" t="s">
        <v>491</v>
      </c>
      <c r="I5" s="2869">
        <f>ROUND(E31/D31,2)</f>
        <v>7.75</v>
      </c>
      <c r="J5" s="2805"/>
      <c r="K5" s="2805"/>
      <c r="L5" s="2805"/>
      <c r="M5" s="2805"/>
      <c r="N5" s="2805"/>
      <c r="O5" s="2805"/>
      <c r="P5" s="2805"/>
    </row>
    <row r="6" spans="1:16" ht="14.4">
      <c r="A6" s="2816"/>
      <c r="B6" s="3352" t="s">
        <v>496</v>
      </c>
      <c r="C6" s="3352"/>
      <c r="D6" s="2814">
        <f>ROUND($D$3*E6/$E$3,2)</f>
        <v>756.32</v>
      </c>
      <c r="E6" s="2815">
        <f>E3-E5</f>
        <v>5858.09</v>
      </c>
      <c r="F6" s="2805"/>
      <c r="G6" s="2817" t="s">
        <v>497</v>
      </c>
      <c r="H6" s="2818" t="s">
        <v>493</v>
      </c>
      <c r="I6" s="2870">
        <f>ROUND(F31/D31,2)</f>
        <v>7.75</v>
      </c>
      <c r="J6" s="2805"/>
      <c r="K6" s="2805"/>
      <c r="L6" s="2805"/>
      <c r="M6" s="2805"/>
      <c r="N6" s="2805"/>
      <c r="O6" s="2805"/>
      <c r="P6" s="2805"/>
    </row>
    <row r="7" spans="1:16" ht="14.4">
      <c r="A7" s="3338"/>
      <c r="B7" s="3339"/>
      <c r="C7" s="3340"/>
      <c r="D7" s="2810" t="s">
        <v>487</v>
      </c>
      <c r="E7" s="2819" t="s">
        <v>498</v>
      </c>
      <c r="F7" s="2805"/>
      <c r="G7" s="2820" t="s">
        <v>499</v>
      </c>
      <c r="H7" s="2821"/>
      <c r="I7" s="2871"/>
      <c r="J7" s="2805"/>
      <c r="K7" s="2805"/>
      <c r="L7" s="2805"/>
      <c r="M7" s="2805"/>
      <c r="N7" s="2805"/>
      <c r="O7" s="2805"/>
      <c r="P7" s="2805"/>
    </row>
    <row r="8" spans="1:16" ht="14.4">
      <c r="A8" s="2813" t="s">
        <v>500</v>
      </c>
      <c r="B8" s="2822" t="s">
        <v>501</v>
      </c>
      <c r="C8" s="2814" t="s">
        <v>502</v>
      </c>
      <c r="D8" s="2814">
        <f t="shared" ref="D8:D15" si="0">ROUND($D$3*E8/$E$3,2)</f>
        <v>756.32</v>
      </c>
      <c r="E8" s="2823">
        <f>SUMIF('数据-基础表'!BB10:BK10,"地上",'数据-基础表'!BB5:BK5)</f>
        <v>5858.09</v>
      </c>
      <c r="F8" s="2805"/>
      <c r="G8" s="2824"/>
      <c r="H8" s="2824"/>
      <c r="I8" s="2805"/>
      <c r="J8" s="2805"/>
      <c r="K8" s="2805"/>
      <c r="L8" s="2805"/>
      <c r="M8" s="2805"/>
      <c r="N8" s="2805"/>
      <c r="O8" s="2805"/>
      <c r="P8" s="2805"/>
    </row>
    <row r="9" spans="1:16" ht="14.4">
      <c r="A9" s="2825"/>
      <c r="B9" s="2826"/>
      <c r="C9" s="2814" t="s">
        <v>503</v>
      </c>
      <c r="D9" s="2814">
        <f t="shared" si="0"/>
        <v>0</v>
      </c>
      <c r="E9" s="2827">
        <v>0</v>
      </c>
      <c r="F9" s="2805"/>
      <c r="G9" s="2824"/>
      <c r="H9" s="2824"/>
      <c r="I9" s="2805"/>
      <c r="J9" s="2805"/>
      <c r="K9" s="2805"/>
      <c r="L9" s="2805"/>
      <c r="M9" s="2805"/>
      <c r="N9" s="2805"/>
      <c r="O9" s="2805"/>
      <c r="P9" s="2805"/>
    </row>
    <row r="10" spans="1:16" ht="14.4">
      <c r="A10" s="2825"/>
      <c r="B10" s="2826"/>
      <c r="C10" s="2814" t="s">
        <v>504</v>
      </c>
      <c r="D10" s="2814">
        <f t="shared" si="0"/>
        <v>0</v>
      </c>
      <c r="E10" s="2823">
        <f>SUMPRODUCT(('数据-基础表'!BB10:BK10="地下")*('数据-基础表'!BB11:BK11="商业")*('数据-基础表'!BB5:BK5))</f>
        <v>0</v>
      </c>
      <c r="F10" s="2805"/>
      <c r="G10" s="2824"/>
      <c r="H10" s="2824"/>
      <c r="I10" s="2805"/>
      <c r="J10" s="2805"/>
      <c r="K10" s="2805"/>
      <c r="L10" s="2805"/>
      <c r="M10" s="2805"/>
      <c r="N10" s="2805"/>
      <c r="O10" s="2805"/>
      <c r="P10" s="2805"/>
    </row>
    <row r="11" spans="1:16" ht="14.4">
      <c r="A11" s="2825"/>
      <c r="B11" s="2826"/>
      <c r="C11" s="2814" t="s">
        <v>505</v>
      </c>
      <c r="D11" s="2814">
        <f t="shared" si="0"/>
        <v>0</v>
      </c>
      <c r="E11" s="2823">
        <f>SUMPRODUCT(('数据-基础表'!BB10:BK10="地下")*('数据-基础表'!BB11:BK11="办公")*('数据-基础表'!BB5:BK5))+'数据-基础表'!BP5</f>
        <v>0</v>
      </c>
      <c r="F11" s="2805"/>
      <c r="G11" s="2824"/>
      <c r="H11" s="2824"/>
      <c r="I11" s="2805"/>
      <c r="J11" s="2805"/>
      <c r="K11" s="2805"/>
      <c r="L11" s="2805"/>
      <c r="M11" s="2805"/>
      <c r="N11" s="2805"/>
      <c r="O11" s="2805"/>
      <c r="P11" s="2805"/>
    </row>
    <row r="12" spans="1:16" ht="14.4">
      <c r="A12" s="2825"/>
      <c r="B12" s="2826"/>
      <c r="C12" s="2814" t="s">
        <v>506</v>
      </c>
      <c r="D12" s="2814">
        <f t="shared" si="0"/>
        <v>0</v>
      </c>
      <c r="E12" s="2823">
        <f>SUMPRODUCT(('数据-基础表'!BB10:BK10="地下")*('数据-基础表'!BB11:BK11="仓储")*('数据-基础表'!BB5:BK5))</f>
        <v>0</v>
      </c>
      <c r="F12" s="2805"/>
      <c r="G12" s="2824"/>
      <c r="H12" s="2824"/>
      <c r="I12" s="2805"/>
      <c r="J12" s="2805"/>
      <c r="K12" s="2805"/>
      <c r="L12" s="2805"/>
      <c r="M12" s="2805"/>
      <c r="N12" s="2805"/>
      <c r="O12" s="2805"/>
      <c r="P12" s="2805"/>
    </row>
    <row r="13" spans="1:16" ht="14.4">
      <c r="A13" s="2825"/>
      <c r="B13" s="2826"/>
      <c r="C13" s="2814" t="s">
        <v>507</v>
      </c>
      <c r="D13" s="2814">
        <f t="shared" si="0"/>
        <v>0</v>
      </c>
      <c r="E13" s="2823">
        <f>SUMPRODUCT(('数据-基础表'!BB10:BK10="地下")*('数据-基础表'!BB11:BK11="车库")*('数据-基础表'!BB5:BK5))</f>
        <v>0</v>
      </c>
      <c r="F13" s="2805"/>
      <c r="G13" s="2824"/>
      <c r="H13" s="2824"/>
      <c r="I13" s="2805"/>
      <c r="J13" s="2805"/>
      <c r="K13" s="2805"/>
      <c r="L13" s="2805"/>
      <c r="M13" s="2805"/>
      <c r="N13" s="2805"/>
      <c r="O13" s="2805"/>
      <c r="P13" s="2805"/>
    </row>
    <row r="14" spans="1:16" ht="14.4">
      <c r="A14" s="2825"/>
      <c r="B14" s="2826"/>
      <c r="C14" s="2814" t="s">
        <v>508</v>
      </c>
      <c r="D14" s="2814">
        <f t="shared" si="0"/>
        <v>0</v>
      </c>
      <c r="E14" s="2823">
        <f>SUMPRODUCT(('数据-基础表'!BB10:BK10="地下")*('数据-基础表'!BB11:BK11="车库—商业")*('数据-基础表'!BB5:BK5))</f>
        <v>0</v>
      </c>
      <c r="F14" s="2805"/>
      <c r="G14" s="2824"/>
      <c r="H14" s="2824"/>
      <c r="I14" s="2805"/>
      <c r="J14" s="2805"/>
      <c r="K14" s="2805"/>
      <c r="L14" s="2805"/>
      <c r="M14" s="2805"/>
      <c r="N14" s="2805"/>
      <c r="O14" s="2805"/>
      <c r="P14" s="2805"/>
    </row>
    <row r="15" spans="1:16" ht="14.4">
      <c r="A15" s="2825"/>
      <c r="B15" s="2826"/>
      <c r="C15" s="2814" t="s">
        <v>509</v>
      </c>
      <c r="D15" s="2814">
        <f t="shared" si="0"/>
        <v>0</v>
      </c>
      <c r="E15" s="2823">
        <f>SUMPRODUCT(('数据-基础表'!BB10:BK10="地下")*('数据-基础表'!BB11:BK11="车库—办公")*('数据-基础表'!BB5:BK5))</f>
        <v>0</v>
      </c>
      <c r="F15" s="2805"/>
      <c r="G15" s="2824"/>
      <c r="H15" s="2824"/>
      <c r="I15" s="2805"/>
      <c r="J15" s="2805"/>
      <c r="K15" s="2805"/>
      <c r="L15" s="2805"/>
      <c r="M15" s="2805"/>
      <c r="N15" s="2805"/>
      <c r="O15" s="2805"/>
      <c r="P15" s="2805"/>
    </row>
    <row r="16" spans="1:16" ht="14.4">
      <c r="A16" s="2816"/>
      <c r="B16" s="2826"/>
      <c r="C16" s="2822" t="s">
        <v>510</v>
      </c>
      <c r="D16" s="2822">
        <f>SUM(D8:D15)</f>
        <v>756.32</v>
      </c>
      <c r="E16" s="2828">
        <f>SUM(E8:E15)</f>
        <v>5858.09</v>
      </c>
      <c r="F16" s="2805"/>
      <c r="G16" s="2824"/>
      <c r="H16" s="2829" t="s">
        <v>511</v>
      </c>
      <c r="I16" s="2872"/>
      <c r="J16" s="2307"/>
      <c r="K16" s="3341" t="s">
        <v>511</v>
      </c>
      <c r="L16" s="3342"/>
      <c r="M16" s="3342"/>
      <c r="N16" s="3342"/>
      <c r="O16" s="3342"/>
      <c r="P16" s="3343"/>
    </row>
    <row r="17" spans="1:19" ht="14.4">
      <c r="A17" s="2764" t="s">
        <v>512</v>
      </c>
      <c r="B17" s="2830" t="s">
        <v>513</v>
      </c>
      <c r="C17" s="2763" t="s">
        <v>514</v>
      </c>
      <c r="D17" s="2831" t="s">
        <v>487</v>
      </c>
      <c r="E17" s="2832" t="s">
        <v>488</v>
      </c>
      <c r="F17" s="2833"/>
      <c r="G17" s="2834"/>
      <c r="H17" s="2835" t="s">
        <v>515</v>
      </c>
      <c r="I17" s="2873" t="s">
        <v>516</v>
      </c>
      <c r="J17" s="2307"/>
      <c r="K17" s="3344" t="s">
        <v>517</v>
      </c>
      <c r="L17" s="3345"/>
      <c r="M17" s="3346"/>
      <c r="N17" s="3344" t="s">
        <v>518</v>
      </c>
      <c r="O17" s="3345"/>
      <c r="P17" s="3346"/>
      <c r="R17" s="2886" t="s">
        <v>519</v>
      </c>
      <c r="S17" s="2248"/>
    </row>
    <row r="18" spans="1:19" ht="14.4">
      <c r="A18" s="2825"/>
      <c r="B18" s="2836"/>
      <c r="C18" s="2837"/>
      <c r="D18" s="2838"/>
      <c r="E18" s="2839" t="s">
        <v>520</v>
      </c>
      <c r="F18" s="2840" t="s">
        <v>493</v>
      </c>
      <c r="G18" s="2841" t="s">
        <v>521</v>
      </c>
      <c r="H18" s="2769" t="s">
        <v>522</v>
      </c>
      <c r="I18" s="2874" t="s">
        <v>523</v>
      </c>
      <c r="J18" s="2307"/>
      <c r="K18" s="2769" t="s">
        <v>524</v>
      </c>
      <c r="L18" s="2472" t="s">
        <v>525</v>
      </c>
      <c r="M18" s="2869" t="s">
        <v>526</v>
      </c>
      <c r="N18" s="2769" t="s">
        <v>524</v>
      </c>
      <c r="O18" s="2472" t="s">
        <v>525</v>
      </c>
      <c r="P18" s="2869" t="s">
        <v>526</v>
      </c>
      <c r="R18" s="2259" t="s">
        <v>522</v>
      </c>
      <c r="S18" s="2259" t="s">
        <v>523</v>
      </c>
    </row>
    <row r="19" spans="1:19" ht="14.4">
      <c r="A19" s="2842"/>
      <c r="B19" s="2822" t="s">
        <v>527</v>
      </c>
      <c r="C19" s="2843" t="s">
        <v>452</v>
      </c>
      <c r="D19" s="2814">
        <f>ROUND($D$3*E19/$E$3,2)</f>
        <v>756.32</v>
      </c>
      <c r="E19" s="2844">
        <f t="shared" ref="E19:E26" si="1">SUM(F19:G19)</f>
        <v>5858.09</v>
      </c>
      <c r="F19" s="2845">
        <f>'数据-基础表'!I13</f>
        <v>5858.09</v>
      </c>
      <c r="G19" s="2846"/>
      <c r="H19" s="2753">
        <f>ROUND($D$3*I19/$E$3,2)</f>
        <v>0</v>
      </c>
      <c r="I19" s="2823">
        <f t="shared" ref="I19:I26" si="2">IF($I$17="自定义",P19,M19)</f>
        <v>0</v>
      </c>
      <c r="J19" s="2307"/>
      <c r="K19" s="2875">
        <f t="shared" ref="K19:K26" si="3">ROUND(E$28*E19/E$27,2)</f>
        <v>0</v>
      </c>
      <c r="L19" s="2259">
        <f t="shared" ref="L19:L26" si="4">ROUND(IF(COUNTIF(C19,"*住宅*")&gt;0,E$29*E19/E$32,0),2)</f>
        <v>0</v>
      </c>
      <c r="M19" s="2876">
        <f>K19+L19</f>
        <v>0</v>
      </c>
      <c r="N19" s="2877"/>
      <c r="O19" s="2878"/>
      <c r="P19" s="2876">
        <f>N19+O19</f>
        <v>0</v>
      </c>
      <c r="R19" s="2259">
        <f t="shared" ref="R19:S26" si="5">D19+H19</f>
        <v>756.32</v>
      </c>
      <c r="S19" s="2887">
        <f t="shared" si="5"/>
        <v>5858.09</v>
      </c>
    </row>
    <row r="20" spans="1:19" ht="14.4">
      <c r="A20" s="2847"/>
      <c r="B20" s="2822" t="s">
        <v>527</v>
      </c>
      <c r="C20" s="2848"/>
      <c r="D20" s="2814">
        <f t="shared" ref="D20:D26" si="6">ROUND($D$3*E20/$E$3,2)</f>
        <v>0</v>
      </c>
      <c r="E20" s="2844">
        <f t="shared" si="1"/>
        <v>0</v>
      </c>
      <c r="F20" s="2845"/>
      <c r="G20" s="2846"/>
      <c r="H20" s="2753">
        <f t="shared" ref="H20:H26" si="7">ROUND($D$3*I20/$E$3,2)</f>
        <v>0</v>
      </c>
      <c r="I20" s="2823">
        <f t="shared" si="2"/>
        <v>0</v>
      </c>
      <c r="J20" s="2307"/>
      <c r="K20" s="2875">
        <f t="shared" si="3"/>
        <v>0</v>
      </c>
      <c r="L20" s="2259">
        <f t="shared" si="4"/>
        <v>0</v>
      </c>
      <c r="M20" s="2876">
        <f t="shared" ref="M20:M26" si="8">K20+L20</f>
        <v>0</v>
      </c>
      <c r="N20" s="2877"/>
      <c r="O20" s="2878"/>
      <c r="P20" s="2876">
        <f t="shared" ref="P20:P26" si="9">N20+O20</f>
        <v>0</v>
      </c>
      <c r="R20" s="2259">
        <f t="shared" si="5"/>
        <v>0</v>
      </c>
      <c r="S20" s="2887">
        <f t="shared" si="5"/>
        <v>0</v>
      </c>
    </row>
    <row r="21" spans="1:19" ht="14.4">
      <c r="A21" s="2847"/>
      <c r="B21" s="2822" t="s">
        <v>527</v>
      </c>
      <c r="C21" s="2848"/>
      <c r="D21" s="2814">
        <f t="shared" si="6"/>
        <v>0</v>
      </c>
      <c r="E21" s="2844">
        <f t="shared" si="1"/>
        <v>0</v>
      </c>
      <c r="F21" s="2845"/>
      <c r="G21" s="2846"/>
      <c r="H21" s="2753">
        <f t="shared" si="7"/>
        <v>0</v>
      </c>
      <c r="I21" s="2823">
        <f t="shared" si="2"/>
        <v>0</v>
      </c>
      <c r="J21" s="2307"/>
      <c r="K21" s="2875">
        <f t="shared" si="3"/>
        <v>0</v>
      </c>
      <c r="L21" s="2259">
        <f t="shared" si="4"/>
        <v>0</v>
      </c>
      <c r="M21" s="2876">
        <f t="shared" si="8"/>
        <v>0</v>
      </c>
      <c r="N21" s="2877"/>
      <c r="O21" s="2878"/>
      <c r="P21" s="2876">
        <f t="shared" si="9"/>
        <v>0</v>
      </c>
      <c r="R21" s="2259">
        <f t="shared" si="5"/>
        <v>0</v>
      </c>
      <c r="S21" s="2887">
        <f t="shared" si="5"/>
        <v>0</v>
      </c>
    </row>
    <row r="22" spans="1:19" ht="14.4">
      <c r="A22" s="2847"/>
      <c r="B22" s="2822" t="s">
        <v>527</v>
      </c>
      <c r="C22" s="2849"/>
      <c r="D22" s="2814">
        <f t="shared" si="6"/>
        <v>0</v>
      </c>
      <c r="E22" s="2844">
        <f t="shared" si="1"/>
        <v>0</v>
      </c>
      <c r="F22" s="2850"/>
      <c r="G22" s="2851"/>
      <c r="H22" s="2753">
        <f t="shared" si="7"/>
        <v>0</v>
      </c>
      <c r="I22" s="2823">
        <f t="shared" si="2"/>
        <v>0</v>
      </c>
      <c r="J22" s="2307"/>
      <c r="K22" s="2875">
        <f t="shared" si="3"/>
        <v>0</v>
      </c>
      <c r="L22" s="2259">
        <f t="shared" si="4"/>
        <v>0</v>
      </c>
      <c r="M22" s="2876">
        <f t="shared" si="8"/>
        <v>0</v>
      </c>
      <c r="N22" s="2877"/>
      <c r="O22" s="2878"/>
      <c r="P22" s="2876">
        <f t="shared" si="9"/>
        <v>0</v>
      </c>
      <c r="R22" s="2259">
        <f t="shared" si="5"/>
        <v>0</v>
      </c>
      <c r="S22" s="2887">
        <f t="shared" si="5"/>
        <v>0</v>
      </c>
    </row>
    <row r="23" spans="1:19" ht="14.4">
      <c r="A23" s="2847"/>
      <c r="B23" s="2822" t="s">
        <v>527</v>
      </c>
      <c r="C23" s="2849"/>
      <c r="D23" s="2814">
        <f t="shared" si="6"/>
        <v>0</v>
      </c>
      <c r="E23" s="2844">
        <f t="shared" si="1"/>
        <v>0</v>
      </c>
      <c r="F23" s="2850"/>
      <c r="G23" s="2851"/>
      <c r="H23" s="2753">
        <f t="shared" si="7"/>
        <v>0</v>
      </c>
      <c r="I23" s="2823">
        <f t="shared" si="2"/>
        <v>0</v>
      </c>
      <c r="J23" s="2307"/>
      <c r="K23" s="2875">
        <f t="shared" si="3"/>
        <v>0</v>
      </c>
      <c r="L23" s="2259">
        <f t="shared" si="4"/>
        <v>0</v>
      </c>
      <c r="M23" s="2876">
        <f t="shared" si="8"/>
        <v>0</v>
      </c>
      <c r="N23" s="2877"/>
      <c r="O23" s="2878"/>
      <c r="P23" s="2876">
        <f t="shared" si="9"/>
        <v>0</v>
      </c>
      <c r="R23" s="2259">
        <f t="shared" si="5"/>
        <v>0</v>
      </c>
      <c r="S23" s="2887">
        <f t="shared" si="5"/>
        <v>0</v>
      </c>
    </row>
    <row r="24" spans="1:19" ht="14.4">
      <c r="A24" s="2847"/>
      <c r="B24" s="2822" t="s">
        <v>527</v>
      </c>
      <c r="C24" s="2849"/>
      <c r="D24" s="2814">
        <f t="shared" si="6"/>
        <v>0</v>
      </c>
      <c r="E24" s="2844">
        <f t="shared" si="1"/>
        <v>0</v>
      </c>
      <c r="F24" s="2850"/>
      <c r="G24" s="2851"/>
      <c r="H24" s="2753">
        <f t="shared" si="7"/>
        <v>0</v>
      </c>
      <c r="I24" s="2823">
        <f t="shared" si="2"/>
        <v>0</v>
      </c>
      <c r="J24" s="2307"/>
      <c r="K24" s="2875">
        <f t="shared" si="3"/>
        <v>0</v>
      </c>
      <c r="L24" s="2259">
        <f t="shared" si="4"/>
        <v>0</v>
      </c>
      <c r="M24" s="2876">
        <f t="shared" si="8"/>
        <v>0</v>
      </c>
      <c r="N24" s="2877"/>
      <c r="O24" s="2878"/>
      <c r="P24" s="2876">
        <f t="shared" si="9"/>
        <v>0</v>
      </c>
      <c r="R24" s="2259">
        <f t="shared" si="5"/>
        <v>0</v>
      </c>
      <c r="S24" s="2887">
        <f t="shared" si="5"/>
        <v>0</v>
      </c>
    </row>
    <row r="25" spans="1:19" ht="14.4">
      <c r="A25" s="2847"/>
      <c r="B25" s="2822" t="s">
        <v>527</v>
      </c>
      <c r="C25" s="2849"/>
      <c r="D25" s="2814">
        <f t="shared" si="6"/>
        <v>0</v>
      </c>
      <c r="E25" s="2844">
        <f t="shared" si="1"/>
        <v>0</v>
      </c>
      <c r="F25" s="2850"/>
      <c r="G25" s="2851"/>
      <c r="H25" s="2813">
        <f t="shared" si="7"/>
        <v>0</v>
      </c>
      <c r="I25" s="2823">
        <f t="shared" si="2"/>
        <v>0</v>
      </c>
      <c r="J25" s="2307"/>
      <c r="K25" s="2875">
        <f t="shared" si="3"/>
        <v>0</v>
      </c>
      <c r="L25" s="2259">
        <f t="shared" si="4"/>
        <v>0</v>
      </c>
      <c r="M25" s="2876">
        <f t="shared" si="8"/>
        <v>0</v>
      </c>
      <c r="N25" s="2877"/>
      <c r="O25" s="2878"/>
      <c r="P25" s="2876">
        <f t="shared" si="9"/>
        <v>0</v>
      </c>
      <c r="R25" s="2259">
        <f t="shared" si="5"/>
        <v>0</v>
      </c>
      <c r="S25" s="2887">
        <f t="shared" si="5"/>
        <v>0</v>
      </c>
    </row>
    <row r="26" spans="1:19" ht="14.4">
      <c r="A26" s="2847"/>
      <c r="B26" s="2822" t="s">
        <v>527</v>
      </c>
      <c r="C26" s="2852"/>
      <c r="D26" s="2814">
        <f t="shared" si="6"/>
        <v>0</v>
      </c>
      <c r="E26" s="2844">
        <f t="shared" si="1"/>
        <v>0</v>
      </c>
      <c r="F26" s="2850"/>
      <c r="G26" s="2851"/>
      <c r="H26" s="2813">
        <f t="shared" si="7"/>
        <v>0</v>
      </c>
      <c r="I26" s="2823">
        <f t="shared" si="2"/>
        <v>0</v>
      </c>
      <c r="J26" s="2307"/>
      <c r="K26" s="2809">
        <f t="shared" si="3"/>
        <v>0</v>
      </c>
      <c r="L26" s="2818">
        <f t="shared" si="4"/>
        <v>0</v>
      </c>
      <c r="M26" s="2859">
        <f t="shared" si="8"/>
        <v>0</v>
      </c>
      <c r="N26" s="2879"/>
      <c r="O26" s="2880"/>
      <c r="P26" s="2859">
        <f t="shared" si="9"/>
        <v>0</v>
      </c>
      <c r="R26" s="2259">
        <f t="shared" si="5"/>
        <v>0</v>
      </c>
      <c r="S26" s="2887">
        <f t="shared" si="5"/>
        <v>0</v>
      </c>
    </row>
    <row r="27" spans="1:19" ht="14.4">
      <c r="A27" s="2847"/>
      <c r="B27" s="2814"/>
      <c r="C27" s="2462" t="s">
        <v>528</v>
      </c>
      <c r="D27" s="2853">
        <f>SUM(D19:D26)</f>
        <v>756.32</v>
      </c>
      <c r="E27" s="2854">
        <f>IF(SUM(E19:E26)='数据-基础表'!BA5,SUM(E19:E26),IF(F27="地上面积有误","面积有误","地下面积有误"))</f>
        <v>5858.09</v>
      </c>
      <c r="F27" s="2853">
        <f>IF(SUM(F19:F26)=E8,SUM(F19:F26),"地上面积有误")</f>
        <v>5858.09</v>
      </c>
      <c r="G27" s="2855">
        <f>SUM(G19:G26)</f>
        <v>0</v>
      </c>
      <c r="H27" s="2856">
        <f>SUM(H19:H26)</f>
        <v>0</v>
      </c>
      <c r="I27" s="2881">
        <f>SUM(I19:I26)</f>
        <v>0</v>
      </c>
      <c r="J27" s="2307"/>
      <c r="K27" s="2882">
        <f>SUM(K19:K26)</f>
        <v>0</v>
      </c>
      <c r="L27" s="2883">
        <f>SUM(L19:L26)</f>
        <v>0</v>
      </c>
      <c r="M27" s="2884">
        <f>SUM(M19:M26)</f>
        <v>0</v>
      </c>
      <c r="N27" s="2882">
        <f t="shared" ref="N27:P27" si="10">SUM(N19:N26)</f>
        <v>0</v>
      </c>
      <c r="O27" s="2883">
        <f t="shared" si="10"/>
        <v>0</v>
      </c>
      <c r="P27" s="2885">
        <f t="shared" si="10"/>
        <v>0</v>
      </c>
      <c r="R27" s="2796">
        <f>IF(SUM(R19:R26)=$D$3,SUM(R19:R26),SUM(R19:R26)&amp;"误差"&amp;ROUND(SUM(R19:R26)-$D$3,2))</f>
        <v>756.32</v>
      </c>
      <c r="S27" s="2259">
        <f>IF(SUM(S19:S26)=$E$3,SUM(S19:S26),SUM(S19:S26)&amp;"误差"&amp;ROUND(SUM(S19:S26)-E3,2))</f>
        <v>5858.09</v>
      </c>
    </row>
    <row r="28" spans="1:19" ht="14.4">
      <c r="A28" s="2847"/>
      <c r="B28" s="2822" t="s">
        <v>529</v>
      </c>
      <c r="C28" s="2773" t="s">
        <v>530</v>
      </c>
      <c r="D28" s="2814">
        <f>ROUND($D$3*E28/$E$3,2)</f>
        <v>0</v>
      </c>
      <c r="E28" s="2844">
        <f>SUM(F28:G28)</f>
        <v>0</v>
      </c>
      <c r="F28" s="2248">
        <f>'数据-基础表'!BQ5+'数据-基础表'!BS5</f>
        <v>0</v>
      </c>
      <c r="G28" s="2857">
        <f>'数据-基础表'!BR5+'数据-基础表'!BT5</f>
        <v>0</v>
      </c>
      <c r="H28" s="2805"/>
      <c r="I28" s="2805"/>
      <c r="J28" s="2805"/>
      <c r="K28" s="2805"/>
      <c r="L28" s="2805"/>
      <c r="M28" s="2805"/>
      <c r="N28" s="2805"/>
      <c r="O28" s="2805"/>
      <c r="P28" s="2805"/>
    </row>
    <row r="29" spans="1:19" ht="14.4">
      <c r="A29" s="2847"/>
      <c r="B29" s="2822" t="s">
        <v>529</v>
      </c>
      <c r="C29" s="2305" t="s">
        <v>531</v>
      </c>
      <c r="D29" s="2814">
        <f>ROUND($D$3*E29/$E$3,2)</f>
        <v>0</v>
      </c>
      <c r="E29" s="2844">
        <f>SUM(F29:G29)</f>
        <v>0</v>
      </c>
      <c r="F29" s="2858">
        <f>'数据-基础表'!BM5+'数据-基础表'!BO5</f>
        <v>0</v>
      </c>
      <c r="G29" s="2859">
        <f>'数据-基础表'!BN5+'数据-基础表'!BP5</f>
        <v>0</v>
      </c>
      <c r="H29" s="2805"/>
      <c r="I29" s="2805"/>
      <c r="J29" s="2805"/>
      <c r="K29" s="2805"/>
      <c r="L29" s="2805"/>
      <c r="M29" s="2805"/>
      <c r="N29" s="2805"/>
      <c r="O29" s="2805"/>
      <c r="P29" s="2805"/>
    </row>
    <row r="30" spans="1:19" ht="14.4">
      <c r="A30" s="2847"/>
      <c r="B30" s="2822"/>
      <c r="C30" s="2860" t="s">
        <v>528</v>
      </c>
      <c r="D30" s="2853">
        <f>SUM(D28:D29)</f>
        <v>0</v>
      </c>
      <c r="E30" s="2853">
        <f>SUM(E28:E29)</f>
        <v>0</v>
      </c>
      <c r="F30" s="2853">
        <f>SUM(F28:F29)</f>
        <v>0</v>
      </c>
      <c r="G30" s="2855">
        <f>SUM(G28:G29)</f>
        <v>0</v>
      </c>
      <c r="H30" s="2805"/>
      <c r="I30" s="2805"/>
      <c r="J30" s="2805"/>
      <c r="K30" s="2805"/>
      <c r="L30" s="2805"/>
      <c r="M30" s="2805"/>
      <c r="N30" s="2805"/>
      <c r="O30" s="2805"/>
      <c r="P30" s="2805"/>
    </row>
    <row r="31" spans="1:19" ht="14.4">
      <c r="A31" s="2861"/>
      <c r="B31" s="2862"/>
      <c r="C31" s="2127" t="s">
        <v>532</v>
      </c>
      <c r="D31" s="2863">
        <f>D27+D30</f>
        <v>756.32</v>
      </c>
      <c r="E31" s="2863">
        <f>E27+E30</f>
        <v>5858.09</v>
      </c>
      <c r="F31" s="2864">
        <f>F27+F30</f>
        <v>5858.09</v>
      </c>
      <c r="G31" s="2865">
        <f>G27+G30</f>
        <v>0</v>
      </c>
      <c r="H31" s="2805"/>
      <c r="I31" s="2805"/>
      <c r="J31" s="2805"/>
      <c r="K31" s="2805"/>
      <c r="L31" s="2805"/>
      <c r="M31" s="2805"/>
      <c r="N31" s="2805"/>
      <c r="O31" s="2805"/>
      <c r="P31" s="2805"/>
    </row>
    <row r="32" spans="1:19" ht="14.4">
      <c r="A32" s="2866"/>
      <c r="B32" s="2866" t="s">
        <v>533</v>
      </c>
      <c r="C32" s="2866"/>
      <c r="D32" s="2866"/>
      <c r="E32" s="2867">
        <f>SUMIF(C19:C26,"*住宅*",E19:E26)</f>
        <v>0</v>
      </c>
      <c r="F32" s="2866"/>
      <c r="G32" s="2866"/>
      <c r="H32" s="2805"/>
      <c r="I32" s="2805"/>
      <c r="J32" s="2805"/>
      <c r="K32" s="2805"/>
      <c r="L32" s="2805"/>
      <c r="M32" s="2805"/>
      <c r="N32" s="2805"/>
      <c r="O32" s="2805"/>
      <c r="P32" s="2805"/>
    </row>
    <row r="33" spans="4:4">
      <c r="D33" s="28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K30" sqref="K30"/>
    </sheetView>
  </sheetViews>
  <sheetFormatPr defaultColWidth="13.77734375" defaultRowHeight="13.2"/>
  <cols>
    <col min="1" max="1" width="24.6640625" style="2604" customWidth="1"/>
    <col min="2" max="2" width="12" style="2605" customWidth="1"/>
    <col min="3" max="3" width="12.77734375" style="2605" customWidth="1"/>
    <col min="4" max="4" width="9.109375" style="2606" customWidth="1"/>
    <col min="5" max="5" width="15" style="2605" customWidth="1"/>
    <col min="6" max="10" width="8.88671875" style="2605" customWidth="1"/>
    <col min="11" max="12" width="12.33203125" style="2607" customWidth="1"/>
    <col min="13" max="13" width="8.6640625" style="2605" customWidth="1"/>
    <col min="14" max="14" width="11.88671875" style="2605" customWidth="1"/>
    <col min="15" max="15" width="8.44140625" style="2605" customWidth="1"/>
    <col min="16" max="17" width="10.88671875" style="2605" customWidth="1"/>
    <col min="18" max="19" width="12.44140625" style="2605" customWidth="1"/>
    <col min="20" max="20" width="12.109375" style="2605" customWidth="1"/>
    <col min="21" max="21" width="7.44140625" style="2605" customWidth="1"/>
    <col min="22" max="22" width="6.33203125" style="2605" customWidth="1"/>
    <col min="23" max="30" width="6.77734375" style="2605" customWidth="1"/>
    <col min="31" max="31" width="8" style="2605" customWidth="1"/>
    <col min="32" max="34" width="7.21875" style="2605" customWidth="1"/>
    <col min="35" max="39" width="8" style="2605" customWidth="1"/>
    <col min="40" max="40" width="13.77734375" style="2603"/>
    <col min="41" max="41" width="11.6640625" style="2603" customWidth="1"/>
    <col min="42" max="42" width="9.77734375" style="2603" customWidth="1"/>
    <col min="43" max="67" width="13.77734375" style="2603"/>
    <col min="68" max="16384" width="13.77734375" style="2605"/>
  </cols>
  <sheetData>
    <row r="1" spans="1:67" ht="17.399999999999999">
      <c r="A1" s="2608" t="s">
        <v>534</v>
      </c>
      <c r="B1" s="2609"/>
      <c r="C1" s="1883"/>
      <c r="D1" s="2610"/>
      <c r="E1" s="1883"/>
      <c r="F1" s="1883"/>
      <c r="G1" s="1883"/>
      <c r="H1" s="1883"/>
      <c r="I1" s="1883"/>
      <c r="J1" s="1883"/>
      <c r="K1" s="283"/>
      <c r="L1" s="2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67"/>
      <c r="AO1" s="2067"/>
      <c r="AP1" s="2067"/>
      <c r="AQ1" s="2067"/>
      <c r="AR1" s="2067"/>
    </row>
    <row r="2" spans="1:67" s="2600" customFormat="1" ht="14.4">
      <c r="A2" s="2611" t="s">
        <v>535</v>
      </c>
      <c r="B2" s="2612">
        <f>项目基本情况!D3</f>
        <v>44770</v>
      </c>
      <c r="C2" s="2613"/>
      <c r="D2" s="2614"/>
      <c r="E2" s="2613"/>
      <c r="F2" s="2613"/>
      <c r="G2" s="2613"/>
      <c r="H2" s="2613"/>
      <c r="I2" s="2613"/>
      <c r="J2" s="2613"/>
      <c r="K2" s="2711"/>
      <c r="L2" s="2711"/>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6"/>
      <c r="AO2" s="2646"/>
      <c r="AP2" s="2646"/>
      <c r="AQ2" s="2646"/>
      <c r="AR2" s="2646"/>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600" customFormat="1" ht="13.8">
      <c r="A3" s="2615"/>
      <c r="B3" s="2616"/>
      <c r="C3" s="2613"/>
      <c r="D3" s="2614"/>
      <c r="E3" s="2613"/>
      <c r="F3" s="2613"/>
      <c r="G3" s="2613"/>
      <c r="H3" s="2613"/>
      <c r="I3" s="2613"/>
      <c r="J3" s="2613"/>
      <c r="K3" s="2711"/>
      <c r="L3" s="2711"/>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6"/>
      <c r="AO3" s="2646"/>
      <c r="AP3" s="2646"/>
      <c r="AQ3" s="2646"/>
      <c r="AR3" s="2646"/>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600" customFormat="1" ht="14.4">
      <c r="A4" s="1365" t="s">
        <v>536</v>
      </c>
      <c r="B4" s="2266"/>
      <c r="C4" s="2617"/>
      <c r="D4" s="2618"/>
      <c r="E4" s="2617" t="s">
        <v>537</v>
      </c>
      <c r="F4" s="2617"/>
      <c r="G4" s="2617"/>
      <c r="H4" s="2617"/>
      <c r="I4" s="2617"/>
      <c r="J4" s="2712"/>
      <c r="K4" s="2713"/>
      <c r="L4" s="2714"/>
      <c r="M4" s="2617"/>
      <c r="N4" s="2617" t="s">
        <v>538</v>
      </c>
      <c r="O4" s="2617"/>
      <c r="P4" s="2617"/>
      <c r="Q4" s="2617"/>
      <c r="R4" s="2617"/>
      <c r="S4" s="2712"/>
      <c r="T4" s="2736" t="str">
        <f>'数据-汇总表'!I17</f>
        <v>按面积比例</v>
      </c>
      <c r="U4" s="2266" t="s">
        <v>539</v>
      </c>
      <c r="V4" s="2617"/>
      <c r="W4" s="2617"/>
      <c r="X4" s="2617"/>
      <c r="Y4" s="2712"/>
      <c r="Z4" s="2763" t="s">
        <v>540</v>
      </c>
      <c r="AA4" s="2763"/>
      <c r="AB4" s="2763"/>
      <c r="AC4" s="2763"/>
      <c r="AD4" s="2763"/>
      <c r="AE4" s="2764" t="s">
        <v>541</v>
      </c>
      <c r="AF4" s="2763"/>
      <c r="AG4" s="2777"/>
      <c r="AH4" s="2266"/>
      <c r="AI4" s="2617"/>
      <c r="AJ4" s="2617"/>
      <c r="AK4" s="2617"/>
      <c r="AL4" s="2617"/>
      <c r="AM4" s="2712"/>
      <c r="AN4" s="2646"/>
      <c r="AO4" s="2646"/>
      <c r="AP4" s="2646"/>
      <c r="AQ4" s="2646"/>
      <c r="AR4" s="2646"/>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601" customFormat="1" ht="57.6">
      <c r="A5" s="2619" t="s">
        <v>514</v>
      </c>
      <c r="B5" s="2620" t="s">
        <v>513</v>
      </c>
      <c r="C5" s="2621" t="s">
        <v>542</v>
      </c>
      <c r="D5" s="2622" t="s">
        <v>543</v>
      </c>
      <c r="E5" s="2623" t="s">
        <v>544</v>
      </c>
      <c r="F5" s="2624" t="s">
        <v>545</v>
      </c>
      <c r="G5" s="2623" t="s">
        <v>546</v>
      </c>
      <c r="H5" s="2623" t="s">
        <v>547</v>
      </c>
      <c r="I5" s="2623" t="s">
        <v>548</v>
      </c>
      <c r="J5" s="2715" t="s">
        <v>549</v>
      </c>
      <c r="K5" s="2716" t="s">
        <v>523</v>
      </c>
      <c r="L5" s="2717" t="s">
        <v>550</v>
      </c>
      <c r="M5" s="2718" t="s">
        <v>551</v>
      </c>
      <c r="N5" s="2719" t="s">
        <v>552</v>
      </c>
      <c r="O5" s="2717" t="s">
        <v>553</v>
      </c>
      <c r="P5" s="2720" t="s">
        <v>554</v>
      </c>
      <c r="Q5" s="1253" t="s">
        <v>555</v>
      </c>
      <c r="R5" s="2737" t="s">
        <v>556</v>
      </c>
      <c r="S5" s="2738" t="s">
        <v>557</v>
      </c>
      <c r="T5" s="2739" t="s">
        <v>558</v>
      </c>
      <c r="U5" s="2740" t="s">
        <v>559</v>
      </c>
      <c r="V5" s="2623" t="s">
        <v>560</v>
      </c>
      <c r="W5" s="2623" t="s">
        <v>561</v>
      </c>
      <c r="X5" s="939"/>
      <c r="Y5" s="1382" t="s">
        <v>562</v>
      </c>
      <c r="Z5" s="2765" t="s">
        <v>559</v>
      </c>
      <c r="AA5" s="2623" t="s">
        <v>560</v>
      </c>
      <c r="AB5" s="2623" t="s">
        <v>561</v>
      </c>
      <c r="AC5" s="939"/>
      <c r="AD5" s="939" t="s">
        <v>562</v>
      </c>
      <c r="AE5" s="2740" t="s">
        <v>563</v>
      </c>
      <c r="AF5" s="2623" t="s">
        <v>564</v>
      </c>
      <c r="AG5" s="1382" t="s">
        <v>565</v>
      </c>
      <c r="AH5" s="2740" t="s">
        <v>566</v>
      </c>
      <c r="AI5" s="2765" t="s">
        <v>567</v>
      </c>
      <c r="AJ5" s="2765" t="s">
        <v>568</v>
      </c>
      <c r="AK5" s="2623" t="s">
        <v>569</v>
      </c>
      <c r="AL5" s="2623" t="s">
        <v>570</v>
      </c>
      <c r="AM5" s="1382" t="s">
        <v>571</v>
      </c>
      <c r="AN5" s="2778" t="s">
        <v>572</v>
      </c>
      <c r="AO5" s="2795" t="s">
        <v>573</v>
      </c>
      <c r="AP5" s="2796" t="s">
        <v>574</v>
      </c>
      <c r="AQ5" s="2797" t="s">
        <v>575</v>
      </c>
      <c r="AR5" s="2797" t="s">
        <v>576</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pans="1:67" s="2600" customFormat="1" ht="13.8">
      <c r="A6" s="2625" t="str">
        <f>'数据-汇总表'!C19</f>
        <v>办公</v>
      </c>
      <c r="B6" s="2626" t="str">
        <f>IF(A6=0,"","经营性")</f>
        <v>经营性</v>
      </c>
      <c r="C6" s="2627" t="s">
        <v>452</v>
      </c>
      <c r="D6" s="2628">
        <f>SUMIF(项目基本情况!D$12:I$12,C6,项目基本情况!D$14:I$14)</f>
        <v>50</v>
      </c>
      <c r="E6" s="2629">
        <f>IF(B6="","",SUMIF(项目基本情况!D$12:I$12,C6,项目基本情况!D$13:I$13))</f>
        <v>53058</v>
      </c>
      <c r="F6" s="2630">
        <f>SUMIF(项目基本情况!D$12:I$12,C6,项目基本情况!D$15:I$15)</f>
        <v>22.7</v>
      </c>
      <c r="G6" s="2631">
        <f>IF(ISERROR(ROUND(POWER(1+H6,D6-F6)*(POWER(1+H6,F6)-1)/(POWER(1+H6,D6)-1),3)),0,ROUND(POWER(1+H6,D6-F6)*(POWER(1+H6,F6)-1)/(POWER(1+H6,D6)-1),3))</f>
        <v>0.73399999999999999</v>
      </c>
      <c r="H6" s="2632">
        <v>0.05</v>
      </c>
      <c r="I6" s="2632">
        <v>5.5E-2</v>
      </c>
      <c r="J6" s="2633">
        <v>7.4999999999999997E-2</v>
      </c>
      <c r="K6" s="2721">
        <f>SUMIF('数据-汇总表'!C$19:C$33,A6,'数据-汇总表'!E$19:E$33)</f>
        <v>5858.09</v>
      </c>
      <c r="L6" s="2722">
        <v>3000</v>
      </c>
      <c r="M6" s="2723">
        <f t="shared" ref="M6:M14" si="0">ROUND(K6*L6/10000,0)</f>
        <v>1757</v>
      </c>
      <c r="N6" s="2724">
        <f>ROUND((N20+N21)/2,2)</f>
        <v>0.74</v>
      </c>
      <c r="O6" s="2723" t="str">
        <f>IF($N$5="成新度","——",ROUND(M6*N6,0))</f>
        <v>——</v>
      </c>
      <c r="P6" s="2725" t="str">
        <f>IF($N$5="成新度","——",M6-O6)</f>
        <v>——</v>
      </c>
      <c r="Q6" s="2741">
        <v>0.15</v>
      </c>
      <c r="R6" s="2742">
        <f ca="1">SUMIF('数据-汇总表'!C$19:C$33,A6,'数据-汇总表'!R$19:R$27)</f>
        <v>756.32</v>
      </c>
      <c r="S6" s="2743">
        <f>IF('数据-汇总表'!$I$17="按面积比例",SUMIF('数据-汇总表'!C$19:C$33,A6,'数据-汇总表'!K$19:K$33),SUMIF('数据-汇总表'!C$19:C$33,A6,'数据-汇总表'!N$19:N$33))</f>
        <v>0</v>
      </c>
      <c r="T6" s="2744">
        <f>ROUND($L$14*S6/10000,0)</f>
        <v>0</v>
      </c>
      <c r="U6" s="2745">
        <v>6.5</v>
      </c>
      <c r="V6" s="2746">
        <v>0.03</v>
      </c>
      <c r="W6" s="2746">
        <v>0.1</v>
      </c>
      <c r="X6" s="2747"/>
      <c r="Y6" s="2766">
        <f>N6</f>
        <v>0.74</v>
      </c>
      <c r="Z6" s="2767"/>
      <c r="AA6" s="2633"/>
      <c r="AB6" s="2633"/>
      <c r="AC6" s="2747"/>
      <c r="AD6" s="2768"/>
      <c r="AE6" s="2769">
        <f ca="1">IF(AN6="",0,SUMIF(INDIRECT("'"&amp;AN6&amp;"'"&amp;"!E:E"),$AE$5,INDIRECT("'"&amp;AN6&amp;"'"&amp;"!F:F")))</f>
        <v>22.7</v>
      </c>
      <c r="AF6" s="2245"/>
      <c r="AG6" s="1543">
        <f>IF(AF6="",0,AE6-AF6)</f>
        <v>0</v>
      </c>
      <c r="AH6" s="2751"/>
      <c r="AI6" s="2779">
        <v>365</v>
      </c>
      <c r="AJ6" s="2780"/>
      <c r="AK6" s="2781">
        <v>0.01</v>
      </c>
      <c r="AL6" s="2782">
        <v>1.5E-3</v>
      </c>
      <c r="AM6" s="2783">
        <v>0.02</v>
      </c>
      <c r="AN6" s="2784" t="s">
        <v>577</v>
      </c>
      <c r="AO6" s="1131">
        <f ca="1">SUMIF(INDIRECT("'"&amp;AN6&amp;"'"&amp;"!A:A"),"总价",INDIRECT("'"&amp;AN6&amp;"'"&amp;"!B:B"))</f>
        <v>16591</v>
      </c>
      <c r="AP6" s="2798">
        <f>IF(C6="住宅",K6*L6,0)</f>
        <v>0</v>
      </c>
      <c r="AQ6" s="1131">
        <f>ROUND($L$14*$N$14*S6/10000,0)</f>
        <v>0</v>
      </c>
      <c r="AR6" s="1131">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600" customFormat="1" ht="13.8">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3"/>
      <c r="K7" s="2721">
        <f>SUMIF('数据-汇总表'!C$19:C$33,A7,'数据-汇总表'!E$19:E$33)</f>
        <v>0</v>
      </c>
      <c r="L7" s="2722"/>
      <c r="M7" s="2723">
        <f t="shared" si="0"/>
        <v>0</v>
      </c>
      <c r="N7" s="2724"/>
      <c r="O7" s="2723" t="str">
        <f t="shared" ref="O7:O14" si="3">IF($N$5="成新度","——",ROUND(M7*N7,0))</f>
        <v>——</v>
      </c>
      <c r="P7" s="2725"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3"/>
      <c r="AB7" s="2633"/>
      <c r="AC7" s="2747"/>
      <c r="AD7" s="2768"/>
      <c r="AE7" s="2769">
        <f t="shared" ref="AE7:AE13" ca="1" si="6">IF(AN7="",0,SUMIF(INDIRECT("'"&amp;AN7&amp;"'"&amp;"!E:E"),$AE$5,INDIRECT("'"&amp;AN7&amp;"'"&amp;"!F:F")))</f>
        <v>0</v>
      </c>
      <c r="AF7" s="2245"/>
      <c r="AG7" s="1543">
        <f t="shared" ref="AG7:AG13" si="7">IF(AF7="",0,AE7-AF7)</f>
        <v>0</v>
      </c>
      <c r="AH7" s="2751"/>
      <c r="AI7" s="2779"/>
      <c r="AJ7" s="2780"/>
      <c r="AK7" s="2781"/>
      <c r="AL7" s="2782"/>
      <c r="AM7" s="2783"/>
      <c r="AN7" s="2784"/>
      <c r="AO7" s="1131" t="e">
        <f t="shared" ref="AO7:AO13" ca="1" si="8">SUMIF(INDIRECT("'"&amp;AN7&amp;"'"&amp;"!A:A"),"总价",INDIRECT("'"&amp;AN7&amp;"'"&amp;"!B:B"))</f>
        <v>#REF!</v>
      </c>
      <c r="AP7" s="2798">
        <f t="shared" ref="AP7:AP13" si="9">IF(C7="住宅",K7*L7,0)</f>
        <v>0</v>
      </c>
      <c r="AQ7" s="1131">
        <f t="shared" ref="AQ7:AQ13" si="10">ROUND($L$14*$N$14*S7/10000,0)</f>
        <v>0</v>
      </c>
      <c r="AR7" s="113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600" customFormat="1" ht="13.8">
      <c r="A8" s="2625">
        <f>'数据-汇总表'!C21</f>
        <v>0</v>
      </c>
      <c r="B8" s="2626" t="str">
        <f t="shared" si="1"/>
        <v/>
      </c>
      <c r="C8" s="2627"/>
      <c r="D8" s="2628">
        <f>SUMIF(项目基本情况!D$12:I$12,C8,项目基本情况!D$14:I$14)</f>
        <v>0</v>
      </c>
      <c r="E8" s="2629" t="str">
        <f>IF(B8="","",SUMIF(项目基本情况!D$12:I$12,C8,项目基本情况!D$13:I$13))</f>
        <v/>
      </c>
      <c r="F8" s="2630">
        <f>SUMIF(项目基本情况!D$12:I$12,C8,项目基本情况!D$15:I$15)</f>
        <v>0</v>
      </c>
      <c r="G8" s="2631">
        <f t="shared" si="2"/>
        <v>0</v>
      </c>
      <c r="H8" s="2632"/>
      <c r="I8" s="2632"/>
      <c r="J8" s="2633"/>
      <c r="K8" s="2721">
        <f>SUMIF('数据-汇总表'!C$19:C$33,A8,'数据-汇总表'!E$19:E$33)</f>
        <v>0</v>
      </c>
      <c r="L8" s="2722"/>
      <c r="M8" s="2723">
        <f t="shared" si="0"/>
        <v>0</v>
      </c>
      <c r="N8" s="2724"/>
      <c r="O8" s="2723" t="str">
        <f t="shared" si="3"/>
        <v>——</v>
      </c>
      <c r="P8" s="2725"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3"/>
      <c r="AB8" s="2633"/>
      <c r="AC8" s="2747"/>
      <c r="AD8" s="2768"/>
      <c r="AE8" s="2769">
        <f t="shared" ca="1" si="6"/>
        <v>0</v>
      </c>
      <c r="AF8" s="2245"/>
      <c r="AG8" s="1543">
        <f t="shared" si="7"/>
        <v>0</v>
      </c>
      <c r="AH8" s="2785"/>
      <c r="AI8" s="2779"/>
      <c r="AJ8" s="2780"/>
      <c r="AK8" s="2786"/>
      <c r="AL8" s="2787"/>
      <c r="AM8" s="2788"/>
      <c r="AN8" s="2784"/>
      <c r="AO8" s="1131" t="e">
        <f t="shared" ca="1" si="8"/>
        <v>#REF!</v>
      </c>
      <c r="AP8" s="2798">
        <f t="shared" si="9"/>
        <v>0</v>
      </c>
      <c r="AQ8" s="1131">
        <f t="shared" si="10"/>
        <v>0</v>
      </c>
      <c r="AR8" s="1131">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600" customFormat="1" ht="13.8">
      <c r="A9" s="2625">
        <f>'数据-汇总表'!C22</f>
        <v>0</v>
      </c>
      <c r="B9" s="2626" t="str">
        <f t="shared" si="1"/>
        <v/>
      </c>
      <c r="C9" s="2627"/>
      <c r="D9" s="2628">
        <f>SUMIF(项目基本情况!D$12:I$12,C9,项目基本情况!D$14:I$14)</f>
        <v>0</v>
      </c>
      <c r="E9" s="2629" t="str">
        <f>IF(B9="","",SUMIF(项目基本情况!D$12:I$12,C9,项目基本情况!D$13:I$13))</f>
        <v/>
      </c>
      <c r="F9" s="2630">
        <f>SUMIF(项目基本情况!D$12:I$12,C9,项目基本情况!D$15:I$15)</f>
        <v>0</v>
      </c>
      <c r="G9" s="2631">
        <f t="shared" si="2"/>
        <v>0</v>
      </c>
      <c r="H9" s="2633"/>
      <c r="I9" s="2633"/>
      <c r="J9" s="2633"/>
      <c r="K9" s="2721">
        <f>SUMIF('数据-汇总表'!C$19:C$33,A9,'数据-汇总表'!E$19:E$33)</f>
        <v>0</v>
      </c>
      <c r="L9" s="2722"/>
      <c r="M9" s="2723">
        <f t="shared" si="0"/>
        <v>0</v>
      </c>
      <c r="N9" s="2724"/>
      <c r="O9" s="2723" t="str">
        <f t="shared" si="3"/>
        <v>——</v>
      </c>
      <c r="P9" s="2725"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3"/>
      <c r="AB9" s="2633"/>
      <c r="AC9" s="2747"/>
      <c r="AD9" s="2768"/>
      <c r="AE9" s="2769">
        <f t="shared" ca="1" si="6"/>
        <v>0</v>
      </c>
      <c r="AF9" s="2245"/>
      <c r="AG9" s="1543">
        <f t="shared" si="7"/>
        <v>0</v>
      </c>
      <c r="AH9" s="2751"/>
      <c r="AI9" s="2779"/>
      <c r="AJ9" s="2780"/>
      <c r="AK9" s="2781"/>
      <c r="AL9" s="2782"/>
      <c r="AM9" s="2783"/>
      <c r="AN9" s="2784"/>
      <c r="AO9" s="1131" t="e">
        <f t="shared" ca="1" si="8"/>
        <v>#REF!</v>
      </c>
      <c r="AP9" s="2798">
        <f t="shared" si="9"/>
        <v>0</v>
      </c>
      <c r="AQ9" s="1131">
        <f t="shared" si="10"/>
        <v>0</v>
      </c>
      <c r="AR9" s="1131">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600" customFormat="1" ht="13.8">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3"/>
      <c r="I10" s="2633"/>
      <c r="J10" s="2633"/>
      <c r="K10" s="2721">
        <f>SUMIF('数据-汇总表'!C$19:C$33,A10,'数据-汇总表'!E$19:E$33)</f>
        <v>0</v>
      </c>
      <c r="L10" s="2722"/>
      <c r="M10" s="2723">
        <f t="shared" si="0"/>
        <v>0</v>
      </c>
      <c r="N10" s="2724"/>
      <c r="O10" s="2723" t="str">
        <f t="shared" si="3"/>
        <v>——</v>
      </c>
      <c r="P10" s="2725"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3"/>
      <c r="AB10" s="2633"/>
      <c r="AC10" s="2747"/>
      <c r="AD10" s="2768"/>
      <c r="AE10" s="2769">
        <f t="shared" ca="1" si="6"/>
        <v>0</v>
      </c>
      <c r="AF10" s="2245"/>
      <c r="AG10" s="1543">
        <f t="shared" si="7"/>
        <v>0</v>
      </c>
      <c r="AH10" s="2751"/>
      <c r="AI10" s="2779"/>
      <c r="AJ10" s="2780"/>
      <c r="AK10" s="2781"/>
      <c r="AL10" s="2782"/>
      <c r="AM10" s="2783"/>
      <c r="AN10" s="2784"/>
      <c r="AO10" s="1131" t="e">
        <f t="shared" ca="1" si="8"/>
        <v>#REF!</v>
      </c>
      <c r="AP10" s="2798">
        <f t="shared" si="9"/>
        <v>0</v>
      </c>
      <c r="AQ10" s="1131">
        <f t="shared" si="10"/>
        <v>0</v>
      </c>
      <c r="AR10" s="113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600" customFormat="1" ht="13.8">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3"/>
      <c r="I11" s="2633"/>
      <c r="J11" s="2633"/>
      <c r="K11" s="2721">
        <f>SUMIF('数据-汇总表'!C$19:C$33,A11,'数据-汇总表'!E$19:E$33)</f>
        <v>0</v>
      </c>
      <c r="L11" s="2726"/>
      <c r="M11" s="2723">
        <f t="shared" si="0"/>
        <v>0</v>
      </c>
      <c r="N11" s="2727"/>
      <c r="O11" s="2723" t="str">
        <f t="shared" si="3"/>
        <v>——</v>
      </c>
      <c r="P11" s="2725"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3"/>
      <c r="W11" s="2633"/>
      <c r="X11" s="2747"/>
      <c r="Y11" s="2766"/>
      <c r="Z11" s="2771"/>
      <c r="AA11" s="2633"/>
      <c r="AB11" s="2633"/>
      <c r="AC11" s="2747"/>
      <c r="AD11" s="2768"/>
      <c r="AE11" s="2769">
        <f t="shared" ca="1" si="6"/>
        <v>0</v>
      </c>
      <c r="AF11" s="2245"/>
      <c r="AG11" s="1543">
        <f t="shared" si="7"/>
        <v>0</v>
      </c>
      <c r="AH11" s="2751"/>
      <c r="AI11" s="2779"/>
      <c r="AJ11" s="2780"/>
      <c r="AK11" s="2789"/>
      <c r="AL11" s="2790"/>
      <c r="AM11" s="2791"/>
      <c r="AN11" s="2784"/>
      <c r="AO11" s="1131" t="e">
        <f t="shared" ca="1" si="8"/>
        <v>#REF!</v>
      </c>
      <c r="AP11" s="2798">
        <f t="shared" si="9"/>
        <v>0</v>
      </c>
      <c r="AQ11" s="1131">
        <f t="shared" si="10"/>
        <v>0</v>
      </c>
      <c r="AR11" s="113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600" customFormat="1" ht="13.8">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3"/>
      <c r="I12" s="2633"/>
      <c r="J12" s="2633"/>
      <c r="K12" s="2721">
        <f>SUMIF('数据-汇总表'!C$19:C$33,A12,'数据-汇总表'!E$19:E$33)</f>
        <v>0</v>
      </c>
      <c r="L12" s="2726"/>
      <c r="M12" s="2723">
        <f t="shared" si="0"/>
        <v>0</v>
      </c>
      <c r="N12" s="2727"/>
      <c r="O12" s="2723" t="str">
        <f t="shared" si="3"/>
        <v>——</v>
      </c>
      <c r="P12" s="2725"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3"/>
      <c r="W12" s="2633"/>
      <c r="X12" s="2747"/>
      <c r="Y12" s="2766"/>
      <c r="Z12" s="2771"/>
      <c r="AA12" s="2633"/>
      <c r="AB12" s="2633"/>
      <c r="AC12" s="2747"/>
      <c r="AD12" s="2768"/>
      <c r="AE12" s="2769">
        <f t="shared" ca="1" si="6"/>
        <v>0</v>
      </c>
      <c r="AF12" s="2245"/>
      <c r="AG12" s="1543">
        <f t="shared" si="7"/>
        <v>0</v>
      </c>
      <c r="AH12" s="2751"/>
      <c r="AI12" s="2779"/>
      <c r="AJ12" s="2780"/>
      <c r="AK12" s="2789"/>
      <c r="AL12" s="2790"/>
      <c r="AM12" s="2791"/>
      <c r="AN12" s="2784"/>
      <c r="AO12" s="1131" t="e">
        <f t="shared" ca="1" si="8"/>
        <v>#REF!</v>
      </c>
      <c r="AP12" s="2798">
        <f t="shared" si="9"/>
        <v>0</v>
      </c>
      <c r="AQ12" s="1131">
        <f t="shared" si="10"/>
        <v>0</v>
      </c>
      <c r="AR12" s="113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600" customFormat="1" ht="13.8">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3"/>
      <c r="I13" s="2633"/>
      <c r="J13" s="2633"/>
      <c r="K13" s="2721">
        <f>SUMIF('数据-汇总表'!C$19:C$33,A13,'数据-汇总表'!E$19:E$33)</f>
        <v>0</v>
      </c>
      <c r="L13" s="2726"/>
      <c r="M13" s="2723">
        <f t="shared" si="0"/>
        <v>0</v>
      </c>
      <c r="N13" s="2727"/>
      <c r="O13" s="2723" t="str">
        <f t="shared" si="3"/>
        <v>——</v>
      </c>
      <c r="P13" s="2725"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3"/>
      <c r="AB13" s="2633"/>
      <c r="AC13" s="2747"/>
      <c r="AD13" s="2768"/>
      <c r="AE13" s="2769">
        <f t="shared" ca="1" si="6"/>
        <v>0</v>
      </c>
      <c r="AF13" s="2245"/>
      <c r="AG13" s="1543">
        <f t="shared" si="7"/>
        <v>0</v>
      </c>
      <c r="AH13" s="2751"/>
      <c r="AI13" s="2779"/>
      <c r="AJ13" s="2780"/>
      <c r="AK13" s="2781"/>
      <c r="AL13" s="2782"/>
      <c r="AM13" s="2783"/>
      <c r="AN13" s="2784"/>
      <c r="AO13" s="1131" t="e">
        <f t="shared" ca="1" si="8"/>
        <v>#REF!</v>
      </c>
      <c r="AP13" s="2798">
        <f t="shared" si="9"/>
        <v>0</v>
      </c>
      <c r="AQ13" s="1131">
        <f t="shared" si="10"/>
        <v>0</v>
      </c>
      <c r="AR13" s="113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600" customFormat="1" ht="14.4">
      <c r="A14" s="2634" t="s">
        <v>530</v>
      </c>
      <c r="B14" s="2626" t="s">
        <v>529</v>
      </c>
      <c r="C14" s="2635" t="s">
        <v>530</v>
      </c>
      <c r="D14" s="2628"/>
      <c r="E14" s="2629"/>
      <c r="F14" s="2630"/>
      <c r="G14" s="2631"/>
      <c r="H14" s="2636"/>
      <c r="I14" s="2636"/>
      <c r="J14" s="2636"/>
      <c r="K14" s="2721">
        <f>SUMIF('数据-汇总表'!C$19:C$33,A14,'数据-汇总表'!E$19:E$33)</f>
        <v>0</v>
      </c>
      <c r="L14" s="2726"/>
      <c r="M14" s="2723">
        <f t="shared" si="0"/>
        <v>0</v>
      </c>
      <c r="N14" s="2727"/>
      <c r="O14" s="2723" t="str">
        <f t="shared" si="3"/>
        <v>——</v>
      </c>
      <c r="P14" s="2725" t="str">
        <f t="shared" si="4"/>
        <v>——</v>
      </c>
      <c r="Q14" s="2752"/>
      <c r="R14" s="2742"/>
      <c r="S14" s="2743"/>
      <c r="T14" s="2744"/>
      <c r="U14" s="2753"/>
      <c r="V14" s="2754"/>
      <c r="W14" s="2754"/>
      <c r="X14" s="2755"/>
      <c r="Y14" s="2772"/>
      <c r="Z14" s="2773"/>
      <c r="AA14" s="2774"/>
      <c r="AB14" s="2774"/>
      <c r="AC14" s="2747"/>
      <c r="AD14" s="2755"/>
      <c r="AE14" s="2769"/>
      <c r="AF14" s="1131"/>
      <c r="AG14" s="1543"/>
      <c r="AH14" s="2769"/>
      <c r="AI14" s="1119"/>
      <c r="AJ14" s="1130"/>
      <c r="AK14" s="2792"/>
      <c r="AL14" s="2793"/>
      <c r="AM14" s="2794"/>
      <c r="AN14" s="2067"/>
      <c r="AO14" s="2646"/>
      <c r="AP14" s="2646"/>
      <c r="AQ14" s="2646"/>
      <c r="AR14" s="2646"/>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600" customFormat="1" ht="14.4">
      <c r="A15" s="2634" t="s">
        <v>531</v>
      </c>
      <c r="B15" s="2626" t="s">
        <v>529</v>
      </c>
      <c r="C15" s="2635" t="s">
        <v>578</v>
      </c>
      <c r="D15" s="2628"/>
      <c r="E15" s="2629"/>
      <c r="F15" s="2630"/>
      <c r="G15" s="2631"/>
      <c r="H15" s="2636"/>
      <c r="I15" s="2636"/>
      <c r="J15" s="2636"/>
      <c r="K15" s="2721">
        <f>SUMIF('数据-汇总表'!C$19:C$33,A15,'数据-汇总表'!E$19:E$33)</f>
        <v>0</v>
      </c>
      <c r="L15" s="2728"/>
      <c r="M15" s="2723"/>
      <c r="N15" s="2729"/>
      <c r="O15" s="2723"/>
      <c r="P15" s="2725"/>
      <c r="Q15" s="2752"/>
      <c r="R15" s="2742"/>
      <c r="S15" s="2743"/>
      <c r="T15" s="2744"/>
      <c r="U15" s="2753"/>
      <c r="V15" s="2754"/>
      <c r="W15" s="2754"/>
      <c r="X15" s="2755"/>
      <c r="Y15" s="2772"/>
      <c r="Z15" s="2773"/>
      <c r="AA15" s="2774"/>
      <c r="AB15" s="2774"/>
      <c r="AC15" s="2747"/>
      <c r="AD15" s="2755"/>
      <c r="AE15" s="2769"/>
      <c r="AF15" s="1131"/>
      <c r="AG15" s="1543"/>
      <c r="AH15" s="2769"/>
      <c r="AI15" s="1119"/>
      <c r="AJ15" s="1130"/>
      <c r="AK15" s="2792"/>
      <c r="AL15" s="2793"/>
      <c r="AM15" s="2794"/>
      <c r="AN15" s="2067"/>
      <c r="AO15" s="2646"/>
      <c r="AP15" s="2646"/>
      <c r="AQ15" s="2646"/>
      <c r="AR15" s="2646"/>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600" customFormat="1" ht="14.4">
      <c r="A16" s="2637" t="s">
        <v>532</v>
      </c>
      <c r="B16" s="2638"/>
      <c r="C16" s="2125"/>
      <c r="D16" s="2639"/>
      <c r="E16" s="2638"/>
      <c r="F16" s="2638"/>
      <c r="G16" s="2640">
        <f>ROUND(SUMPRODUCT(G6:G13,K6:K13)/SUMPRODUCT((G6:G13&gt;0)*(K6:K13)),3)</f>
        <v>0.73399999999999999</v>
      </c>
      <c r="H16" s="2641">
        <f>ROUND(SUMPRODUCT(H6:H13,K6:K13)/SUMPRODUCT((H6:H13&gt;0)*(K6:K13)),3)</f>
        <v>0.05</v>
      </c>
      <c r="I16" s="2730"/>
      <c r="J16" s="2730"/>
      <c r="K16" s="2731">
        <f>SUM(K6:K15)</f>
        <v>5858.09</v>
      </c>
      <c r="L16" s="2732">
        <f>ROUND(M16*10000/SUM(K6:K14),0)</f>
        <v>2999</v>
      </c>
      <c r="M16" s="2732">
        <f>SUM(M6:M14)</f>
        <v>1757</v>
      </c>
      <c r="N16" s="2733">
        <f>ROUND(SUMPRODUCT(M6:M14,N6:N14)/M16,3)</f>
        <v>0.74</v>
      </c>
      <c r="O16" s="2732">
        <f>SUM(O6:O14)</f>
        <v>0</v>
      </c>
      <c r="P16" s="2732">
        <f>SUM(P6:P14)</f>
        <v>0</v>
      </c>
      <c r="Q16" s="2756">
        <f>ROUND(SUMPRODUCT(Q6:Q13,K6:K13)/SUMPRODUCT((Q6:Q13&gt;0)*(K6:K13)),2)</f>
        <v>0.15</v>
      </c>
      <c r="R16" s="2757">
        <f ca="1">SUM(R6:R13)</f>
        <v>756.32</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2067"/>
      <c r="AO16" s="2646"/>
      <c r="AP16" s="2646"/>
      <c r="AQ16" s="2646"/>
      <c r="AR16" s="2646"/>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67">
      <c r="A17" s="2642"/>
      <c r="B17" s="2643"/>
      <c r="C17" s="2067"/>
      <c r="D17" s="2644"/>
      <c r="E17" s="2644"/>
      <c r="F17" s="2067"/>
      <c r="G17" s="2067"/>
      <c r="H17" s="2067"/>
      <c r="I17" s="2067"/>
      <c r="J17" s="2067"/>
      <c r="K17" s="2734"/>
      <c r="L17" s="2734"/>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row>
    <row r="18" spans="1:67" ht="14.4">
      <c r="A18" s="1365" t="s">
        <v>579</v>
      </c>
      <c r="B18" s="2645"/>
      <c r="C18" s="2646"/>
      <c r="D18" s="2647"/>
      <c r="E18" s="2646"/>
      <c r="F18" s="2646"/>
      <c r="G18" s="2646"/>
      <c r="H18" s="2646"/>
      <c r="I18" s="2646"/>
      <c r="J18" s="2646"/>
      <c r="K18" s="2734"/>
      <c r="L18" s="2734"/>
      <c r="M18" s="2067"/>
      <c r="N18" s="2067">
        <v>2002</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row>
    <row r="19" spans="1:67" ht="14.4">
      <c r="A19" s="2648" t="s">
        <v>580</v>
      </c>
      <c r="B19" s="2649">
        <v>0</v>
      </c>
      <c r="C19" s="2650" t="s">
        <v>581</v>
      </c>
      <c r="D19" s="2647"/>
      <c r="E19" s="2646"/>
      <c r="F19" s="2646"/>
      <c r="G19" s="2646"/>
      <c r="H19" s="2646"/>
      <c r="I19" s="2646"/>
      <c r="J19" s="2646"/>
      <c r="K19" s="2734"/>
      <c r="L19" s="2734"/>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c r="AP19" s="2067"/>
      <c r="AQ19" s="2067"/>
      <c r="AR19" s="2067"/>
    </row>
    <row r="20" spans="1:67" ht="14.4">
      <c r="A20" s="2651" t="s">
        <v>582</v>
      </c>
      <c r="B20" s="2652">
        <v>2</v>
      </c>
      <c r="C20" s="2653" t="s">
        <v>583</v>
      </c>
      <c r="D20" s="2647"/>
      <c r="E20" s="2646"/>
      <c r="F20" s="2646"/>
      <c r="G20" s="2646"/>
      <c r="H20" s="2646"/>
      <c r="I20" s="2646"/>
      <c r="J20" s="2646"/>
      <c r="K20" s="2734"/>
      <c r="L20" s="2734"/>
      <c r="M20" s="2067"/>
      <c r="N20" s="2067">
        <f>ROUND(1-(2022-N18)/60,2)</f>
        <v>0.67</v>
      </c>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row>
    <row r="21" spans="1:67" ht="14.4">
      <c r="A21" s="2654" t="s">
        <v>584</v>
      </c>
      <c r="B21" s="2652">
        <v>2</v>
      </c>
      <c r="C21" s="2646"/>
      <c r="D21" s="2647"/>
      <c r="E21" s="2646"/>
      <c r="F21" s="2646"/>
      <c r="G21" s="2646"/>
      <c r="H21" s="2646"/>
      <c r="I21" s="2646"/>
      <c r="J21" s="2646"/>
      <c r="K21" s="2734"/>
      <c r="L21" s="2734"/>
      <c r="M21" s="2067"/>
      <c r="N21" s="2067">
        <v>0.8</v>
      </c>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row>
    <row r="22" spans="1:67" ht="14.4">
      <c r="A22" s="2651" t="s">
        <v>585</v>
      </c>
      <c r="B22" s="2655">
        <f>B19+B20</f>
        <v>2</v>
      </c>
      <c r="C22" s="2646"/>
      <c r="D22" s="2647"/>
      <c r="E22" s="2646"/>
      <c r="F22" s="2646"/>
      <c r="G22" s="2646"/>
      <c r="H22" s="2646"/>
      <c r="I22" s="2646"/>
      <c r="J22" s="2646"/>
      <c r="K22" s="2734"/>
      <c r="L22" s="2734"/>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c r="AP22" s="2067"/>
      <c r="AQ22" s="2067"/>
      <c r="AR22" s="2067"/>
    </row>
    <row r="23" spans="1:67" ht="14.4">
      <c r="A23" s="2654" t="s">
        <v>586</v>
      </c>
      <c r="B23" s="2655">
        <f>B19+B21</f>
        <v>2</v>
      </c>
      <c r="C23" s="2646"/>
      <c r="D23" s="2647"/>
      <c r="E23" s="2646"/>
      <c r="F23" s="2646"/>
      <c r="G23" s="2646"/>
      <c r="H23" s="2646"/>
      <c r="I23" s="2646"/>
      <c r="J23" s="2646"/>
      <c r="K23" s="2734"/>
      <c r="L23" s="2734"/>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c r="AP23" s="2067"/>
      <c r="AQ23" s="2067"/>
      <c r="AR23" s="2067"/>
    </row>
    <row r="24" spans="1:67" ht="14.4">
      <c r="A24" s="2656" t="s">
        <v>587</v>
      </c>
      <c r="B24" s="2657">
        <f>B20-B21</f>
        <v>0</v>
      </c>
      <c r="C24" s="2646"/>
      <c r="D24" s="2647"/>
      <c r="E24" s="2646"/>
      <c r="F24" s="2646"/>
      <c r="G24" s="2646"/>
      <c r="H24" s="2646"/>
      <c r="I24" s="2646"/>
      <c r="J24" s="2646"/>
      <c r="K24" s="2734"/>
      <c r="L24" s="2734"/>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c r="AP24" s="2067"/>
      <c r="AQ24" s="2067"/>
      <c r="AR24" s="2067"/>
    </row>
    <row r="25" spans="1:67" ht="13.8">
      <c r="A25" s="2615"/>
      <c r="B25" s="2616"/>
      <c r="C25" s="2646"/>
      <c r="D25" s="2647"/>
      <c r="E25" s="2646"/>
      <c r="F25" s="2646"/>
      <c r="G25" s="2646"/>
      <c r="H25" s="2646"/>
      <c r="I25" s="2646"/>
      <c r="J25" s="2646"/>
      <c r="K25" s="2734"/>
      <c r="L25" s="2734"/>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c r="AN25" s="2067"/>
      <c r="AO25" s="2067"/>
      <c r="AP25" s="2067"/>
      <c r="AQ25" s="2067"/>
      <c r="AR25" s="2067"/>
    </row>
    <row r="26" spans="1:67" ht="14.4">
      <c r="A26" s="2611" t="s">
        <v>588</v>
      </c>
      <c r="B26" s="2658" t="s">
        <v>589</v>
      </c>
      <c r="C26" s="2659" t="s">
        <v>590</v>
      </c>
      <c r="D26" s="2647"/>
      <c r="E26" s="2646"/>
      <c r="F26" s="2646"/>
      <c r="G26" s="2646"/>
      <c r="H26" s="2646"/>
      <c r="I26" s="2646"/>
      <c r="J26" s="2646"/>
      <c r="K26" s="2734"/>
      <c r="L26" s="2734"/>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row>
    <row r="27" spans="1:67" s="2602" customFormat="1" ht="14.4">
      <c r="A27" s="2660" t="s">
        <v>591</v>
      </c>
      <c r="B27" s="2661"/>
      <c r="C27" s="2662" t="s">
        <v>592</v>
      </c>
      <c r="D27" s="2663"/>
      <c r="E27" s="1246"/>
      <c r="F27" s="1246"/>
      <c r="G27" s="2646"/>
      <c r="H27" s="2646"/>
      <c r="I27" s="2646"/>
      <c r="J27" s="2646"/>
      <c r="K27" s="2734"/>
      <c r="L27" s="2734"/>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55"/>
      <c r="AT27" s="2055"/>
      <c r="AU27" s="2055"/>
      <c r="AV27" s="2055"/>
      <c r="AW27" s="2055"/>
      <c r="AX27" s="2055"/>
      <c r="AY27" s="2055"/>
      <c r="AZ27" s="2055"/>
      <c r="BA27" s="2055"/>
      <c r="BB27" s="2055"/>
      <c r="BC27" s="2055"/>
      <c r="BD27" s="2055"/>
      <c r="BE27" s="2055"/>
      <c r="BF27" s="2055"/>
      <c r="BG27" s="2055"/>
      <c r="BH27" s="2055"/>
      <c r="BI27" s="2055"/>
      <c r="BJ27" s="2055"/>
      <c r="BK27" s="2055"/>
      <c r="BL27" s="2055"/>
      <c r="BM27" s="2055"/>
      <c r="BN27" s="2055"/>
      <c r="BO27" s="2055"/>
    </row>
    <row r="28" spans="1:67" s="2602" customFormat="1" ht="28.8">
      <c r="A28" s="2664" t="s">
        <v>593</v>
      </c>
      <c r="B28" s="2665">
        <v>200</v>
      </c>
      <c r="C28" s="2666"/>
      <c r="D28" s="2663"/>
      <c r="E28" s="1246"/>
      <c r="F28" s="1246"/>
      <c r="G28" s="2646"/>
      <c r="H28" s="2646"/>
      <c r="I28" s="2646"/>
      <c r="J28" s="2646"/>
      <c r="K28" s="2734"/>
      <c r="L28" s="2734"/>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55"/>
      <c r="AT28" s="2055"/>
      <c r="AU28" s="2055"/>
      <c r="AV28" s="2055"/>
      <c r="AW28" s="2055"/>
      <c r="AX28" s="2055"/>
      <c r="AY28" s="2055"/>
      <c r="AZ28" s="2055"/>
      <c r="BA28" s="2055"/>
      <c r="BB28" s="2055"/>
      <c r="BC28" s="2055"/>
      <c r="BD28" s="2055"/>
      <c r="BE28" s="2055"/>
      <c r="BF28" s="2055"/>
      <c r="BG28" s="2055"/>
      <c r="BH28" s="2055"/>
      <c r="BI28" s="2055"/>
      <c r="BJ28" s="2055"/>
      <c r="BK28" s="2055"/>
      <c r="BL28" s="2055"/>
      <c r="BM28" s="2055"/>
      <c r="BN28" s="2055"/>
      <c r="BO28" s="2055"/>
    </row>
    <row r="29" spans="1:67" s="2602" customFormat="1" ht="28.8">
      <c r="A29" s="2667" t="s">
        <v>594</v>
      </c>
      <c r="B29" s="2668">
        <f ca="1">成本法!C10</f>
        <v>117</v>
      </c>
      <c r="C29" s="2669" t="s">
        <v>595</v>
      </c>
      <c r="D29" s="2663"/>
      <c r="E29" s="1246"/>
      <c r="F29" s="1246"/>
      <c r="G29" s="2646"/>
      <c r="H29" s="2646"/>
      <c r="I29" s="2646"/>
      <c r="J29" s="2646"/>
      <c r="K29" s="2734"/>
      <c r="L29" s="2734"/>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55"/>
      <c r="AT29" s="2055"/>
      <c r="AU29" s="2055"/>
      <c r="AV29" s="2055"/>
      <c r="AW29" s="2055"/>
      <c r="AX29" s="2055"/>
      <c r="AY29" s="2055"/>
      <c r="AZ29" s="2055"/>
      <c r="BA29" s="2055"/>
      <c r="BB29" s="2055"/>
      <c r="BC29" s="2055"/>
      <c r="BD29" s="2055"/>
      <c r="BE29" s="2055"/>
      <c r="BF29" s="2055"/>
      <c r="BG29" s="2055"/>
      <c r="BH29" s="2055"/>
      <c r="BI29" s="2055"/>
      <c r="BJ29" s="2055"/>
      <c r="BK29" s="2055"/>
      <c r="BL29" s="2055"/>
      <c r="BM29" s="2055"/>
      <c r="BN29" s="2055"/>
      <c r="BO29" s="2055"/>
    </row>
    <row r="30" spans="1:67" s="2602" customFormat="1" ht="28.8">
      <c r="A30" s="2670" t="s">
        <v>596</v>
      </c>
      <c r="B30" s="2671">
        <v>200</v>
      </c>
      <c r="C30" s="2666"/>
      <c r="D30" s="2663"/>
      <c r="E30" s="1246"/>
      <c r="F30" s="1246"/>
      <c r="G30" s="2646"/>
      <c r="H30" s="2646"/>
      <c r="I30" s="2646"/>
      <c r="J30" s="2646"/>
      <c r="K30" s="2734"/>
      <c r="L30" s="2734"/>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67"/>
      <c r="AO30" s="2067"/>
      <c r="AP30" s="2067"/>
      <c r="AQ30" s="2067"/>
      <c r="AR30" s="2067"/>
      <c r="AS30" s="2055"/>
      <c r="AT30" s="2055"/>
      <c r="AU30" s="2055"/>
      <c r="AV30" s="2055"/>
      <c r="AW30" s="2055"/>
      <c r="AX30" s="2055"/>
      <c r="AY30" s="2055"/>
      <c r="AZ30" s="2055"/>
      <c r="BA30" s="2055"/>
      <c r="BB30" s="2055"/>
      <c r="BC30" s="2055"/>
      <c r="BD30" s="2055"/>
      <c r="BE30" s="2055"/>
      <c r="BF30" s="2055"/>
      <c r="BG30" s="2055"/>
      <c r="BH30" s="2055"/>
      <c r="BI30" s="2055"/>
      <c r="BJ30" s="2055"/>
      <c r="BK30" s="2055"/>
      <c r="BL30" s="2055"/>
      <c r="BM30" s="2055"/>
      <c r="BN30" s="2055"/>
      <c r="BO30" s="2055"/>
    </row>
    <row r="31" spans="1:67" s="2602" customFormat="1" ht="28.8">
      <c r="A31" s="2664" t="s">
        <v>597</v>
      </c>
      <c r="B31" s="2672">
        <f>B30-B32</f>
        <v>200</v>
      </c>
      <c r="C31" s="2673"/>
      <c r="D31" s="2663"/>
      <c r="E31" s="1246"/>
      <c r="F31" s="1246"/>
      <c r="G31" s="2646"/>
      <c r="H31" s="2646"/>
      <c r="I31" s="2646"/>
      <c r="J31" s="2646"/>
      <c r="K31" s="2734"/>
      <c r="L31" s="2734"/>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55"/>
      <c r="AT31" s="2055"/>
      <c r="AU31" s="2055"/>
      <c r="AV31" s="2055"/>
      <c r="AW31" s="2055"/>
      <c r="AX31" s="2055"/>
      <c r="AY31" s="2055"/>
      <c r="AZ31" s="2055"/>
      <c r="BA31" s="2055"/>
      <c r="BB31" s="2055"/>
      <c r="BC31" s="2055"/>
      <c r="BD31" s="2055"/>
      <c r="BE31" s="2055"/>
      <c r="BF31" s="2055"/>
      <c r="BG31" s="2055"/>
      <c r="BH31" s="2055"/>
      <c r="BI31" s="2055"/>
      <c r="BJ31" s="2055"/>
      <c r="BK31" s="2055"/>
      <c r="BL31" s="2055"/>
      <c r="BM31" s="2055"/>
      <c r="BN31" s="2055"/>
      <c r="BO31" s="2055"/>
    </row>
    <row r="32" spans="1:67" s="2602" customFormat="1" ht="28.8">
      <c r="A32" s="2674" t="s">
        <v>598</v>
      </c>
      <c r="B32" s="2675">
        <v>0</v>
      </c>
      <c r="C32" s="2666"/>
      <c r="D32" s="2647"/>
      <c r="E32" s="2646"/>
      <c r="F32" s="2646"/>
      <c r="G32" s="2646"/>
      <c r="H32" s="2646"/>
      <c r="I32" s="2646"/>
      <c r="J32" s="2646"/>
      <c r="K32" s="2734"/>
      <c r="L32" s="2734"/>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67"/>
      <c r="AO32" s="2067"/>
      <c r="AP32" s="2067"/>
      <c r="AQ32" s="2067"/>
      <c r="AR32" s="2067"/>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row>
    <row r="33" spans="1:67" s="2602" customFormat="1" ht="14.4">
      <c r="A33" s="2660" t="s">
        <v>599</v>
      </c>
      <c r="B33" s="2676">
        <v>0.03</v>
      </c>
      <c r="C33" s="2677" t="s">
        <v>600</v>
      </c>
      <c r="D33" s="2647"/>
      <c r="E33" s="2646"/>
      <c r="F33" s="2646"/>
      <c r="G33" s="2646"/>
      <c r="H33" s="2646"/>
      <c r="I33" s="2646"/>
      <c r="J33" s="2646"/>
      <c r="K33" s="2734"/>
      <c r="L33" s="2734"/>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55"/>
      <c r="AT33" s="2055"/>
      <c r="AU33" s="2055"/>
      <c r="AV33" s="2055"/>
      <c r="AW33" s="2055"/>
      <c r="AX33" s="2055"/>
      <c r="AY33" s="2055"/>
      <c r="AZ33" s="2055"/>
      <c r="BA33" s="2055"/>
      <c r="BB33" s="2055"/>
      <c r="BC33" s="2055"/>
      <c r="BD33" s="2055"/>
      <c r="BE33" s="2055"/>
      <c r="BF33" s="2055"/>
      <c r="BG33" s="2055"/>
      <c r="BH33" s="2055"/>
      <c r="BI33" s="2055"/>
      <c r="BJ33" s="2055"/>
      <c r="BK33" s="2055"/>
      <c r="BL33" s="2055"/>
      <c r="BM33" s="2055"/>
      <c r="BN33" s="2055"/>
      <c r="BO33" s="2055"/>
    </row>
    <row r="34" spans="1:67" s="2602" customFormat="1" ht="14.4">
      <c r="A34" s="2664" t="s">
        <v>601</v>
      </c>
      <c r="B34" s="2678">
        <v>0</v>
      </c>
      <c r="C34" s="2677" t="s">
        <v>602</v>
      </c>
      <c r="D34" s="2679" t="s">
        <v>603</v>
      </c>
      <c r="E34" s="2643"/>
      <c r="F34" s="2646"/>
      <c r="G34" s="2646"/>
      <c r="H34" s="2646"/>
      <c r="I34" s="2646"/>
      <c r="J34" s="2646"/>
      <c r="K34" s="2734"/>
      <c r="L34" s="2734"/>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55"/>
      <c r="AT34" s="2055"/>
      <c r="AU34" s="2055"/>
      <c r="AV34" s="2055"/>
      <c r="AW34" s="2055"/>
      <c r="AX34" s="2055"/>
      <c r="AY34" s="2055"/>
      <c r="AZ34" s="2055"/>
      <c r="BA34" s="2055"/>
      <c r="BB34" s="2055"/>
      <c r="BC34" s="2055"/>
      <c r="BD34" s="2055"/>
      <c r="BE34" s="2055"/>
      <c r="BF34" s="2055"/>
      <c r="BG34" s="2055"/>
      <c r="BH34" s="2055"/>
      <c r="BI34" s="2055"/>
      <c r="BJ34" s="2055"/>
      <c r="BK34" s="2055"/>
      <c r="BL34" s="2055"/>
      <c r="BM34" s="2055"/>
      <c r="BN34" s="2055"/>
      <c r="BO34" s="2055"/>
    </row>
    <row r="35" spans="1:67" s="2602" customFormat="1" ht="14.4">
      <c r="A35" s="2664" t="s">
        <v>604</v>
      </c>
      <c r="B35" s="2665">
        <v>200</v>
      </c>
      <c r="C35" s="2677" t="s">
        <v>605</v>
      </c>
      <c r="D35" s="2663"/>
      <c r="E35" s="1246"/>
      <c r="F35" s="1246"/>
      <c r="G35" s="2646"/>
      <c r="H35" s="2646"/>
      <c r="I35" s="2646"/>
      <c r="J35" s="2646"/>
      <c r="K35" s="2734"/>
      <c r="L35" s="2734"/>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55"/>
      <c r="AT35" s="2055"/>
      <c r="AU35" s="2055"/>
      <c r="AV35" s="2055"/>
      <c r="AW35" s="2055"/>
      <c r="AX35" s="2055"/>
      <c r="AY35" s="2055"/>
      <c r="AZ35" s="2055"/>
      <c r="BA35" s="2055"/>
      <c r="BB35" s="2055"/>
      <c r="BC35" s="2055"/>
      <c r="BD35" s="2055"/>
      <c r="BE35" s="2055"/>
      <c r="BF35" s="2055"/>
      <c r="BG35" s="2055"/>
      <c r="BH35" s="2055"/>
      <c r="BI35" s="2055"/>
      <c r="BJ35" s="2055"/>
      <c r="BK35" s="2055"/>
      <c r="BL35" s="2055"/>
      <c r="BM35" s="2055"/>
      <c r="BN35" s="2055"/>
      <c r="BO35" s="2055"/>
    </row>
    <row r="36" spans="1:67" ht="14.4">
      <c r="A36" s="2667" t="s">
        <v>606</v>
      </c>
      <c r="B36" s="2680">
        <v>1.4999999999999999E-2</v>
      </c>
      <c r="C36" s="2677" t="s">
        <v>607</v>
      </c>
      <c r="D36" s="2647"/>
      <c r="E36" s="2646"/>
      <c r="F36" s="2646"/>
      <c r="G36" s="2646"/>
      <c r="H36" s="2646"/>
      <c r="I36" s="2646"/>
      <c r="J36" s="2646"/>
      <c r="K36" s="2734"/>
      <c r="L36" s="2734"/>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row>
    <row r="37" spans="1:67" ht="14.4">
      <c r="A37" s="2670" t="s">
        <v>608</v>
      </c>
      <c r="B37" s="2681">
        <v>0.02</v>
      </c>
      <c r="C37" s="2677" t="s">
        <v>609</v>
      </c>
      <c r="D37" s="2647"/>
      <c r="E37" s="2646"/>
      <c r="F37" s="2646"/>
      <c r="G37" s="2646"/>
      <c r="H37" s="2646"/>
      <c r="I37" s="2646"/>
      <c r="J37" s="2646"/>
      <c r="K37" s="2734"/>
      <c r="L37" s="2734"/>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c r="AN37" s="2067"/>
      <c r="AO37" s="2067"/>
      <c r="AP37" s="2067"/>
      <c r="AQ37" s="2067"/>
      <c r="AR37" s="2067"/>
    </row>
    <row r="38" spans="1:67" ht="14.4">
      <c r="A38" s="2664" t="s">
        <v>610</v>
      </c>
      <c r="B38" s="2678">
        <v>0.02</v>
      </c>
      <c r="C38" s="2677" t="s">
        <v>609</v>
      </c>
      <c r="D38" s="2647"/>
      <c r="E38" s="2646"/>
      <c r="F38" s="2646"/>
      <c r="G38" s="2646"/>
      <c r="H38" s="2646"/>
      <c r="I38" s="2646"/>
      <c r="J38" s="2646"/>
      <c r="K38" s="2734"/>
      <c r="L38" s="2734"/>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row>
    <row r="39" spans="1:67" ht="14.4">
      <c r="A39" s="2674" t="s">
        <v>611</v>
      </c>
      <c r="B39" s="2682">
        <f ca="1">存贷款利率!I1</f>
        <v>1.4999999999999999E-2</v>
      </c>
      <c r="C39" s="2683"/>
      <c r="D39" s="2647"/>
      <c r="E39" s="2646"/>
      <c r="F39" s="2646"/>
      <c r="G39" s="2646"/>
      <c r="H39" s="2646"/>
      <c r="I39" s="2646"/>
      <c r="J39" s="2646"/>
      <c r="K39" s="2734"/>
      <c r="L39" s="2734"/>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row>
    <row r="40" spans="1:67" ht="13.8">
      <c r="A40" s="2684" t="s">
        <v>612</v>
      </c>
      <c r="B40" s="2685">
        <f ca="1">IF(A40="利息：取LPR",存贷款利率!G1,存贷款利率!G1+C40)</f>
        <v>4.2000000000000003E-2</v>
      </c>
      <c r="C40" s="2686">
        <v>5.0000000000000001E-3</v>
      </c>
      <c r="D40" s="2067"/>
      <c r="E40" s="2647"/>
      <c r="F40" s="2646"/>
      <c r="G40" s="2646"/>
      <c r="H40" s="2646"/>
      <c r="I40" s="2646"/>
      <c r="J40" s="2646"/>
      <c r="K40" s="2734"/>
      <c r="L40" s="2734"/>
      <c r="M40" s="2067"/>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row>
    <row r="41" spans="1:67" ht="14.4">
      <c r="A41" s="2660" t="s">
        <v>613</v>
      </c>
      <c r="B41" s="2687">
        <f>B42+B43</f>
        <v>5.6000000000000001E-2</v>
      </c>
      <c r="C41" s="2673"/>
      <c r="D41" s="2067"/>
      <c r="E41" s="2647"/>
      <c r="F41" s="2646"/>
      <c r="G41" s="2646"/>
      <c r="H41" s="2646"/>
      <c r="I41" s="2646"/>
      <c r="J41" s="2646"/>
      <c r="K41" s="2734"/>
      <c r="L41" s="2734"/>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row>
    <row r="42" spans="1:67" ht="14.4">
      <c r="A42" s="2688" t="s">
        <v>614</v>
      </c>
      <c r="B42" s="2689">
        <v>0.05</v>
      </c>
      <c r="C42" s="2690">
        <f>IF(B2&lt;DATE(2016,5,1),0,B42)</f>
        <v>0.05</v>
      </c>
      <c r="D42" s="2647"/>
      <c r="E42" s="2646"/>
      <c r="F42" s="2646"/>
      <c r="G42" s="2646"/>
      <c r="H42" s="2646"/>
      <c r="I42" s="2646"/>
      <c r="J42" s="2646"/>
      <c r="K42" s="2734"/>
      <c r="L42" s="2734"/>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row>
    <row r="43" spans="1:67" ht="14.4">
      <c r="A43" s="2688" t="s">
        <v>615</v>
      </c>
      <c r="B43" s="2691">
        <f>B42*(B44+B45+B46)+B47</f>
        <v>6.0000000000000001E-3</v>
      </c>
      <c r="C43" s="2673"/>
      <c r="D43" s="2647"/>
      <c r="E43" s="2646"/>
      <c r="F43" s="2646"/>
      <c r="G43" s="2646"/>
      <c r="H43" s="2646"/>
      <c r="I43" s="2646"/>
      <c r="J43" s="2646"/>
      <c r="K43" s="2734"/>
      <c r="L43" s="2734"/>
      <c r="M43" s="2067"/>
      <c r="N43" s="2067"/>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c r="AN43" s="2067"/>
      <c r="AO43" s="2067"/>
      <c r="AP43" s="2067"/>
      <c r="AQ43" s="2067"/>
      <c r="AR43" s="2067"/>
    </row>
    <row r="44" spans="1:67" ht="14.4">
      <c r="A44" s="2692" t="s">
        <v>616</v>
      </c>
      <c r="B44" s="2693">
        <v>7.0000000000000007E-2</v>
      </c>
      <c r="C44" s="2677" t="s">
        <v>617</v>
      </c>
      <c r="D44" s="2647"/>
      <c r="E44" s="2646"/>
      <c r="F44" s="2646"/>
      <c r="G44" s="2646"/>
      <c r="H44" s="2646"/>
      <c r="I44" s="2646"/>
      <c r="J44" s="2646"/>
      <c r="K44" s="2734"/>
      <c r="L44" s="2734"/>
      <c r="M44" s="2067"/>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row>
    <row r="45" spans="1:67" ht="14.4">
      <c r="A45" s="2692" t="s">
        <v>618</v>
      </c>
      <c r="B45" s="2689">
        <v>0.03</v>
      </c>
      <c r="C45" s="2669" t="s">
        <v>619</v>
      </c>
      <c r="D45" s="2647"/>
      <c r="E45" s="2646"/>
      <c r="F45" s="2646"/>
      <c r="G45" s="2646"/>
      <c r="H45" s="2646"/>
      <c r="I45" s="2646"/>
      <c r="J45" s="2646"/>
      <c r="K45" s="2734"/>
      <c r="L45" s="2734"/>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c r="AN45" s="2067"/>
      <c r="AO45" s="2067"/>
      <c r="AP45" s="2067"/>
      <c r="AQ45" s="2067"/>
      <c r="AR45" s="2067"/>
    </row>
    <row r="46" spans="1:67" ht="14.4">
      <c r="A46" s="2692" t="s">
        <v>620</v>
      </c>
      <c r="B46" s="2689">
        <v>0.02</v>
      </c>
      <c r="C46" s="2669" t="s">
        <v>621</v>
      </c>
      <c r="D46" s="2647"/>
      <c r="E46" s="2646"/>
      <c r="F46" s="2646"/>
      <c r="G46" s="2646"/>
      <c r="H46" s="2646"/>
      <c r="I46" s="2646"/>
      <c r="J46" s="2646"/>
      <c r="K46" s="2734"/>
      <c r="L46" s="2734"/>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row>
    <row r="47" spans="1:67" ht="14.4">
      <c r="A47" s="2694" t="s">
        <v>622</v>
      </c>
      <c r="B47" s="2695"/>
      <c r="C47" s="2696" t="s">
        <v>623</v>
      </c>
      <c r="D47" s="2647"/>
      <c r="E47" s="2646"/>
      <c r="F47" s="2646"/>
      <c r="G47" s="2646"/>
      <c r="H47" s="2646"/>
      <c r="I47" s="2646"/>
      <c r="J47" s="2646"/>
      <c r="K47" s="2734"/>
      <c r="L47" s="2734"/>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row>
    <row r="48" spans="1:67" ht="14.4">
      <c r="A48" s="2697" t="s">
        <v>624</v>
      </c>
      <c r="B48" s="2698">
        <v>0.03</v>
      </c>
      <c r="C48" s="2669" t="s">
        <v>619</v>
      </c>
      <c r="D48" s="2647"/>
      <c r="E48" s="2646"/>
      <c r="F48" s="2646"/>
      <c r="G48" s="2646"/>
      <c r="H48" s="2646"/>
      <c r="I48" s="2646"/>
      <c r="J48" s="2646"/>
      <c r="K48" s="2734"/>
      <c r="L48" s="2734"/>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c r="AR48" s="2067"/>
    </row>
    <row r="49" spans="1:44" ht="14.4">
      <c r="A49" s="2674" t="s">
        <v>625</v>
      </c>
      <c r="B49" s="2689">
        <v>5.0000000000000001E-4</v>
      </c>
      <c r="C49" s="2669" t="s">
        <v>626</v>
      </c>
      <c r="D49" s="2647"/>
      <c r="E49" s="2646"/>
      <c r="F49" s="2646"/>
      <c r="G49" s="2646"/>
      <c r="H49" s="2646"/>
      <c r="I49" s="2646"/>
      <c r="J49" s="2646"/>
      <c r="K49" s="2734"/>
      <c r="L49" s="2734"/>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c r="AN49" s="2067"/>
      <c r="AO49" s="2067"/>
      <c r="AP49" s="2067"/>
      <c r="AQ49" s="2067"/>
      <c r="AR49" s="2067"/>
    </row>
    <row r="50" spans="1:44" ht="14.4">
      <c r="A50" s="2699" t="s">
        <v>627</v>
      </c>
      <c r="B50" s="2700">
        <v>1.2E-2</v>
      </c>
      <c r="C50" s="1246"/>
      <c r="D50" s="2647"/>
      <c r="E50" s="2646"/>
      <c r="F50" s="2646"/>
      <c r="G50" s="2646"/>
      <c r="H50" s="2646"/>
      <c r="I50" s="2646"/>
      <c r="J50" s="2646"/>
      <c r="K50" s="2734"/>
      <c r="L50" s="2734"/>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row>
    <row r="51" spans="1:44" ht="14.4">
      <c r="A51" s="2667" t="s">
        <v>628</v>
      </c>
      <c r="B51" s="2701">
        <v>0.12</v>
      </c>
      <c r="C51" s="1246"/>
      <c r="D51" s="2647"/>
      <c r="E51" s="2646"/>
      <c r="F51" s="2646"/>
      <c r="G51" s="2646"/>
      <c r="H51" s="2646"/>
      <c r="I51" s="2646"/>
      <c r="J51" s="2646"/>
      <c r="K51" s="2734"/>
      <c r="L51" s="2734"/>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row>
    <row r="52" spans="1:44" ht="14.4">
      <c r="A52" s="2699" t="s">
        <v>629</v>
      </c>
      <c r="B52" s="2702">
        <f>SUMIF(A54:A63,B53,B54:B63)</f>
        <v>18</v>
      </c>
      <c r="C52" s="1246"/>
      <c r="D52" s="2647"/>
      <c r="E52" s="2646"/>
      <c r="F52" s="2646"/>
      <c r="G52" s="2646"/>
      <c r="H52" s="2646"/>
      <c r="I52" s="2646"/>
      <c r="J52" s="2646"/>
      <c r="K52" s="2734"/>
      <c r="L52" s="2734"/>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row>
    <row r="53" spans="1:44" ht="28.8">
      <c r="A53" s="2664" t="s">
        <v>630</v>
      </c>
      <c r="B53" s="2703" t="s">
        <v>251</v>
      </c>
      <c r="C53" s="1246" t="s">
        <v>631</v>
      </c>
      <c r="D53" s="2704" t="s">
        <v>632</v>
      </c>
      <c r="E53" s="2646"/>
      <c r="F53" s="2646"/>
      <c r="G53" s="2646"/>
      <c r="H53" s="2646"/>
      <c r="I53" s="2646"/>
      <c r="J53" s="2646"/>
      <c r="K53" s="2734"/>
      <c r="L53" s="2734"/>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c r="AN53" s="2067"/>
      <c r="AO53" s="2067"/>
      <c r="AP53" s="2067"/>
      <c r="AQ53" s="2067"/>
      <c r="AR53" s="2067"/>
    </row>
    <row r="54" spans="1:44" ht="14.4">
      <c r="A54" s="2705" t="s">
        <v>633</v>
      </c>
      <c r="B54" s="2706"/>
      <c r="C54" s="1246">
        <v>30</v>
      </c>
      <c r="D54" s="2647"/>
      <c r="E54" s="2646"/>
      <c r="F54" s="2646"/>
      <c r="G54" s="2646"/>
      <c r="H54" s="2646"/>
      <c r="I54" s="2646"/>
      <c r="J54" s="2646"/>
      <c r="K54" s="2734"/>
      <c r="L54" s="2734"/>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row>
    <row r="55" spans="1:44" ht="14.4">
      <c r="A55" s="2705" t="s">
        <v>634</v>
      </c>
      <c r="B55" s="2706"/>
      <c r="C55" s="1246">
        <v>24</v>
      </c>
      <c r="D55" s="2647"/>
      <c r="E55" s="2646"/>
      <c r="F55" s="2646"/>
      <c r="G55" s="2646"/>
      <c r="H55" s="2646"/>
      <c r="I55" s="2735"/>
      <c r="J55" s="2646"/>
      <c r="K55" s="2734"/>
      <c r="L55" s="2734"/>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row>
    <row r="56" spans="1:44" ht="14.4">
      <c r="A56" s="2705" t="s">
        <v>635</v>
      </c>
      <c r="B56" s="2706">
        <v>18</v>
      </c>
      <c r="C56" s="1246">
        <v>18</v>
      </c>
      <c r="D56" s="2647"/>
      <c r="E56" s="2646"/>
      <c r="F56" s="2646"/>
      <c r="G56" s="2646"/>
      <c r="H56" s="2646"/>
      <c r="I56" s="2646"/>
      <c r="J56" s="2646"/>
      <c r="K56" s="2734"/>
      <c r="L56" s="2734"/>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c r="AN56" s="2067"/>
      <c r="AO56" s="2067"/>
      <c r="AP56" s="2067"/>
      <c r="AQ56" s="2067"/>
      <c r="AR56" s="2067"/>
    </row>
    <row r="57" spans="1:44" ht="14.4">
      <c r="A57" s="2705" t="s">
        <v>636</v>
      </c>
      <c r="B57" s="2707"/>
      <c r="C57" s="1246">
        <v>12</v>
      </c>
      <c r="D57" s="2647"/>
      <c r="E57" s="2646"/>
      <c r="F57" s="2646"/>
      <c r="G57" s="2646"/>
      <c r="H57" s="2646"/>
      <c r="I57" s="2646"/>
      <c r="J57" s="2646"/>
      <c r="K57" s="2734"/>
      <c r="L57" s="2734"/>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row>
    <row r="58" spans="1:44" ht="14.4">
      <c r="A58" s="2705" t="s">
        <v>637</v>
      </c>
      <c r="B58" s="2706"/>
      <c r="C58" s="1246">
        <v>3</v>
      </c>
      <c r="D58" s="2647"/>
      <c r="E58" s="2646"/>
      <c r="F58" s="2646"/>
      <c r="G58" s="2646"/>
      <c r="H58" s="2646"/>
      <c r="I58" s="2646"/>
      <c r="J58" s="2646"/>
      <c r="K58" s="2734"/>
      <c r="L58" s="2734"/>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c r="AN58" s="2067"/>
      <c r="AO58" s="2067"/>
      <c r="AP58" s="2067"/>
      <c r="AQ58" s="2067"/>
      <c r="AR58" s="2067"/>
    </row>
    <row r="59" spans="1:44" ht="14.4">
      <c r="A59" s="2705" t="s">
        <v>638</v>
      </c>
      <c r="B59" s="2706"/>
      <c r="C59" s="1246">
        <v>1.5</v>
      </c>
      <c r="D59" s="2647"/>
      <c r="E59" s="2646"/>
      <c r="F59" s="2646"/>
      <c r="G59" s="2646"/>
      <c r="H59" s="2646"/>
      <c r="I59" s="2646"/>
      <c r="J59" s="2646"/>
      <c r="K59" s="2734"/>
      <c r="L59" s="2734"/>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c r="AN59" s="2067"/>
      <c r="AO59" s="2067"/>
      <c r="AP59" s="2067"/>
      <c r="AQ59" s="2067"/>
      <c r="AR59" s="2067"/>
    </row>
    <row r="60" spans="1:44" ht="14.4">
      <c r="A60" s="2705" t="s">
        <v>639</v>
      </c>
      <c r="B60" s="2706"/>
      <c r="C60" s="2646"/>
      <c r="D60" s="2647"/>
      <c r="E60" s="2646"/>
      <c r="F60" s="2646"/>
      <c r="G60" s="2646"/>
      <c r="H60" s="2646"/>
      <c r="I60" s="2646"/>
      <c r="J60" s="2646"/>
      <c r="K60" s="2734"/>
      <c r="L60" s="2734"/>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row>
    <row r="61" spans="1:44" ht="14.4">
      <c r="A61" s="2705" t="s">
        <v>640</v>
      </c>
      <c r="B61" s="2706"/>
      <c r="C61" s="2646"/>
      <c r="D61" s="2647"/>
      <c r="E61" s="2646"/>
      <c r="F61" s="2646"/>
      <c r="G61" s="2646"/>
      <c r="H61" s="2646"/>
      <c r="I61" s="2646"/>
      <c r="J61" s="2646"/>
      <c r="K61" s="2734"/>
      <c r="L61" s="2734"/>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row>
    <row r="62" spans="1:44" ht="14.4">
      <c r="A62" s="2705" t="s">
        <v>641</v>
      </c>
      <c r="B62" s="2706"/>
      <c r="C62" s="2646"/>
      <c r="D62" s="2647"/>
      <c r="E62" s="2646"/>
      <c r="F62" s="2646"/>
      <c r="G62" s="2646"/>
      <c r="H62" s="2646"/>
      <c r="I62" s="2646"/>
      <c r="J62" s="2646"/>
      <c r="K62" s="2734"/>
      <c r="L62" s="2734"/>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row>
    <row r="63" spans="1:44" ht="14.4">
      <c r="A63" s="2708" t="s">
        <v>642</v>
      </c>
      <c r="B63" s="2709"/>
      <c r="C63" s="2646"/>
      <c r="D63" s="2647"/>
      <c r="E63" s="2646"/>
      <c r="F63" s="2646"/>
      <c r="G63" s="2646"/>
      <c r="H63" s="2646"/>
      <c r="I63" s="2646"/>
      <c r="J63" s="2646"/>
      <c r="K63" s="2734"/>
      <c r="L63" s="2734"/>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row>
    <row r="64" spans="1:44" s="2140" customFormat="1">
      <c r="A64" s="2710"/>
      <c r="B64" s="2067"/>
      <c r="C64" s="2067"/>
      <c r="D64" s="2644"/>
      <c r="E64" s="2067"/>
      <c r="F64" s="2067"/>
      <c r="G64" s="2067"/>
      <c r="H64" s="2067"/>
      <c r="I64" s="2067"/>
      <c r="J64" s="2067"/>
      <c r="K64" s="2734"/>
      <c r="L64" s="2734"/>
      <c r="M64" s="2067"/>
      <c r="N64" s="2067"/>
      <c r="O64" s="2067"/>
      <c r="P64" s="2067"/>
      <c r="Q64" s="2067"/>
      <c r="R64" s="2067"/>
      <c r="S64" s="2067"/>
      <c r="T64" s="2067"/>
      <c r="U64" s="2067"/>
      <c r="V64" s="2067"/>
      <c r="W64" s="2067"/>
      <c r="X64" s="2067"/>
      <c r="Y64" s="2067"/>
      <c r="Z64" s="2067"/>
      <c r="AA64" s="2067"/>
      <c r="AB64" s="2067"/>
      <c r="AC64" s="2067"/>
      <c r="AD64" s="2067"/>
      <c r="AE64" s="2067"/>
      <c r="AF64" s="2067"/>
      <c r="AG64" s="2067"/>
      <c r="AH64" s="2067"/>
      <c r="AI64" s="2067"/>
      <c r="AJ64" s="2067"/>
      <c r="AK64" s="2067"/>
      <c r="AL64" s="2067"/>
      <c r="AM64" s="2067"/>
      <c r="AN64" s="2067"/>
      <c r="AO64" s="2067"/>
      <c r="AP64" s="2067"/>
      <c r="AQ64" s="2067"/>
      <c r="AR64" s="2067"/>
    </row>
    <row r="65" spans="1:44" s="2140" customFormat="1">
      <c r="A65" s="2710"/>
      <c r="B65" s="2067"/>
      <c r="C65" s="2067"/>
      <c r="D65" s="2644"/>
      <c r="E65" s="2067"/>
      <c r="F65" s="2067"/>
      <c r="G65" s="2067"/>
      <c r="H65" s="2067"/>
      <c r="I65" s="2067"/>
      <c r="J65" s="2067"/>
      <c r="K65" s="2734"/>
      <c r="L65" s="2734"/>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row>
    <row r="66" spans="1:44" s="2140" customFormat="1">
      <c r="A66" s="2710"/>
      <c r="B66" s="2067"/>
      <c r="C66" s="2067"/>
      <c r="D66" s="2644"/>
      <c r="E66" s="2067"/>
      <c r="F66" s="2067"/>
      <c r="G66" s="2067"/>
      <c r="H66" s="2067"/>
      <c r="I66" s="2067"/>
      <c r="J66" s="2067"/>
      <c r="K66" s="2734"/>
      <c r="L66" s="2734"/>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7"/>
      <c r="AK66" s="2067"/>
      <c r="AL66" s="2067"/>
      <c r="AM66" s="2067"/>
      <c r="AN66" s="2067"/>
      <c r="AO66" s="2067"/>
      <c r="AP66" s="2067"/>
      <c r="AQ66" s="2067"/>
      <c r="AR66" s="2067"/>
    </row>
    <row r="67" spans="1:44" s="2140" customFormat="1">
      <c r="A67" s="2710"/>
      <c r="B67" s="2067"/>
      <c r="C67" s="2067"/>
      <c r="D67" s="2644"/>
      <c r="E67" s="2067"/>
      <c r="F67" s="2067"/>
      <c r="G67" s="2067"/>
      <c r="H67" s="2067"/>
      <c r="I67" s="2067"/>
      <c r="J67" s="2067"/>
      <c r="K67" s="2734"/>
      <c r="L67" s="2734"/>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7"/>
      <c r="AJ67" s="2067"/>
      <c r="AK67" s="2067"/>
      <c r="AL67" s="2067"/>
      <c r="AM67" s="2067"/>
      <c r="AN67" s="2067"/>
      <c r="AO67" s="2067"/>
      <c r="AP67" s="2067"/>
      <c r="AQ67" s="2067"/>
      <c r="AR67" s="2067"/>
    </row>
    <row r="68" spans="1:44" s="2140" customFormat="1">
      <c r="A68" s="2710"/>
      <c r="B68" s="2067"/>
      <c r="C68" s="2067"/>
      <c r="D68" s="2644"/>
      <c r="E68" s="2067"/>
      <c r="F68" s="2067"/>
      <c r="G68" s="2067"/>
      <c r="H68" s="2067"/>
      <c r="I68" s="2067"/>
      <c r="J68" s="2067"/>
      <c r="K68" s="2734"/>
      <c r="L68" s="2734"/>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67"/>
      <c r="AI68" s="2067"/>
      <c r="AJ68" s="2067"/>
      <c r="AK68" s="2067"/>
      <c r="AL68" s="2067"/>
      <c r="AM68" s="2067"/>
      <c r="AN68" s="2067"/>
      <c r="AO68" s="2067"/>
      <c r="AP68" s="2067"/>
      <c r="AQ68" s="2067"/>
      <c r="AR68" s="2067"/>
    </row>
    <row r="69" spans="1:44" s="2140" customFormat="1">
      <c r="A69" s="2511"/>
      <c r="D69" s="2799"/>
      <c r="K69" s="335"/>
      <c r="L69" s="335"/>
    </row>
    <row r="70" spans="1:44" s="2140" customFormat="1">
      <c r="A70" s="2511"/>
      <c r="D70" s="2799"/>
      <c r="K70" s="335"/>
      <c r="L70" s="335"/>
    </row>
    <row r="71" spans="1:44" s="2140" customFormat="1">
      <c r="A71" s="2511"/>
      <c r="D71" s="2799"/>
      <c r="K71" s="335"/>
      <c r="L71" s="335"/>
    </row>
    <row r="72" spans="1:44" s="2140" customFormat="1">
      <c r="A72" s="2511"/>
      <c r="D72" s="2799"/>
      <c r="K72" s="335"/>
      <c r="L72" s="335"/>
    </row>
    <row r="73" spans="1:44" s="2140" customFormat="1">
      <c r="A73" s="2511"/>
      <c r="D73" s="2799"/>
      <c r="K73" s="335"/>
      <c r="L73" s="335"/>
    </row>
    <row r="74" spans="1:44" s="2140" customFormat="1">
      <c r="A74" s="2511"/>
      <c r="D74" s="2799"/>
      <c r="K74" s="335"/>
      <c r="L74" s="335"/>
    </row>
    <row r="75" spans="1:44" s="2140" customFormat="1">
      <c r="A75" s="2511"/>
      <c r="D75" s="2799"/>
      <c r="K75" s="335"/>
      <c r="L75" s="335"/>
    </row>
    <row r="76" spans="1:44" s="2140" customFormat="1">
      <c r="A76" s="2511"/>
      <c r="D76" s="2799"/>
      <c r="K76" s="335"/>
      <c r="L76" s="335"/>
    </row>
    <row r="77" spans="1:44" s="2140" customFormat="1">
      <c r="A77" s="2511"/>
      <c r="D77" s="2799"/>
      <c r="K77" s="335"/>
      <c r="L77" s="335"/>
    </row>
    <row r="78" spans="1:44" s="2140" customFormat="1">
      <c r="A78" s="2511"/>
      <c r="D78" s="2799"/>
      <c r="K78" s="335"/>
      <c r="L78" s="335"/>
    </row>
    <row r="79" spans="1:44" s="2140" customFormat="1">
      <c r="A79" s="2511"/>
      <c r="D79" s="2799"/>
      <c r="K79" s="335"/>
      <c r="L79" s="335"/>
    </row>
    <row r="80" spans="1:44" s="2140" customFormat="1">
      <c r="A80" s="2511"/>
      <c r="D80" s="2799"/>
      <c r="K80" s="335"/>
      <c r="L80" s="335"/>
    </row>
    <row r="81" spans="1:12" s="2140" customFormat="1">
      <c r="A81" s="2511"/>
      <c r="D81" s="2799"/>
      <c r="K81" s="335"/>
      <c r="L81" s="335"/>
    </row>
    <row r="82" spans="1:12" s="2140" customFormat="1">
      <c r="A82" s="2511"/>
      <c r="D82" s="2799"/>
      <c r="K82" s="335"/>
      <c r="L82" s="335"/>
    </row>
    <row r="83" spans="1:12" s="2140" customFormat="1">
      <c r="A83" s="2511"/>
      <c r="D83" s="2799"/>
      <c r="K83" s="335"/>
      <c r="L83" s="335"/>
    </row>
    <row r="84" spans="1:12" s="2140" customFormat="1">
      <c r="A84" s="2511"/>
      <c r="D84" s="2799"/>
      <c r="K84" s="335"/>
      <c r="L84" s="335"/>
    </row>
    <row r="85" spans="1:12" s="2140" customFormat="1">
      <c r="A85" s="2511"/>
      <c r="D85" s="2799"/>
      <c r="K85" s="335"/>
      <c r="L85" s="335"/>
    </row>
    <row r="86" spans="1:12" s="2140" customFormat="1">
      <c r="A86" s="2511"/>
      <c r="D86" s="2799"/>
      <c r="K86" s="335"/>
      <c r="L86" s="335"/>
    </row>
    <row r="87" spans="1:12" s="2140" customFormat="1">
      <c r="A87" s="2511"/>
      <c r="D87" s="2799"/>
      <c r="K87" s="335"/>
      <c r="L87" s="335"/>
    </row>
    <row r="88" spans="1:12" s="2140" customFormat="1">
      <c r="A88" s="2511"/>
      <c r="D88" s="2799"/>
      <c r="K88" s="335"/>
      <c r="L88" s="335"/>
    </row>
    <row r="89" spans="1:12" s="2140" customFormat="1">
      <c r="A89" s="2511"/>
      <c r="D89" s="2799"/>
      <c r="K89" s="335"/>
      <c r="L89" s="335"/>
    </row>
    <row r="90" spans="1:12" s="2140" customFormat="1">
      <c r="A90" s="2511"/>
      <c r="D90" s="2799"/>
      <c r="K90" s="335"/>
      <c r="L90" s="335"/>
    </row>
    <row r="91" spans="1:12" s="2140" customFormat="1">
      <c r="A91" s="2511"/>
      <c r="D91" s="2799"/>
      <c r="K91" s="335"/>
      <c r="L91" s="335"/>
    </row>
    <row r="92" spans="1:12" s="2140" customFormat="1">
      <c r="A92" s="2511"/>
      <c r="D92" s="2799"/>
      <c r="K92" s="335"/>
      <c r="L92" s="335"/>
    </row>
    <row r="93" spans="1:12" s="2140" customFormat="1">
      <c r="A93" s="2511"/>
      <c r="D93" s="2799"/>
      <c r="K93" s="335"/>
      <c r="L93" s="335"/>
    </row>
    <row r="94" spans="1:12" s="2140" customFormat="1">
      <c r="A94" s="2511"/>
      <c r="D94" s="2799"/>
      <c r="K94" s="335"/>
      <c r="L94" s="335"/>
    </row>
    <row r="95" spans="1:12" s="2140" customFormat="1">
      <c r="A95" s="2511"/>
      <c r="D95" s="2799"/>
      <c r="K95" s="335"/>
      <c r="L95" s="335"/>
    </row>
    <row r="96" spans="1:12" s="2140" customFormat="1">
      <c r="A96" s="2511"/>
      <c r="D96" s="2799"/>
      <c r="K96" s="335"/>
      <c r="L96" s="335"/>
    </row>
    <row r="97" spans="1:12" s="2140" customFormat="1">
      <c r="A97" s="2511"/>
      <c r="D97" s="2799"/>
      <c r="K97" s="335"/>
      <c r="L97" s="335"/>
    </row>
    <row r="98" spans="1:12" s="2140" customFormat="1">
      <c r="A98" s="2511"/>
      <c r="D98" s="2799"/>
      <c r="K98" s="335"/>
      <c r="L98" s="335"/>
    </row>
    <row r="99" spans="1:12" s="2140" customFormat="1">
      <c r="A99" s="2511"/>
      <c r="D99" s="2799"/>
      <c r="K99" s="335"/>
      <c r="L99" s="335"/>
    </row>
    <row r="100" spans="1:12" s="2140" customFormat="1">
      <c r="A100" s="2511"/>
      <c r="D100" s="2799"/>
      <c r="K100" s="335"/>
      <c r="L100" s="335"/>
    </row>
    <row r="101" spans="1:12" s="2140" customFormat="1">
      <c r="A101" s="2511"/>
      <c r="D101" s="2799"/>
      <c r="K101" s="335"/>
      <c r="L101" s="335"/>
    </row>
    <row r="102" spans="1:12" s="2140" customFormat="1">
      <c r="A102" s="2511"/>
      <c r="D102" s="2799"/>
      <c r="K102" s="335"/>
      <c r="L102" s="335"/>
    </row>
    <row r="103" spans="1:12" s="2140" customFormat="1">
      <c r="A103" s="2511"/>
      <c r="D103" s="2799"/>
      <c r="K103" s="335"/>
      <c r="L103" s="335"/>
    </row>
    <row r="104" spans="1:12" s="2140" customFormat="1">
      <c r="A104" s="2511"/>
      <c r="D104" s="2799"/>
      <c r="K104" s="335"/>
      <c r="L104" s="335"/>
    </row>
    <row r="105" spans="1:12" s="2140" customFormat="1">
      <c r="A105" s="2511"/>
      <c r="D105" s="2799"/>
      <c r="K105" s="335"/>
      <c r="L105" s="335"/>
    </row>
    <row r="106" spans="1:12" s="2140" customFormat="1">
      <c r="A106" s="2511"/>
      <c r="D106" s="2799"/>
      <c r="K106" s="335"/>
      <c r="L106" s="335"/>
    </row>
    <row r="107" spans="1:12" s="2140" customFormat="1">
      <c r="A107" s="2511"/>
      <c r="D107" s="2799"/>
      <c r="K107" s="335"/>
      <c r="L107" s="335"/>
    </row>
    <row r="108" spans="1:12" s="2140" customFormat="1">
      <c r="A108" s="2511"/>
      <c r="D108" s="2799"/>
      <c r="K108" s="335"/>
      <c r="L108" s="335"/>
    </row>
    <row r="109" spans="1:12" s="2140" customFormat="1">
      <c r="A109" s="2511"/>
      <c r="D109" s="2799"/>
      <c r="K109" s="335"/>
      <c r="L109" s="335"/>
    </row>
    <row r="110" spans="1:12" s="2140" customFormat="1">
      <c r="A110" s="2511"/>
      <c r="D110" s="2799"/>
      <c r="K110" s="335"/>
      <c r="L110" s="335"/>
    </row>
    <row r="111" spans="1:12" s="2140" customFormat="1">
      <c r="A111" s="2511"/>
      <c r="D111" s="2799"/>
      <c r="K111" s="335"/>
      <c r="L111" s="335"/>
    </row>
    <row r="112" spans="1:12" s="2140" customFormat="1">
      <c r="A112" s="2511"/>
      <c r="D112" s="2799"/>
      <c r="K112" s="335"/>
      <c r="L112" s="335"/>
    </row>
    <row r="113" spans="1:12" s="2140" customFormat="1">
      <c r="A113" s="2511"/>
      <c r="D113" s="2799"/>
      <c r="K113" s="335"/>
      <c r="L113" s="335"/>
    </row>
    <row r="114" spans="1:12" s="2140" customFormat="1">
      <c r="A114" s="2511"/>
      <c r="D114" s="2799"/>
      <c r="K114" s="335"/>
      <c r="L114" s="335"/>
    </row>
    <row r="115" spans="1:12" s="2140" customFormat="1">
      <c r="A115" s="2511"/>
      <c r="D115" s="2799"/>
      <c r="K115" s="335"/>
      <c r="L115" s="335"/>
    </row>
    <row r="116" spans="1:12" s="2140" customFormat="1">
      <c r="A116" s="2511"/>
      <c r="D116" s="2799"/>
      <c r="K116" s="335"/>
      <c r="L116" s="335"/>
    </row>
    <row r="117" spans="1:12" s="2140" customFormat="1">
      <c r="A117" s="2511"/>
      <c r="D117" s="2799"/>
      <c r="K117" s="335"/>
      <c r="L117" s="335"/>
    </row>
    <row r="118" spans="1:12" s="2140" customFormat="1">
      <c r="A118" s="2511"/>
      <c r="D118" s="2799"/>
      <c r="K118" s="335"/>
      <c r="L118" s="335"/>
    </row>
    <row r="119" spans="1:12" s="2140" customFormat="1">
      <c r="A119" s="2511"/>
      <c r="D119" s="2799"/>
      <c r="K119" s="335"/>
      <c r="L119" s="335"/>
    </row>
    <row r="120" spans="1:12" s="2140" customFormat="1">
      <c r="A120" s="2511"/>
      <c r="D120" s="2799"/>
      <c r="K120" s="335"/>
      <c r="L120" s="335"/>
    </row>
    <row r="121" spans="1:12" s="2140" customFormat="1">
      <c r="A121" s="2511"/>
      <c r="D121" s="2799"/>
      <c r="K121" s="335"/>
      <c r="L121" s="335"/>
    </row>
    <row r="122" spans="1:12" s="2140" customFormat="1">
      <c r="A122" s="2511"/>
      <c r="D122" s="2799"/>
      <c r="K122" s="335"/>
      <c r="L122" s="335"/>
    </row>
    <row r="123" spans="1:12" s="2140" customFormat="1">
      <c r="A123" s="2511"/>
      <c r="D123" s="2799"/>
      <c r="K123" s="335"/>
      <c r="L123" s="335"/>
    </row>
    <row r="124" spans="1:12" s="2140" customFormat="1">
      <c r="A124" s="2511"/>
      <c r="D124" s="2799"/>
      <c r="K124" s="335"/>
      <c r="L124" s="335"/>
    </row>
    <row r="125" spans="1:12" s="2140" customFormat="1">
      <c r="A125" s="2511"/>
      <c r="D125" s="2799"/>
      <c r="K125" s="335"/>
      <c r="L125" s="335"/>
    </row>
    <row r="126" spans="1:12" s="2140" customFormat="1">
      <c r="A126" s="2511"/>
      <c r="D126" s="2799"/>
      <c r="K126" s="335"/>
      <c r="L126" s="335"/>
    </row>
    <row r="127" spans="1:12" s="2140" customFormat="1">
      <c r="A127" s="2511"/>
      <c r="D127" s="2799"/>
      <c r="K127" s="335"/>
      <c r="L127" s="335"/>
    </row>
    <row r="128" spans="1:12" s="2140" customFormat="1">
      <c r="A128" s="2511"/>
      <c r="D128" s="2799"/>
      <c r="K128" s="335"/>
      <c r="L128" s="335"/>
    </row>
    <row r="129" spans="1:12" s="2140" customFormat="1">
      <c r="A129" s="2511"/>
      <c r="D129" s="2799"/>
      <c r="K129" s="335"/>
      <c r="L129" s="335"/>
    </row>
    <row r="130" spans="1:12" s="2140" customFormat="1">
      <c r="A130" s="2511"/>
      <c r="D130" s="2799"/>
      <c r="K130" s="335"/>
      <c r="L130" s="335"/>
    </row>
    <row r="131" spans="1:12" s="2140" customFormat="1">
      <c r="A131" s="2511"/>
      <c r="D131" s="2799"/>
      <c r="K131" s="335"/>
      <c r="L131" s="335"/>
    </row>
    <row r="132" spans="1:12" s="2140" customFormat="1">
      <c r="A132" s="2511"/>
      <c r="D132" s="2799"/>
      <c r="K132" s="335"/>
      <c r="L132" s="335"/>
    </row>
    <row r="133" spans="1:12" s="2140" customFormat="1">
      <c r="A133" s="2511"/>
      <c r="D133" s="2799"/>
      <c r="K133" s="335"/>
      <c r="L133" s="335"/>
    </row>
    <row r="134" spans="1:12" s="2603" customFormat="1">
      <c r="A134" s="2800"/>
      <c r="D134" s="2801"/>
      <c r="K134" s="237"/>
      <c r="L134" s="237"/>
    </row>
    <row r="135" spans="1:12" s="2603" customFormat="1">
      <c r="A135" s="2800"/>
      <c r="D135" s="2801"/>
      <c r="K135" s="237"/>
      <c r="L135" s="237"/>
    </row>
    <row r="136" spans="1:12" s="2603" customFormat="1">
      <c r="A136" s="2800"/>
      <c r="D136" s="2801"/>
      <c r="K136" s="237"/>
      <c r="L136" s="237"/>
    </row>
    <row r="137" spans="1:12" s="2603" customFormat="1">
      <c r="A137" s="2800"/>
      <c r="D137" s="2801"/>
      <c r="K137" s="237"/>
      <c r="L137" s="237"/>
    </row>
    <row r="138" spans="1:12" s="2603" customFormat="1">
      <c r="A138" s="2800"/>
      <c r="D138" s="2801"/>
      <c r="K138" s="237"/>
      <c r="L138" s="237"/>
    </row>
    <row r="139" spans="1:12" s="2603" customFormat="1">
      <c r="A139" s="2800"/>
      <c r="D139" s="2801"/>
      <c r="K139" s="237"/>
      <c r="L139" s="237"/>
    </row>
    <row r="140" spans="1:12" s="2603" customFormat="1">
      <c r="A140" s="2800"/>
      <c r="D140" s="2801"/>
      <c r="K140" s="237"/>
      <c r="L140" s="237"/>
    </row>
    <row r="141" spans="1:12" s="2603" customFormat="1">
      <c r="A141" s="2800"/>
      <c r="D141" s="2801"/>
      <c r="K141" s="237"/>
      <c r="L141" s="237"/>
    </row>
    <row r="142" spans="1:12" s="2603" customFormat="1">
      <c r="A142" s="2800"/>
      <c r="D142" s="2801"/>
      <c r="K142" s="237"/>
      <c r="L142" s="237"/>
    </row>
    <row r="143" spans="1:12" s="2603" customFormat="1">
      <c r="A143" s="2800"/>
      <c r="D143" s="2801"/>
      <c r="K143" s="237"/>
      <c r="L143" s="237"/>
    </row>
    <row r="144" spans="1:12" s="2603" customFormat="1">
      <c r="A144" s="2800"/>
      <c r="D144" s="2801"/>
      <c r="K144" s="237"/>
      <c r="L144" s="237"/>
    </row>
    <row r="145" spans="1:12" s="2603" customFormat="1">
      <c r="A145" s="2800"/>
      <c r="D145" s="2801"/>
      <c r="K145" s="237"/>
      <c r="L145" s="237"/>
    </row>
    <row r="146" spans="1:12" s="2603" customFormat="1">
      <c r="A146" s="2800"/>
      <c r="D146" s="2801"/>
      <c r="K146" s="237"/>
      <c r="L146" s="237"/>
    </row>
    <row r="147" spans="1:12" s="2603" customFormat="1">
      <c r="A147" s="2800"/>
      <c r="D147" s="2801"/>
      <c r="K147" s="237"/>
      <c r="L147" s="237"/>
    </row>
    <row r="148" spans="1:12" s="2603" customFormat="1">
      <c r="A148" s="2800"/>
      <c r="D148" s="2801"/>
      <c r="K148" s="237"/>
      <c r="L148" s="237"/>
    </row>
    <row r="149" spans="1:12" s="2603" customFormat="1">
      <c r="A149" s="2800"/>
      <c r="D149" s="2801"/>
      <c r="K149" s="237"/>
      <c r="L149" s="237"/>
    </row>
    <row r="150" spans="1:12" s="2603" customFormat="1">
      <c r="A150" s="2800"/>
      <c r="D150" s="2801"/>
      <c r="K150" s="237"/>
      <c r="L150" s="237"/>
    </row>
    <row r="151" spans="1:12" s="2603" customFormat="1">
      <c r="A151" s="2800"/>
      <c r="D151" s="2801"/>
      <c r="K151" s="237"/>
      <c r="L151" s="237"/>
    </row>
    <row r="152" spans="1:12" s="2603" customFormat="1">
      <c r="A152" s="2800"/>
      <c r="D152" s="2801"/>
      <c r="K152" s="237"/>
      <c r="L152" s="237"/>
    </row>
    <row r="153" spans="1:12" s="2603" customFormat="1">
      <c r="A153" s="2800"/>
      <c r="D153" s="2801"/>
      <c r="K153" s="237"/>
      <c r="L153" s="237"/>
    </row>
    <row r="154" spans="1:12" s="2603" customFormat="1">
      <c r="A154" s="2800"/>
      <c r="D154" s="2801"/>
      <c r="K154" s="237"/>
      <c r="L154" s="237"/>
    </row>
    <row r="155" spans="1:12" s="2603" customFormat="1">
      <c r="A155" s="2800"/>
      <c r="D155" s="2801"/>
      <c r="K155" s="237"/>
      <c r="L155" s="237"/>
    </row>
    <row r="156" spans="1:12" s="2603" customFormat="1">
      <c r="A156" s="2800"/>
      <c r="D156" s="2801"/>
      <c r="K156" s="237"/>
      <c r="L156" s="237"/>
    </row>
    <row r="157" spans="1:12" s="2603" customFormat="1">
      <c r="A157" s="2800"/>
      <c r="D157" s="2801"/>
      <c r="K157" s="237"/>
      <c r="L157" s="237"/>
    </row>
    <row r="158" spans="1:12" s="2603" customFormat="1">
      <c r="A158" s="2800"/>
      <c r="D158" s="2801"/>
      <c r="K158" s="237"/>
      <c r="L158" s="237"/>
    </row>
    <row r="159" spans="1:12" s="2603" customFormat="1">
      <c r="A159" s="2800"/>
      <c r="D159" s="2801"/>
      <c r="K159" s="237"/>
      <c r="L159" s="237"/>
    </row>
    <row r="160" spans="1:12" s="2603" customFormat="1">
      <c r="A160" s="2800"/>
      <c r="D160" s="2801"/>
      <c r="K160" s="237"/>
      <c r="L160" s="237"/>
    </row>
    <row r="161" spans="1:12" s="2603" customFormat="1">
      <c r="A161" s="2800"/>
      <c r="D161" s="2801"/>
      <c r="K161" s="237"/>
      <c r="L161" s="237"/>
    </row>
    <row r="162" spans="1:12" s="2603" customFormat="1">
      <c r="A162" s="2800"/>
      <c r="D162" s="2801"/>
      <c r="K162" s="237"/>
      <c r="L162" s="237"/>
    </row>
    <row r="163" spans="1:12" s="2603" customFormat="1">
      <c r="A163" s="2800"/>
      <c r="D163" s="2801"/>
      <c r="K163" s="237"/>
      <c r="L163" s="237"/>
    </row>
    <row r="164" spans="1:12" s="2603" customFormat="1">
      <c r="A164" s="2800"/>
      <c r="D164" s="2801"/>
      <c r="K164" s="237"/>
      <c r="L164" s="237"/>
    </row>
    <row r="165" spans="1:12" s="2603" customFormat="1">
      <c r="A165" s="2800"/>
      <c r="D165" s="2801"/>
      <c r="K165" s="237"/>
      <c r="L165" s="237"/>
    </row>
    <row r="166" spans="1:12" s="2603" customFormat="1">
      <c r="A166" s="2800"/>
      <c r="D166" s="2801"/>
      <c r="K166" s="237"/>
      <c r="L166" s="237"/>
    </row>
    <row r="167" spans="1:12" s="2603" customFormat="1">
      <c r="A167" s="2800"/>
      <c r="D167" s="2801"/>
      <c r="K167" s="237"/>
      <c r="L167" s="237"/>
    </row>
    <row r="168" spans="1:12" s="2603" customFormat="1">
      <c r="A168" s="2800"/>
      <c r="D168" s="2801"/>
      <c r="K168" s="237"/>
      <c r="L168" s="237"/>
    </row>
    <row r="169" spans="1:12" s="2603" customFormat="1">
      <c r="A169" s="2800"/>
      <c r="D169" s="2801"/>
      <c r="K169" s="237"/>
      <c r="L169" s="237"/>
    </row>
    <row r="170" spans="1:12" s="2603" customFormat="1">
      <c r="A170" s="2800"/>
      <c r="D170" s="2801"/>
      <c r="K170" s="237"/>
      <c r="L170" s="237"/>
    </row>
    <row r="171" spans="1:12" s="2603" customFormat="1">
      <c r="A171" s="2800"/>
      <c r="D171" s="2801"/>
      <c r="K171" s="237"/>
      <c r="L171" s="237"/>
    </row>
    <row r="172" spans="1:12" s="2603" customFormat="1">
      <c r="A172" s="2800"/>
      <c r="D172" s="2801"/>
      <c r="K172" s="237"/>
      <c r="L172" s="237"/>
    </row>
    <row r="173" spans="1:12" s="2603" customFormat="1">
      <c r="A173" s="2800"/>
      <c r="D173" s="2801"/>
      <c r="K173" s="237"/>
      <c r="L173" s="237"/>
    </row>
    <row r="174" spans="1:12" s="2603" customFormat="1">
      <c r="A174" s="2800"/>
      <c r="D174" s="2801"/>
      <c r="K174" s="237"/>
      <c r="L174" s="237"/>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31" customWidth="1"/>
    <col min="2" max="2" width="24.44140625" style="2532" customWidth="1"/>
    <col min="3" max="3" width="24.44140625" style="2533" customWidth="1"/>
    <col min="4" max="4" width="2.6640625" style="2533" customWidth="1"/>
    <col min="5" max="5" width="5.88671875" style="2533" customWidth="1"/>
    <col min="6" max="6" width="27" style="2532" customWidth="1"/>
    <col min="7" max="7" width="27" style="2534" customWidth="1"/>
    <col min="8" max="8" width="11.88671875" style="2535" customWidth="1"/>
    <col min="9" max="9" width="16.77734375" style="2536" customWidth="1"/>
    <col min="10" max="10" width="2.6640625" style="2535" customWidth="1"/>
    <col min="11" max="11" width="11.88671875" style="2535" customWidth="1"/>
    <col min="12" max="12" width="16.77734375" style="2536" customWidth="1"/>
    <col min="13" max="13" width="2.6640625" style="2535" customWidth="1"/>
    <col min="14" max="14" width="11.88671875" style="2535" customWidth="1"/>
    <col min="15" max="15" width="16.77734375" style="2536" customWidth="1"/>
    <col min="16" max="16" width="2.6640625" style="2535" customWidth="1"/>
    <col min="17" max="17" width="11.88671875" style="2535" customWidth="1"/>
    <col min="18" max="18" width="16.77734375" style="2537" customWidth="1"/>
    <col min="19" max="29" width="9" style="2056"/>
    <col min="30" max="16384" width="9" style="2531"/>
  </cols>
  <sheetData>
    <row r="1" spans="1:29" s="2529" customFormat="1" ht="17.399999999999999">
      <c r="A1" s="3353" t="s">
        <v>643</v>
      </c>
      <c r="B1" s="3354"/>
      <c r="C1" s="3354"/>
      <c r="D1" s="3354"/>
      <c r="E1" s="3354"/>
      <c r="F1" s="3354"/>
      <c r="G1" s="3354"/>
      <c r="H1" s="2538"/>
      <c r="I1" s="2590"/>
      <c r="J1" s="2538"/>
      <c r="K1" s="2538"/>
      <c r="L1" s="2590"/>
      <c r="M1" s="2538"/>
      <c r="N1" s="2538"/>
      <c r="O1" s="2590"/>
      <c r="P1" s="2538"/>
      <c r="Q1" s="2597"/>
      <c r="R1" s="2598"/>
      <c r="S1" s="2599"/>
      <c r="T1" s="2599"/>
      <c r="U1" s="2599"/>
      <c r="V1" s="2599"/>
      <c r="W1" s="2599"/>
      <c r="X1" s="2599"/>
      <c r="Y1" s="2599"/>
      <c r="Z1" s="2599"/>
      <c r="AA1" s="2599"/>
      <c r="AB1" s="2599"/>
      <c r="AC1" s="2599"/>
    </row>
    <row r="2" spans="1:29">
      <c r="A2" s="2539"/>
      <c r="B2" s="2540"/>
      <c r="C2" s="2541" t="s">
        <v>644</v>
      </c>
      <c r="D2" s="2542"/>
      <c r="E2" s="2539"/>
      <c r="F2" s="2543"/>
      <c r="G2" s="2541" t="s">
        <v>645</v>
      </c>
      <c r="H2" s="2056"/>
      <c r="I2" s="2056"/>
      <c r="J2" s="2056"/>
      <c r="K2" s="2056"/>
      <c r="L2" s="2056"/>
      <c r="M2" s="2056"/>
      <c r="N2" s="2056"/>
      <c r="O2" s="2056"/>
      <c r="P2" s="2056"/>
      <c r="Q2" s="2056"/>
      <c r="R2" s="2056"/>
    </row>
    <row r="3" spans="1:29" ht="48">
      <c r="A3" s="2544" t="s">
        <v>646</v>
      </c>
      <c r="B3" s="2545" t="s">
        <v>647</v>
      </c>
      <c r="C3" s="2546" t="s">
        <v>648</v>
      </c>
      <c r="D3" s="2547"/>
      <c r="E3" s="2548" t="s">
        <v>646</v>
      </c>
      <c r="F3" s="2549" t="s">
        <v>649</v>
      </c>
      <c r="G3" s="2550" t="s">
        <v>650</v>
      </c>
      <c r="H3" s="2056"/>
      <c r="I3" s="2056"/>
      <c r="J3" s="2056"/>
      <c r="K3" s="2056"/>
      <c r="L3" s="2056"/>
      <c r="M3" s="2056"/>
      <c r="N3" s="2056"/>
      <c r="O3" s="2056"/>
      <c r="P3" s="2056"/>
      <c r="Q3" s="2056"/>
      <c r="R3" s="2056"/>
    </row>
    <row r="4" spans="1:29" ht="37.200000000000003">
      <c r="A4" s="2548"/>
      <c r="B4" s="1847" t="s">
        <v>651</v>
      </c>
      <c r="C4" s="2551" t="s">
        <v>652</v>
      </c>
      <c r="D4" s="2547"/>
      <c r="E4" s="2552"/>
      <c r="F4" s="2208" t="s">
        <v>653</v>
      </c>
      <c r="G4" s="2553" t="s">
        <v>654</v>
      </c>
      <c r="H4" s="2056"/>
      <c r="I4" s="2056"/>
      <c r="J4" s="2056"/>
      <c r="K4" s="2056"/>
      <c r="L4" s="2056"/>
      <c r="M4" s="2056"/>
      <c r="N4" s="2056"/>
      <c r="O4" s="2056"/>
      <c r="P4" s="2056"/>
      <c r="Q4" s="2056"/>
      <c r="R4" s="2056"/>
    </row>
    <row r="5" spans="1:29" ht="37.200000000000003">
      <c r="A5" s="2548"/>
      <c r="B5" s="1847" t="s">
        <v>655</v>
      </c>
      <c r="C5" s="2551" t="s">
        <v>656</v>
      </c>
      <c r="D5" s="2547"/>
      <c r="E5" s="2552"/>
      <c r="F5" s="1847" t="s">
        <v>453</v>
      </c>
      <c r="G5" s="2553" t="s">
        <v>657</v>
      </c>
      <c r="H5" s="2056"/>
      <c r="I5" s="2056"/>
      <c r="J5" s="2056"/>
      <c r="K5" s="2056"/>
      <c r="L5" s="2056"/>
      <c r="M5" s="2056"/>
      <c r="N5" s="2056"/>
      <c r="O5" s="2056"/>
      <c r="P5" s="2056"/>
      <c r="Q5" s="2056"/>
      <c r="R5" s="2056"/>
    </row>
    <row r="6" spans="1:29" ht="48">
      <c r="A6" s="2548"/>
      <c r="B6" s="1847" t="s">
        <v>653</v>
      </c>
      <c r="C6" s="2553" t="s">
        <v>654</v>
      </c>
      <c r="D6" s="2547"/>
      <c r="E6" s="2552"/>
      <c r="F6" s="1847" t="s">
        <v>658</v>
      </c>
      <c r="G6" s="2553" t="s">
        <v>659</v>
      </c>
      <c r="H6" s="2056"/>
      <c r="I6" s="2056"/>
      <c r="J6" s="2056"/>
      <c r="K6" s="2056"/>
      <c r="L6" s="2056"/>
      <c r="M6" s="2056"/>
      <c r="N6" s="2056"/>
      <c r="O6" s="2056"/>
      <c r="P6" s="2056"/>
      <c r="Q6" s="2056"/>
      <c r="R6" s="2056"/>
    </row>
    <row r="7" spans="1:29" ht="36">
      <c r="A7" s="2548"/>
      <c r="B7" s="1847" t="s">
        <v>453</v>
      </c>
      <c r="C7" s="2553" t="s">
        <v>657</v>
      </c>
      <c r="D7" s="2554"/>
      <c r="E7" s="2555"/>
      <c r="F7" s="2556" t="s">
        <v>660</v>
      </c>
      <c r="G7" s="2557" t="s">
        <v>661</v>
      </c>
      <c r="H7" s="2056"/>
      <c r="I7" s="2056"/>
      <c r="J7" s="2056"/>
      <c r="K7" s="2056"/>
      <c r="L7" s="2056"/>
      <c r="M7" s="2056"/>
      <c r="N7" s="2056"/>
      <c r="O7" s="2056"/>
      <c r="P7" s="2056"/>
      <c r="Q7" s="2056"/>
      <c r="R7" s="2056"/>
    </row>
    <row r="8" spans="1:29" ht="24">
      <c r="A8" s="2548"/>
      <c r="B8" s="1847" t="s">
        <v>658</v>
      </c>
      <c r="C8" s="2553" t="s">
        <v>659</v>
      </c>
      <c r="D8" s="2554"/>
      <c r="E8" s="2554"/>
      <c r="F8" s="1968"/>
      <c r="G8" s="1968"/>
      <c r="H8" s="2056"/>
      <c r="I8" s="2056"/>
      <c r="J8" s="2056"/>
      <c r="K8" s="2056"/>
      <c r="L8" s="2056"/>
      <c r="M8" s="2056"/>
      <c r="N8" s="2056"/>
      <c r="O8" s="2056"/>
      <c r="P8" s="2056"/>
      <c r="Q8" s="2056"/>
      <c r="R8" s="2056"/>
    </row>
    <row r="9" spans="1:29" ht="24">
      <c r="A9" s="2548"/>
      <c r="B9" s="1847" t="s">
        <v>662</v>
      </c>
      <c r="C9" s="2551" t="s">
        <v>663</v>
      </c>
      <c r="D9" s="2547"/>
      <c r="E9" s="2554"/>
      <c r="F9" s="1968"/>
      <c r="G9" s="1968"/>
      <c r="H9" s="2056"/>
      <c r="I9" s="2056"/>
      <c r="J9" s="2056"/>
      <c r="K9" s="2056"/>
      <c r="L9" s="2056"/>
      <c r="M9" s="2056"/>
      <c r="N9" s="2056"/>
      <c r="O9" s="2056"/>
      <c r="P9" s="2056"/>
      <c r="Q9" s="2056"/>
      <c r="R9" s="2056"/>
    </row>
    <row r="10" spans="1:29" s="2530" customFormat="1">
      <c r="A10" s="2558"/>
      <c r="B10" s="2559" t="s">
        <v>664</v>
      </c>
      <c r="C10" s="2560"/>
      <c r="D10" s="2547"/>
      <c r="E10" s="2547"/>
      <c r="F10" s="1968"/>
      <c r="G10" s="1968"/>
      <c r="H10" s="2561"/>
      <c r="I10" s="2591"/>
      <c r="J10" s="2592"/>
      <c r="K10" s="2561"/>
      <c r="L10" s="2591"/>
      <c r="M10" s="2592"/>
      <c r="N10" s="2561"/>
      <c r="O10" s="2591"/>
      <c r="P10" s="2592"/>
      <c r="Q10" s="2561"/>
      <c r="R10" s="2591"/>
      <c r="S10" s="2056"/>
      <c r="T10" s="2056"/>
      <c r="U10" s="2056"/>
      <c r="V10" s="2056"/>
      <c r="W10" s="2056"/>
      <c r="X10" s="2056"/>
      <c r="Y10" s="2056"/>
      <c r="Z10" s="2056"/>
      <c r="AA10" s="2056"/>
      <c r="AB10" s="2056"/>
      <c r="AC10" s="2056"/>
    </row>
    <row r="11" spans="1:29" s="2530" customFormat="1">
      <c r="A11" s="2562"/>
      <c r="B11" s="2554"/>
      <c r="C11" s="2547"/>
      <c r="D11" s="2547"/>
      <c r="E11" s="2547"/>
      <c r="F11" s="2554"/>
      <c r="G11" s="2563"/>
      <c r="H11" s="2561"/>
      <c r="I11" s="2591"/>
      <c r="J11" s="2592"/>
      <c r="K11" s="2561"/>
      <c r="L11" s="2591"/>
      <c r="M11" s="2592"/>
      <c r="N11" s="2561"/>
      <c r="O11" s="2591"/>
      <c r="P11" s="2592"/>
      <c r="Q11" s="2561"/>
      <c r="R11" s="2591"/>
      <c r="S11" s="2056"/>
      <c r="T11" s="2056"/>
      <c r="U11" s="2056"/>
      <c r="V11" s="2056"/>
      <c r="W11" s="2056"/>
      <c r="X11" s="2056"/>
      <c r="Y11" s="2056"/>
      <c r="Z11" s="2056"/>
      <c r="AA11" s="2056"/>
      <c r="AB11" s="2056"/>
      <c r="AC11" s="2056"/>
    </row>
    <row r="12" spans="1:29" s="2529" customFormat="1" ht="17.399999999999999">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29" ht="14.4">
      <c r="A13" s="2566" t="s">
        <v>665</v>
      </c>
      <c r="B13" s="2564"/>
      <c r="C13" s="2564"/>
      <c r="D13" s="2562"/>
      <c r="E13" s="2564"/>
      <c r="F13" s="2564"/>
      <c r="G13" s="2564"/>
    </row>
    <row r="14" spans="1:29">
      <c r="A14" s="2567"/>
      <c r="B14" s="2567"/>
      <c r="C14" s="2568" t="s">
        <v>644</v>
      </c>
      <c r="D14" s="2547"/>
      <c r="E14" s="2569"/>
      <c r="F14" s="2569"/>
      <c r="G14" s="2541" t="s">
        <v>645</v>
      </c>
    </row>
    <row r="15" spans="1:29" ht="52.8">
      <c r="A15" s="2570" t="s">
        <v>646</v>
      </c>
      <c r="B15" s="2571" t="s">
        <v>647</v>
      </c>
      <c r="C15" s="2572" t="str">
        <f>C3</f>
        <v>估价对象周边居住用地比例、居住小区规模和社区发展完善程度，综合评价居住社区成熟度一般</v>
      </c>
      <c r="D15" s="2547"/>
      <c r="E15" s="2573" t="s">
        <v>646</v>
      </c>
      <c r="F15" s="2571" t="s">
        <v>649</v>
      </c>
      <c r="G15" s="2574" t="str">
        <f>G3</f>
        <v>估价对象位于XX开发区，园区建设成熟度XX，产业集聚程度XX</v>
      </c>
    </row>
    <row r="16" spans="1:29" ht="39.6">
      <c r="A16" s="2575"/>
      <c r="B16" s="2576" t="s">
        <v>651</v>
      </c>
      <c r="C16" s="2577" t="str">
        <f>C4</f>
        <v>估价对象位于XX商圈，周边商业氛围成熟，人流量大，商业繁华度好</v>
      </c>
      <c r="D16" s="2547"/>
      <c r="E16" s="2578"/>
      <c r="F16" s="2579" t="s">
        <v>653</v>
      </c>
      <c r="G16" s="2580" t="str">
        <f>G4</f>
        <v>估价对象周边道路状况、公共交通通达情况、停车便捷程度，综合评价交通便捷度较好</v>
      </c>
    </row>
    <row r="17" spans="1:18" ht="39.6">
      <c r="A17" s="2575"/>
      <c r="B17" s="2576" t="s">
        <v>655</v>
      </c>
      <c r="C17" s="2577" t="str">
        <f>C5</f>
        <v>估价对象位于XX商圈，周边办公楼项目较多，入驻率高，办公集聚程度较好</v>
      </c>
      <c r="D17" s="2554"/>
      <c r="E17" s="2578"/>
      <c r="F17" s="2579" t="s">
        <v>666</v>
      </c>
      <c r="G17" s="2581"/>
    </row>
    <row r="18" spans="1:18" ht="52.8">
      <c r="A18" s="2575"/>
      <c r="B18" s="2579" t="s">
        <v>653</v>
      </c>
      <c r="C18" s="2580" t="str">
        <f>C6</f>
        <v>估价对象周边道路状况、公共交通通达情况、停车便捷程度，综合评价交通便捷度较好</v>
      </c>
      <c r="D18" s="2554"/>
      <c r="E18" s="2578"/>
      <c r="F18" s="2579" t="s">
        <v>660</v>
      </c>
      <c r="G18" s="2580" t="str">
        <f>G7</f>
        <v>该园区内是否有污染型企业，绿化情况，卫生条件，整体环境状况判断</v>
      </c>
    </row>
    <row r="19" spans="1:18" ht="26.4">
      <c r="A19" s="2575"/>
      <c r="B19" s="2579" t="s">
        <v>666</v>
      </c>
      <c r="C19" s="2581"/>
      <c r="D19" s="2547"/>
      <c r="E19" s="2578"/>
      <c r="F19" s="1847" t="s">
        <v>453</v>
      </c>
      <c r="G19" s="2580" t="str">
        <f>G5</f>
        <v>估价对象所在区域公共配套设施齐备情况</v>
      </c>
    </row>
    <row r="20" spans="1:18" ht="26.4">
      <c r="A20" s="2575"/>
      <c r="B20" s="2579" t="s">
        <v>667</v>
      </c>
      <c r="C20" s="2577" t="str">
        <f>C9</f>
        <v>区域自然环境：；人文环境；综合评价环境状况一般</v>
      </c>
      <c r="D20" s="2554"/>
      <c r="E20" s="2578"/>
      <c r="F20" s="1847" t="s">
        <v>658</v>
      </c>
      <c r="G20" s="2580" t="str">
        <f>G6</f>
        <v>估价对象所在区域基础设施水平</v>
      </c>
    </row>
    <row r="21" spans="1:18" ht="26.4">
      <c r="A21" s="2575"/>
      <c r="B21" s="1847" t="s">
        <v>453</v>
      </c>
      <c r="C21" s="2580" t="str">
        <f>C7</f>
        <v>估价对象所在区域公共配套设施齐备情况</v>
      </c>
      <c r="D21" s="2547"/>
      <c r="E21" s="2578"/>
      <c r="F21" s="2579" t="s">
        <v>668</v>
      </c>
      <c r="G21" s="2582"/>
    </row>
    <row r="22" spans="1:18" ht="13.5" customHeight="1">
      <c r="A22" s="2575"/>
      <c r="B22" s="1847" t="s">
        <v>658</v>
      </c>
      <c r="C22" s="2580" t="str">
        <f>C8</f>
        <v>估价对象所在区域基础设施水平</v>
      </c>
      <c r="D22" s="2547"/>
      <c r="E22" s="2578"/>
      <c r="F22" s="2579" t="s">
        <v>664</v>
      </c>
      <c r="G22" s="2581"/>
    </row>
    <row r="23" spans="1:18" s="2056" customFormat="1">
      <c r="A23" s="2575"/>
      <c r="B23" s="2579" t="s">
        <v>668</v>
      </c>
      <c r="C23" s="2582"/>
      <c r="D23" s="2511"/>
      <c r="E23" s="2583"/>
      <c r="F23" s="2584" t="s">
        <v>401</v>
      </c>
      <c r="G23" s="2585"/>
      <c r="H23" s="2535"/>
      <c r="I23" s="2536"/>
      <c r="J23" s="2535"/>
      <c r="K23" s="2535"/>
      <c r="L23" s="2536"/>
      <c r="M23" s="2535"/>
      <c r="N23" s="2535"/>
      <c r="O23" s="2536"/>
      <c r="P23" s="2535"/>
      <c r="Q23" s="2535"/>
      <c r="R23" s="2537"/>
    </row>
    <row r="24" spans="1:18" s="2056" customFormat="1">
      <c r="A24" s="2586"/>
      <c r="B24" s="2584" t="s">
        <v>664</v>
      </c>
      <c r="C24" s="2587">
        <f>C10</f>
        <v>0</v>
      </c>
      <c r="D24" s="2511"/>
      <c r="E24" s="2588"/>
      <c r="F24" s="2588"/>
      <c r="G24" s="2589"/>
      <c r="H24" s="2535"/>
      <c r="I24" s="2536"/>
      <c r="J24" s="2535"/>
      <c r="K24" s="2535"/>
      <c r="L24" s="2536"/>
      <c r="M24" s="2535"/>
      <c r="N24" s="2535"/>
      <c r="O24" s="2536"/>
      <c r="P24" s="2535"/>
      <c r="Q24" s="2535"/>
      <c r="R24" s="2537"/>
    </row>
    <row r="25" spans="1:18" s="2056" customFormat="1">
      <c r="B25" s="2535"/>
      <c r="C25" s="2535"/>
      <c r="D25" s="2535"/>
      <c r="H25" s="2535"/>
      <c r="I25" s="2536"/>
      <c r="J25" s="2535"/>
      <c r="K25" s="2535"/>
      <c r="L25" s="2536"/>
      <c r="M25" s="2535"/>
      <c r="N25" s="2535"/>
      <c r="O25" s="2536"/>
      <c r="P25" s="2535"/>
      <c r="Q25" s="2535"/>
      <c r="R25" s="2537"/>
    </row>
    <row r="26" spans="1:18" s="2056" customFormat="1">
      <c r="B26" s="2535"/>
      <c r="C26" s="2535"/>
      <c r="D26" s="2535"/>
      <c r="H26" s="2535"/>
      <c r="I26" s="2536"/>
      <c r="J26" s="2535"/>
      <c r="K26" s="2535"/>
      <c r="L26" s="2536"/>
      <c r="M26" s="2535"/>
      <c r="N26" s="2535"/>
      <c r="O26" s="2536"/>
      <c r="P26" s="2535"/>
      <c r="Q26" s="2535"/>
      <c r="R26" s="2537"/>
    </row>
    <row r="27" spans="1:18" s="2056" customFormat="1">
      <c r="B27" s="2535"/>
      <c r="C27" s="2535"/>
      <c r="D27" s="2535"/>
      <c r="H27" s="2535"/>
      <c r="I27" s="2536"/>
      <c r="J27" s="2535"/>
      <c r="K27" s="2535"/>
      <c r="L27" s="2536"/>
      <c r="M27" s="2535"/>
      <c r="N27" s="2535"/>
      <c r="O27" s="2536"/>
      <c r="P27" s="2535"/>
      <c r="Q27" s="2535"/>
      <c r="R27" s="2537"/>
    </row>
    <row r="28" spans="1:18" s="2056" customFormat="1">
      <c r="B28" s="2535"/>
      <c r="C28" s="2535"/>
      <c r="D28" s="2535"/>
      <c r="H28" s="2535"/>
      <c r="I28" s="2536"/>
      <c r="J28" s="2535"/>
      <c r="K28" s="2535"/>
      <c r="L28" s="2536"/>
      <c r="M28" s="2535"/>
      <c r="N28" s="2535"/>
      <c r="O28" s="2536"/>
      <c r="P28" s="2535"/>
      <c r="Q28" s="2535"/>
      <c r="R28" s="2537"/>
    </row>
    <row r="29" spans="1:18" s="2056" customFormat="1">
      <c r="B29" s="2535"/>
      <c r="C29" s="2535"/>
      <c r="D29" s="2535"/>
      <c r="H29" s="2535"/>
      <c r="I29" s="2536"/>
      <c r="J29" s="2535"/>
      <c r="K29" s="2535"/>
      <c r="L29" s="2536"/>
      <c r="M29" s="2535"/>
      <c r="N29" s="2535"/>
      <c r="O29" s="2536"/>
      <c r="P29" s="2535"/>
      <c r="Q29" s="2535"/>
      <c r="R29" s="2537"/>
    </row>
    <row r="30" spans="1:18" s="2056" customFormat="1">
      <c r="B30" s="2535"/>
      <c r="C30" s="2535"/>
      <c r="D30" s="2535"/>
      <c r="H30" s="2535"/>
      <c r="I30" s="2536"/>
      <c r="J30" s="2535"/>
      <c r="K30" s="2535"/>
      <c r="L30" s="2536"/>
      <c r="M30" s="2535"/>
      <c r="N30" s="2535"/>
      <c r="O30" s="2536"/>
      <c r="P30" s="2535"/>
      <c r="Q30" s="2535"/>
      <c r="R30" s="2537"/>
    </row>
    <row r="31" spans="1:18" s="2056" customFormat="1">
      <c r="B31" s="2535"/>
      <c r="C31" s="2535"/>
      <c r="D31" s="2535"/>
      <c r="H31" s="2535"/>
      <c r="I31" s="2536"/>
      <c r="J31" s="2535"/>
      <c r="K31" s="2535"/>
      <c r="L31" s="2536"/>
      <c r="M31" s="2535"/>
      <c r="N31" s="2535"/>
      <c r="O31" s="2536"/>
      <c r="P31" s="2535"/>
      <c r="Q31" s="2535"/>
      <c r="R31" s="2537"/>
    </row>
    <row r="32" spans="1:18" s="2056" customFormat="1">
      <c r="B32" s="2535"/>
      <c r="C32" s="2535"/>
      <c r="D32" s="2535"/>
      <c r="H32" s="2535"/>
      <c r="I32" s="2536"/>
      <c r="J32" s="2535"/>
      <c r="K32" s="2535"/>
      <c r="L32" s="2536"/>
      <c r="M32" s="2535"/>
      <c r="N32" s="2535"/>
      <c r="O32" s="2536"/>
      <c r="P32" s="2535"/>
      <c r="Q32" s="2535"/>
      <c r="R32" s="2537"/>
    </row>
    <row r="33" spans="2:18" s="2056" customFormat="1">
      <c r="B33" s="2535"/>
      <c r="C33" s="2535"/>
      <c r="D33" s="2535"/>
      <c r="H33" s="2535"/>
      <c r="I33" s="2536"/>
      <c r="J33" s="2535"/>
      <c r="K33" s="2535"/>
      <c r="L33" s="2536"/>
      <c r="M33" s="2535"/>
      <c r="N33" s="2535"/>
      <c r="O33" s="2536"/>
      <c r="P33" s="2535"/>
      <c r="Q33" s="2535"/>
      <c r="R33" s="2537"/>
    </row>
    <row r="34" spans="2:18" s="2056" customFormat="1">
      <c r="B34" s="2535"/>
      <c r="C34" s="2535"/>
      <c r="D34" s="2535"/>
      <c r="H34" s="2535"/>
      <c r="I34" s="2536"/>
      <c r="J34" s="2535"/>
      <c r="K34" s="2535"/>
      <c r="L34" s="2536"/>
      <c r="M34" s="2535"/>
      <c r="N34" s="2535"/>
      <c r="O34" s="2536"/>
      <c r="P34" s="2535"/>
      <c r="Q34" s="2535"/>
      <c r="R34" s="2537"/>
    </row>
    <row r="35" spans="2:18" s="2056" customFormat="1">
      <c r="B35" s="2535"/>
      <c r="C35" s="2535"/>
      <c r="D35" s="2535"/>
      <c r="H35" s="2535"/>
      <c r="I35" s="2536"/>
      <c r="J35" s="2535"/>
      <c r="K35" s="2535"/>
      <c r="L35" s="2536"/>
      <c r="M35" s="2535"/>
      <c r="N35" s="2535"/>
      <c r="O35" s="2536"/>
      <c r="P35" s="2535"/>
      <c r="Q35" s="2535"/>
      <c r="R35" s="2537"/>
    </row>
    <row r="36" spans="2:18" s="2056" customFormat="1">
      <c r="B36" s="2535"/>
      <c r="C36" s="2535"/>
      <c r="D36" s="2535"/>
      <c r="H36" s="2535"/>
      <c r="I36" s="2536"/>
      <c r="J36" s="2535"/>
      <c r="K36" s="2535"/>
      <c r="L36" s="2536"/>
      <c r="M36" s="2535"/>
      <c r="N36" s="2535"/>
      <c r="O36" s="2536"/>
      <c r="P36" s="2535"/>
      <c r="Q36" s="2535"/>
      <c r="R36" s="2537"/>
    </row>
    <row r="37" spans="2:18" s="2056" customFormat="1">
      <c r="B37" s="2535"/>
      <c r="C37" s="2535"/>
      <c r="D37" s="2535"/>
      <c r="H37" s="2535"/>
      <c r="I37" s="2536"/>
      <c r="J37" s="2535"/>
      <c r="K37" s="2535"/>
      <c r="L37" s="2536"/>
      <c r="M37" s="2535"/>
      <c r="N37" s="2535"/>
      <c r="O37" s="2536"/>
      <c r="P37" s="2535"/>
      <c r="Q37" s="2535"/>
      <c r="R37" s="2537"/>
    </row>
    <row r="38" spans="2:18" s="2056" customFormat="1">
      <c r="B38" s="2535"/>
      <c r="C38" s="2535"/>
      <c r="D38" s="2535"/>
      <c r="E38" s="2535"/>
      <c r="F38" s="2535"/>
      <c r="G38" s="2536"/>
      <c r="H38" s="2535"/>
      <c r="I38" s="2536"/>
      <c r="J38" s="2535"/>
      <c r="K38" s="2535"/>
      <c r="L38" s="2536"/>
      <c r="M38" s="2535"/>
      <c r="N38" s="2535"/>
      <c r="O38" s="2536"/>
      <c r="P38" s="2535"/>
      <c r="Q38" s="2535"/>
      <c r="R38" s="2537"/>
    </row>
    <row r="39" spans="2:18" s="2056" customFormat="1">
      <c r="B39" s="2535"/>
      <c r="C39" s="2535"/>
      <c r="D39" s="2535"/>
      <c r="E39" s="2535"/>
      <c r="F39" s="2535"/>
      <c r="G39" s="2536"/>
      <c r="H39" s="2535"/>
      <c r="I39" s="2536"/>
      <c r="J39" s="2535"/>
      <c r="K39" s="2535"/>
      <c r="L39" s="2536"/>
      <c r="M39" s="2535"/>
      <c r="N39" s="2535"/>
      <c r="O39" s="2536"/>
      <c r="P39" s="2535"/>
      <c r="Q39" s="2535"/>
      <c r="R39" s="2537"/>
    </row>
    <row r="40" spans="2:18" s="2056" customFormat="1">
      <c r="B40" s="2535"/>
      <c r="C40" s="2535"/>
      <c r="D40" s="2535"/>
      <c r="E40" s="2535"/>
      <c r="F40" s="2535"/>
      <c r="G40" s="2536"/>
      <c r="H40" s="2535"/>
      <c r="I40" s="2536"/>
      <c r="J40" s="2535"/>
      <c r="K40" s="2535"/>
      <c r="L40" s="2536"/>
      <c r="M40" s="2535"/>
      <c r="N40" s="2535"/>
      <c r="O40" s="2536"/>
      <c r="P40" s="2535"/>
      <c r="Q40" s="2535"/>
      <c r="R40" s="2537"/>
    </row>
    <row r="41" spans="2:18" s="2056" customFormat="1">
      <c r="B41" s="2535"/>
      <c r="C41" s="2535"/>
      <c r="D41" s="2535"/>
      <c r="E41" s="2535"/>
      <c r="F41" s="2535"/>
      <c r="G41" s="2536"/>
      <c r="H41" s="2535"/>
      <c r="I41" s="2536"/>
      <c r="J41" s="2535"/>
      <c r="K41" s="2535"/>
      <c r="L41" s="2536"/>
      <c r="M41" s="2535"/>
      <c r="N41" s="2535"/>
      <c r="O41" s="2536"/>
      <c r="P41" s="2535"/>
      <c r="Q41" s="2535"/>
      <c r="R41" s="2537"/>
    </row>
    <row r="42" spans="2:18" s="2056" customFormat="1">
      <c r="B42" s="2535"/>
      <c r="C42" s="2535"/>
      <c r="D42" s="2535"/>
      <c r="E42" s="2535"/>
      <c r="F42" s="2535"/>
      <c r="G42" s="2536"/>
      <c r="H42" s="2535"/>
      <c r="I42" s="2536"/>
      <c r="J42" s="2535"/>
      <c r="K42" s="2535"/>
      <c r="L42" s="2536"/>
      <c r="M42" s="2535"/>
      <c r="N42" s="2535"/>
      <c r="O42" s="2536"/>
      <c r="P42" s="2535"/>
      <c r="Q42" s="2535"/>
      <c r="R42" s="2537"/>
    </row>
    <row r="43" spans="2:18" s="2056" customFormat="1">
      <c r="B43" s="2535"/>
      <c r="C43" s="2535"/>
      <c r="D43" s="2535"/>
      <c r="E43" s="2535"/>
      <c r="F43" s="2535"/>
      <c r="G43" s="2536"/>
      <c r="H43" s="2535"/>
      <c r="I43" s="2536"/>
      <c r="J43" s="2535"/>
      <c r="K43" s="2535"/>
      <c r="L43" s="2536"/>
      <c r="M43" s="2535"/>
      <c r="N43" s="2535"/>
      <c r="O43" s="2536"/>
      <c r="P43" s="2535"/>
      <c r="Q43" s="2535"/>
      <c r="R43" s="2537"/>
    </row>
    <row r="44" spans="2:18" s="2056" customFormat="1">
      <c r="B44" s="2535"/>
      <c r="C44" s="2535"/>
      <c r="D44" s="2535"/>
      <c r="E44" s="2535"/>
      <c r="F44" s="2535"/>
      <c r="G44" s="2536"/>
      <c r="H44" s="2535"/>
      <c r="I44" s="2536"/>
      <c r="J44" s="2535"/>
      <c r="K44" s="2535"/>
      <c r="L44" s="2536"/>
      <c r="M44" s="2535"/>
      <c r="N44" s="2535"/>
      <c r="O44" s="2536"/>
      <c r="P44" s="2535"/>
      <c r="Q44" s="2535"/>
      <c r="R44" s="2537"/>
    </row>
    <row r="45" spans="2:18" s="2056" customFormat="1">
      <c r="B45" s="2535"/>
      <c r="C45" s="2535"/>
      <c r="D45" s="2535"/>
      <c r="E45" s="2535"/>
      <c r="F45" s="2535"/>
      <c r="G45" s="2536"/>
      <c r="H45" s="2535"/>
      <c r="I45" s="2536"/>
      <c r="J45" s="2535"/>
      <c r="K45" s="2535"/>
      <c r="L45" s="2536"/>
      <c r="M45" s="2535"/>
      <c r="N45" s="2535"/>
      <c r="O45" s="2536"/>
      <c r="P45" s="2535"/>
      <c r="Q45" s="2535"/>
      <c r="R45" s="2537"/>
    </row>
    <row r="46" spans="2:18" s="2056" customFormat="1">
      <c r="B46" s="2535"/>
      <c r="C46" s="2535"/>
      <c r="D46" s="2535"/>
      <c r="E46" s="2535"/>
      <c r="F46" s="2535"/>
      <c r="G46" s="2536"/>
      <c r="H46" s="2535"/>
      <c r="I46" s="2536"/>
      <c r="J46" s="2535"/>
      <c r="K46" s="2535"/>
      <c r="L46" s="2536"/>
      <c r="M46" s="2535"/>
      <c r="N46" s="2535"/>
      <c r="O46" s="2536"/>
      <c r="P46" s="2535"/>
      <c r="Q46" s="2535"/>
      <c r="R46" s="2537"/>
    </row>
    <row r="47" spans="2:18" s="2056" customFormat="1">
      <c r="B47" s="2535"/>
      <c r="C47" s="2535"/>
      <c r="D47" s="2535"/>
      <c r="E47" s="2535"/>
      <c r="F47" s="2535"/>
      <c r="G47" s="2536"/>
      <c r="H47" s="2535"/>
      <c r="I47" s="2536"/>
      <c r="J47" s="2535"/>
      <c r="K47" s="2535"/>
      <c r="L47" s="2536"/>
      <c r="M47" s="2535"/>
      <c r="N47" s="2535"/>
      <c r="O47" s="2536"/>
      <c r="P47" s="2535"/>
      <c r="Q47" s="2535"/>
      <c r="R47" s="2537"/>
    </row>
    <row r="48" spans="2:18" s="2056" customFormat="1">
      <c r="B48" s="2535"/>
      <c r="C48" s="2535"/>
      <c r="D48" s="2535"/>
      <c r="E48" s="2535"/>
      <c r="F48" s="2535"/>
      <c r="G48" s="2536"/>
      <c r="H48" s="2535"/>
      <c r="I48" s="2536"/>
      <c r="J48" s="2535"/>
      <c r="K48" s="2535"/>
      <c r="L48" s="2536"/>
      <c r="M48" s="2535"/>
      <c r="N48" s="2535"/>
      <c r="O48" s="2536"/>
      <c r="P48" s="2535"/>
      <c r="Q48" s="2535"/>
      <c r="R48" s="2537"/>
    </row>
    <row r="49" spans="2:18" s="2056" customFormat="1">
      <c r="B49" s="2535"/>
      <c r="C49" s="2535"/>
      <c r="D49" s="2535"/>
      <c r="E49" s="2535"/>
      <c r="F49" s="2535"/>
      <c r="G49" s="2536"/>
      <c r="H49" s="2535"/>
      <c r="I49" s="2536"/>
      <c r="J49" s="2535"/>
      <c r="K49" s="2535"/>
      <c r="L49" s="2536"/>
      <c r="M49" s="2535"/>
      <c r="N49" s="2535"/>
      <c r="O49" s="2536"/>
      <c r="P49" s="2535"/>
      <c r="Q49" s="2535"/>
      <c r="R49" s="2537"/>
    </row>
    <row r="50" spans="2:18" s="2056" customFormat="1">
      <c r="B50" s="2535"/>
      <c r="C50" s="2535"/>
      <c r="D50" s="2535"/>
      <c r="E50" s="2535"/>
      <c r="F50" s="2535"/>
      <c r="G50" s="2536"/>
      <c r="H50" s="2535"/>
      <c r="I50" s="2536"/>
      <c r="J50" s="2535"/>
      <c r="K50" s="2535"/>
      <c r="L50" s="2536"/>
      <c r="M50" s="2535"/>
      <c r="N50" s="2535"/>
      <c r="O50" s="2536"/>
      <c r="P50" s="2535"/>
      <c r="Q50" s="2535"/>
      <c r="R50" s="2537"/>
    </row>
    <row r="51" spans="2:18" s="2056" customFormat="1">
      <c r="B51" s="2535"/>
      <c r="C51" s="2535"/>
      <c r="D51" s="2535"/>
      <c r="E51" s="2535"/>
      <c r="F51" s="2535"/>
      <c r="G51" s="2536"/>
      <c r="H51" s="2535"/>
      <c r="I51" s="2536"/>
      <c r="J51" s="2535"/>
      <c r="K51" s="2535"/>
      <c r="L51" s="2536"/>
      <c r="M51" s="2535"/>
      <c r="N51" s="2535"/>
      <c r="O51" s="2536"/>
      <c r="P51" s="2535"/>
      <c r="Q51" s="2535"/>
      <c r="R51" s="2537"/>
    </row>
    <row r="52" spans="2:18" s="2056" customFormat="1">
      <c r="B52" s="2535"/>
      <c r="C52" s="2535"/>
      <c r="D52" s="2535"/>
      <c r="E52" s="2535"/>
      <c r="F52" s="2535"/>
      <c r="G52" s="2536"/>
      <c r="H52" s="2535"/>
      <c r="I52" s="2536"/>
      <c r="J52" s="2535"/>
      <c r="K52" s="2535"/>
      <c r="L52" s="2536"/>
      <c r="M52" s="2535"/>
      <c r="N52" s="2535"/>
      <c r="O52" s="2536"/>
      <c r="P52" s="2535"/>
      <c r="Q52" s="2535"/>
      <c r="R52" s="2537"/>
    </row>
    <row r="53" spans="2:18" s="2056" customFormat="1">
      <c r="B53" s="2535"/>
      <c r="C53" s="2535"/>
      <c r="D53" s="2535"/>
      <c r="E53" s="2535"/>
      <c r="F53" s="2535"/>
      <c r="G53" s="2536"/>
      <c r="H53" s="2535"/>
      <c r="I53" s="2536"/>
      <c r="J53" s="2535"/>
      <c r="K53" s="2535"/>
      <c r="L53" s="2536"/>
      <c r="M53" s="2535"/>
      <c r="N53" s="2535"/>
      <c r="O53" s="2536"/>
      <c r="P53" s="2535"/>
      <c r="Q53" s="2535"/>
      <c r="R53" s="2537"/>
    </row>
    <row r="54" spans="2:18" s="2056" customFormat="1">
      <c r="B54" s="2535"/>
      <c r="C54" s="2535"/>
      <c r="D54" s="2535"/>
      <c r="E54" s="2535"/>
      <c r="F54" s="2535"/>
      <c r="G54" s="2536"/>
      <c r="H54" s="2535"/>
      <c r="I54" s="2536"/>
      <c r="J54" s="2535"/>
      <c r="K54" s="2535"/>
      <c r="L54" s="2536"/>
      <c r="M54" s="2535"/>
      <c r="N54" s="2535"/>
      <c r="O54" s="2536"/>
      <c r="P54" s="2535"/>
      <c r="Q54" s="2535"/>
      <c r="R54" s="2537"/>
    </row>
    <row r="55" spans="2:18" s="2056" customFormat="1">
      <c r="B55" s="2535"/>
      <c r="C55" s="2535"/>
      <c r="D55" s="2535"/>
      <c r="E55" s="2535"/>
      <c r="F55" s="2535"/>
      <c r="G55" s="2536"/>
      <c r="H55" s="2535"/>
      <c r="I55" s="2536"/>
      <c r="J55" s="2535"/>
      <c r="K55" s="2535"/>
      <c r="L55" s="2536"/>
      <c r="M55" s="2535"/>
      <c r="N55" s="2535"/>
      <c r="O55" s="2536"/>
      <c r="P55" s="2535"/>
      <c r="Q55" s="2535"/>
      <c r="R55" s="2537"/>
    </row>
    <row r="56" spans="2:18" s="2056" customFormat="1">
      <c r="B56" s="2535"/>
      <c r="C56" s="2535"/>
      <c r="D56" s="2535"/>
      <c r="E56" s="2535"/>
      <c r="F56" s="2535"/>
      <c r="G56" s="2536"/>
      <c r="H56" s="2535"/>
      <c r="I56" s="2536"/>
      <c r="J56" s="2535"/>
      <c r="K56" s="2535"/>
      <c r="L56" s="2536"/>
      <c r="M56" s="2535"/>
      <c r="N56" s="2535"/>
      <c r="O56" s="2536"/>
      <c r="P56" s="2535"/>
      <c r="Q56" s="2535"/>
      <c r="R56" s="2537"/>
    </row>
    <row r="57" spans="2:18" s="2056" customFormat="1">
      <c r="B57" s="2535"/>
      <c r="C57" s="2535"/>
      <c r="D57" s="2535"/>
      <c r="E57" s="2535"/>
      <c r="F57" s="2535"/>
      <c r="G57" s="2536"/>
      <c r="H57" s="2535"/>
      <c r="I57" s="2536"/>
      <c r="J57" s="2535"/>
      <c r="K57" s="2535"/>
      <c r="L57" s="2536"/>
      <c r="M57" s="2535"/>
      <c r="N57" s="2535"/>
      <c r="O57" s="2536"/>
      <c r="P57" s="2535"/>
      <c r="Q57" s="2535"/>
      <c r="R57" s="2537"/>
    </row>
    <row r="58" spans="2:18" s="2056" customFormat="1">
      <c r="B58" s="2535"/>
      <c r="C58" s="2535"/>
      <c r="D58" s="2535"/>
      <c r="E58" s="2535"/>
      <c r="F58" s="2535"/>
      <c r="G58" s="2536"/>
      <c r="H58" s="2535"/>
      <c r="I58" s="2536"/>
      <c r="J58" s="2535"/>
      <c r="K58" s="2535"/>
      <c r="L58" s="2536"/>
      <c r="M58" s="2535"/>
      <c r="N58" s="2535"/>
      <c r="O58" s="2536"/>
      <c r="P58" s="2535"/>
      <c r="Q58" s="2535"/>
      <c r="R58" s="2537"/>
    </row>
    <row r="59" spans="2:18" s="2056" customFormat="1">
      <c r="B59" s="2535"/>
      <c r="C59" s="2535"/>
      <c r="D59" s="2535"/>
      <c r="E59" s="2535"/>
      <c r="F59" s="2535"/>
      <c r="G59" s="2536"/>
      <c r="H59" s="2535"/>
      <c r="I59" s="2536"/>
      <c r="J59" s="2535"/>
      <c r="K59" s="2535"/>
      <c r="L59" s="2536"/>
      <c r="M59" s="2535"/>
      <c r="N59" s="2535"/>
      <c r="O59" s="2536"/>
      <c r="P59" s="2535"/>
      <c r="Q59" s="2535"/>
      <c r="R59" s="2537"/>
    </row>
    <row r="60" spans="2:18" s="2056" customFormat="1">
      <c r="B60" s="2535"/>
      <c r="C60" s="2535"/>
      <c r="D60" s="2535"/>
      <c r="E60" s="2535"/>
      <c r="F60" s="2535"/>
      <c r="G60" s="2536"/>
      <c r="H60" s="2535"/>
      <c r="I60" s="2536"/>
      <c r="J60" s="2535"/>
      <c r="K60" s="2535"/>
      <c r="L60" s="2536"/>
      <c r="M60" s="2535"/>
      <c r="N60" s="2535"/>
      <c r="O60" s="2536"/>
      <c r="P60" s="2535"/>
      <c r="Q60" s="2535"/>
      <c r="R60" s="2537"/>
    </row>
    <row r="61" spans="2:18" s="2056" customFormat="1">
      <c r="B61" s="2535"/>
      <c r="C61" s="2535"/>
      <c r="D61" s="2535"/>
      <c r="E61" s="2535"/>
      <c r="F61" s="2535"/>
      <c r="G61" s="2536"/>
      <c r="H61" s="2535"/>
      <c r="I61" s="2536"/>
      <c r="J61" s="2535"/>
      <c r="K61" s="2535"/>
      <c r="L61" s="2536"/>
      <c r="M61" s="2535"/>
      <c r="N61" s="2535"/>
      <c r="O61" s="2536"/>
      <c r="P61" s="2535"/>
      <c r="Q61" s="2535"/>
      <c r="R61" s="2537"/>
    </row>
    <row r="62" spans="2:18" s="2056" customFormat="1">
      <c r="B62" s="2535"/>
      <c r="C62" s="2535"/>
      <c r="D62" s="2535"/>
      <c r="E62" s="2535"/>
      <c r="F62" s="2535"/>
      <c r="G62" s="2536"/>
      <c r="H62" s="2535"/>
      <c r="I62" s="2536"/>
      <c r="J62" s="2535"/>
      <c r="K62" s="2535"/>
      <c r="L62" s="2536"/>
      <c r="M62" s="2535"/>
      <c r="N62" s="2535"/>
      <c r="O62" s="2536"/>
      <c r="P62" s="2535"/>
      <c r="Q62" s="2535"/>
      <c r="R62" s="2537"/>
    </row>
    <row r="63" spans="2:18" s="2056" customFormat="1">
      <c r="B63" s="2535"/>
      <c r="C63" s="2535"/>
      <c r="D63" s="2535"/>
      <c r="E63" s="2535"/>
      <c r="F63" s="2535"/>
      <c r="G63" s="2536"/>
      <c r="H63" s="2535"/>
      <c r="I63" s="2536"/>
      <c r="J63" s="2535"/>
      <c r="K63" s="2535"/>
      <c r="L63" s="2536"/>
      <c r="M63" s="2535"/>
      <c r="N63" s="2535"/>
      <c r="O63" s="2536"/>
      <c r="P63" s="2535"/>
      <c r="Q63" s="2535"/>
      <c r="R63" s="2537"/>
    </row>
    <row r="64" spans="2:18" s="2056" customFormat="1">
      <c r="B64" s="2535"/>
      <c r="C64" s="2535"/>
      <c r="D64" s="2535"/>
      <c r="E64" s="2535"/>
      <c r="F64" s="2535"/>
      <c r="G64" s="2536"/>
      <c r="H64" s="2535"/>
      <c r="I64" s="2536"/>
      <c r="J64" s="2535"/>
      <c r="K64" s="2535"/>
      <c r="L64" s="2536"/>
      <c r="M64" s="2535"/>
      <c r="N64" s="2535"/>
      <c r="O64" s="2536"/>
      <c r="P64" s="2535"/>
      <c r="Q64" s="2535"/>
      <c r="R64" s="2537"/>
    </row>
    <row r="65" spans="2:18" s="2056" customFormat="1">
      <c r="B65" s="2535"/>
      <c r="C65" s="2535"/>
      <c r="D65" s="2535"/>
      <c r="E65" s="2535"/>
      <c r="F65" s="2535"/>
      <c r="G65" s="2536"/>
      <c r="H65" s="2535"/>
      <c r="I65" s="2536"/>
      <c r="J65" s="2535"/>
      <c r="K65" s="2535"/>
      <c r="L65" s="2536"/>
      <c r="M65" s="2535"/>
      <c r="N65" s="2535"/>
      <c r="O65" s="2536"/>
      <c r="P65" s="2535"/>
      <c r="Q65" s="2535"/>
      <c r="R65" s="2537"/>
    </row>
    <row r="66" spans="2:18" s="2056" customFormat="1">
      <c r="B66" s="2535"/>
      <c r="C66" s="2535"/>
      <c r="D66" s="2535"/>
      <c r="E66" s="2535"/>
      <c r="F66" s="2535"/>
      <c r="G66" s="2536"/>
      <c r="H66" s="2535"/>
      <c r="I66" s="2536"/>
      <c r="J66" s="2535"/>
      <c r="K66" s="2535"/>
      <c r="L66" s="2536"/>
      <c r="M66" s="2535"/>
      <c r="N66" s="2535"/>
      <c r="O66" s="2536"/>
      <c r="P66" s="2535"/>
      <c r="Q66" s="2535"/>
      <c r="R66" s="2537"/>
    </row>
    <row r="67" spans="2:18" s="2056" customFormat="1">
      <c r="B67" s="2535"/>
      <c r="C67" s="2535"/>
      <c r="D67" s="2535"/>
      <c r="E67" s="2535"/>
      <c r="F67" s="2535"/>
      <c r="G67" s="2536"/>
      <c r="H67" s="2535"/>
      <c r="I67" s="2536"/>
      <c r="J67" s="2535"/>
      <c r="K67" s="2535"/>
      <c r="L67" s="2536"/>
      <c r="M67" s="2535"/>
      <c r="N67" s="2535"/>
      <c r="O67" s="2536"/>
      <c r="P67" s="2535"/>
      <c r="Q67" s="2535"/>
      <c r="R67" s="2537"/>
    </row>
    <row r="68" spans="2:18" s="2056" customFormat="1">
      <c r="B68" s="2535"/>
      <c r="C68" s="2535"/>
      <c r="D68" s="2535"/>
      <c r="E68" s="2535"/>
      <c r="F68" s="2535"/>
      <c r="G68" s="2536"/>
      <c r="H68" s="2535"/>
      <c r="I68" s="2536"/>
      <c r="J68" s="2535"/>
      <c r="K68" s="2535"/>
      <c r="L68" s="2536"/>
      <c r="M68" s="2535"/>
      <c r="N68" s="2535"/>
      <c r="O68" s="2536"/>
      <c r="P68" s="2535"/>
      <c r="Q68" s="2535"/>
      <c r="R68" s="2537"/>
    </row>
    <row r="69" spans="2:18" s="2056" customFormat="1">
      <c r="B69" s="2535"/>
      <c r="C69" s="2535"/>
      <c r="D69" s="2535"/>
      <c r="E69" s="2535"/>
      <c r="F69" s="2535"/>
      <c r="G69" s="2536"/>
      <c r="H69" s="2535"/>
      <c r="I69" s="2536"/>
      <c r="J69" s="2535"/>
      <c r="K69" s="2535"/>
      <c r="L69" s="2536"/>
      <c r="M69" s="2535"/>
      <c r="N69" s="2535"/>
      <c r="O69" s="2536"/>
      <c r="P69" s="2535"/>
      <c r="Q69" s="2535"/>
      <c r="R69" s="2537"/>
    </row>
    <row r="70" spans="2:18" s="2056" customFormat="1">
      <c r="B70" s="2535"/>
      <c r="C70" s="2535"/>
      <c r="D70" s="2535"/>
      <c r="E70" s="2535"/>
      <c r="F70" s="2535"/>
      <c r="G70" s="2536"/>
      <c r="H70" s="2535"/>
      <c r="I70" s="2536"/>
      <c r="J70" s="2535"/>
      <c r="K70" s="2535"/>
      <c r="L70" s="2536"/>
      <c r="M70" s="2535"/>
      <c r="N70" s="2535"/>
      <c r="O70" s="2536"/>
      <c r="P70" s="2535"/>
      <c r="Q70" s="2535"/>
      <c r="R70" s="2537"/>
    </row>
    <row r="71" spans="2:18" s="2056" customFormat="1">
      <c r="B71" s="2535"/>
      <c r="C71" s="2535"/>
      <c r="D71" s="2535"/>
      <c r="E71" s="2535"/>
      <c r="F71" s="2535"/>
      <c r="G71" s="2536"/>
      <c r="H71" s="2535"/>
      <c r="I71" s="2536"/>
      <c r="J71" s="2535"/>
      <c r="K71" s="2535"/>
      <c r="L71" s="2536"/>
      <c r="M71" s="2535"/>
      <c r="N71" s="2535"/>
      <c r="O71" s="2536"/>
      <c r="P71" s="2535"/>
      <c r="Q71" s="2535"/>
      <c r="R71" s="2537"/>
    </row>
    <row r="72" spans="2:18" s="2056" customFormat="1">
      <c r="B72" s="2535"/>
      <c r="C72" s="2535"/>
      <c r="D72" s="2535"/>
      <c r="E72" s="2535"/>
      <c r="F72" s="2535"/>
      <c r="G72" s="2536"/>
      <c r="H72" s="2535"/>
      <c r="I72" s="2536"/>
      <c r="J72" s="2535"/>
      <c r="K72" s="2535"/>
      <c r="L72" s="2536"/>
      <c r="M72" s="2535"/>
      <c r="N72" s="2535"/>
      <c r="O72" s="2536"/>
      <c r="P72" s="2535"/>
      <c r="Q72" s="2535"/>
      <c r="R72" s="2537"/>
    </row>
    <row r="73" spans="2:18" s="2056" customFormat="1">
      <c r="B73" s="2535"/>
      <c r="C73" s="2535"/>
      <c r="D73" s="2535"/>
      <c r="E73" s="2535"/>
      <c r="F73" s="2535"/>
      <c r="G73" s="2536"/>
      <c r="H73" s="2535"/>
      <c r="I73" s="2536"/>
      <c r="J73" s="2535"/>
      <c r="K73" s="2535"/>
      <c r="L73" s="2536"/>
      <c r="M73" s="2535"/>
      <c r="N73" s="2535"/>
      <c r="O73" s="2536"/>
      <c r="P73" s="2535"/>
      <c r="Q73" s="2535"/>
      <c r="R73" s="2537"/>
    </row>
    <row r="74" spans="2:18" s="2056" customFormat="1">
      <c r="B74" s="2535"/>
      <c r="C74" s="2535"/>
      <c r="D74" s="2535"/>
      <c r="E74" s="2535"/>
      <c r="F74" s="2535"/>
      <c r="G74" s="2536"/>
      <c r="H74" s="2535"/>
      <c r="I74" s="2536"/>
      <c r="J74" s="2535"/>
      <c r="K74" s="2535"/>
      <c r="L74" s="2536"/>
      <c r="M74" s="2535"/>
      <c r="N74" s="2535"/>
      <c r="O74" s="2536"/>
      <c r="P74" s="2535"/>
      <c r="Q74" s="2535"/>
      <c r="R74" s="2537"/>
    </row>
    <row r="75" spans="2:18" s="2056" customFormat="1">
      <c r="B75" s="2535"/>
      <c r="C75" s="2535"/>
      <c r="D75" s="2535"/>
      <c r="E75" s="2535"/>
      <c r="F75" s="2535"/>
      <c r="G75" s="2536"/>
      <c r="H75" s="2535"/>
      <c r="I75" s="2536"/>
      <c r="J75" s="2535"/>
      <c r="K75" s="2535"/>
      <c r="L75" s="2536"/>
      <c r="M75" s="2535"/>
      <c r="N75" s="2535"/>
      <c r="O75" s="2536"/>
      <c r="P75" s="2535"/>
      <c r="Q75" s="2535"/>
      <c r="R75" s="2537"/>
    </row>
    <row r="76" spans="2:18" s="2056" customFormat="1">
      <c r="B76" s="2535"/>
      <c r="C76" s="2535"/>
      <c r="D76" s="2535"/>
      <c r="E76" s="2535"/>
      <c r="F76" s="2535"/>
      <c r="G76" s="2536"/>
      <c r="H76" s="2535"/>
      <c r="I76" s="2536"/>
      <c r="J76" s="2535"/>
      <c r="K76" s="2535"/>
      <c r="L76" s="2536"/>
      <c r="M76" s="2535"/>
      <c r="N76" s="2535"/>
      <c r="O76" s="2536"/>
      <c r="P76" s="2535"/>
      <c r="Q76" s="2535"/>
      <c r="R76" s="2537"/>
    </row>
    <row r="77" spans="2:18" s="2056" customFormat="1">
      <c r="B77" s="2535"/>
      <c r="C77" s="2535"/>
      <c r="D77" s="2535"/>
      <c r="E77" s="2535"/>
      <c r="F77" s="2535"/>
      <c r="G77" s="2536"/>
      <c r="H77" s="2535"/>
      <c r="I77" s="2536"/>
      <c r="J77" s="2535"/>
      <c r="K77" s="2535"/>
      <c r="L77" s="2536"/>
      <c r="M77" s="2535"/>
      <c r="N77" s="2535"/>
      <c r="O77" s="2536"/>
      <c r="P77" s="2535"/>
      <c r="Q77" s="2535"/>
      <c r="R77" s="2537"/>
    </row>
    <row r="78" spans="2:18" s="2056" customFormat="1">
      <c r="B78" s="2535"/>
      <c r="C78" s="2535"/>
      <c r="D78" s="2535"/>
      <c r="E78" s="2535"/>
      <c r="F78" s="2535"/>
      <c r="G78" s="2536"/>
      <c r="H78" s="2535"/>
      <c r="I78" s="2536"/>
      <c r="J78" s="2535"/>
      <c r="K78" s="2535"/>
      <c r="L78" s="2536"/>
      <c r="M78" s="2535"/>
      <c r="N78" s="2535"/>
      <c r="O78" s="2536"/>
      <c r="P78" s="2535"/>
      <c r="Q78" s="2535"/>
      <c r="R78" s="2537"/>
    </row>
    <row r="79" spans="2:18" s="2056" customFormat="1">
      <c r="B79" s="2535"/>
      <c r="C79" s="2535"/>
      <c r="D79" s="2535"/>
      <c r="E79" s="2535"/>
      <c r="F79" s="2535"/>
      <c r="G79" s="2536"/>
      <c r="H79" s="2535"/>
      <c r="I79" s="2536"/>
      <c r="J79" s="2535"/>
      <c r="K79" s="2535"/>
      <c r="L79" s="2536"/>
      <c r="M79" s="2535"/>
      <c r="N79" s="2535"/>
      <c r="O79" s="2536"/>
      <c r="P79" s="2535"/>
      <c r="Q79" s="2535"/>
      <c r="R79" s="2537"/>
    </row>
    <row r="80" spans="2:18" s="2056" customFormat="1">
      <c r="B80" s="2535"/>
      <c r="C80" s="2535"/>
      <c r="D80" s="2535"/>
      <c r="E80" s="2535"/>
      <c r="F80" s="2535"/>
      <c r="G80" s="2536"/>
      <c r="H80" s="2535"/>
      <c r="I80" s="2536"/>
      <c r="J80" s="2535"/>
      <c r="K80" s="2535"/>
      <c r="L80" s="2536"/>
      <c r="M80" s="2535"/>
      <c r="N80" s="2535"/>
      <c r="O80" s="2536"/>
      <c r="P80" s="2535"/>
      <c r="Q80" s="2535"/>
      <c r="R80" s="2537"/>
    </row>
    <row r="81" spans="2:18" s="2056" customFormat="1">
      <c r="B81" s="2535"/>
      <c r="C81" s="2535"/>
      <c r="D81" s="2535"/>
      <c r="E81" s="2535"/>
      <c r="F81" s="2535"/>
      <c r="G81" s="2536"/>
      <c r="H81" s="2535"/>
      <c r="I81" s="2536"/>
      <c r="J81" s="2535"/>
      <c r="K81" s="2535"/>
      <c r="L81" s="2536"/>
      <c r="M81" s="2535"/>
      <c r="N81" s="2535"/>
      <c r="O81" s="2536"/>
      <c r="P81" s="2535"/>
      <c r="Q81" s="2535"/>
      <c r="R81" s="2537"/>
    </row>
    <row r="82" spans="2:18" s="2056" customFormat="1">
      <c r="B82" s="2535"/>
      <c r="C82" s="2535"/>
      <c r="D82" s="2535"/>
      <c r="E82" s="2535"/>
      <c r="F82" s="2535"/>
      <c r="G82" s="2536"/>
      <c r="H82" s="2535"/>
      <c r="I82" s="2536"/>
      <c r="J82" s="2535"/>
      <c r="K82" s="2535"/>
      <c r="L82" s="2536"/>
      <c r="M82" s="2535"/>
      <c r="N82" s="2535"/>
      <c r="O82" s="2536"/>
      <c r="P82" s="2535"/>
      <c r="Q82" s="2535"/>
      <c r="R82" s="2537"/>
    </row>
    <row r="83" spans="2:18" s="2056" customFormat="1">
      <c r="B83" s="2535"/>
      <c r="C83" s="2535"/>
      <c r="D83" s="2535"/>
      <c r="E83" s="2535"/>
      <c r="F83" s="2535"/>
      <c r="G83" s="2536"/>
      <c r="H83" s="2535"/>
      <c r="I83" s="2536"/>
      <c r="J83" s="2535"/>
      <c r="K83" s="2535"/>
      <c r="L83" s="2536"/>
      <c r="M83" s="2535"/>
      <c r="N83" s="2535"/>
      <c r="O83" s="2536"/>
      <c r="P83" s="2535"/>
      <c r="Q83" s="2535"/>
      <c r="R83" s="2537"/>
    </row>
    <row r="84" spans="2:18" s="2056" customFormat="1">
      <c r="B84" s="2535"/>
      <c r="C84" s="2535"/>
      <c r="D84" s="2535"/>
      <c r="E84" s="2535"/>
      <c r="F84" s="2535"/>
      <c r="G84" s="2536"/>
      <c r="H84" s="2535"/>
      <c r="I84" s="2536"/>
      <c r="J84" s="2535"/>
      <c r="K84" s="2535"/>
      <c r="L84" s="2536"/>
      <c r="M84" s="2535"/>
      <c r="N84" s="2535"/>
      <c r="O84" s="2536"/>
      <c r="P84" s="2535"/>
      <c r="Q84" s="2535"/>
      <c r="R84" s="2537"/>
    </row>
    <row r="85" spans="2:18" s="2056" customFormat="1">
      <c r="B85" s="2535"/>
      <c r="C85" s="2535"/>
      <c r="D85" s="2535"/>
      <c r="E85" s="2535"/>
      <c r="F85" s="2535"/>
      <c r="G85" s="2536"/>
      <c r="H85" s="2535"/>
      <c r="I85" s="2536"/>
      <c r="J85" s="2535"/>
      <c r="K85" s="2535"/>
      <c r="L85" s="2536"/>
      <c r="M85" s="2535"/>
      <c r="N85" s="2535"/>
      <c r="O85" s="2536"/>
      <c r="P85" s="2535"/>
      <c r="Q85" s="2535"/>
      <c r="R85" s="2537"/>
    </row>
    <row r="86" spans="2:18" s="2056" customFormat="1">
      <c r="B86" s="2535"/>
      <c r="C86" s="2535"/>
      <c r="D86" s="2535"/>
      <c r="E86" s="2535"/>
      <c r="F86" s="2535"/>
      <c r="G86" s="2536"/>
      <c r="H86" s="2535"/>
      <c r="I86" s="2536"/>
      <c r="J86" s="2535"/>
      <c r="K86" s="2535"/>
      <c r="L86" s="2536"/>
      <c r="M86" s="2535"/>
      <c r="N86" s="2535"/>
      <c r="O86" s="2536"/>
      <c r="P86" s="2535"/>
      <c r="Q86" s="2535"/>
      <c r="R86" s="2537"/>
    </row>
    <row r="87" spans="2:18" s="2056" customFormat="1">
      <c r="B87" s="2535"/>
      <c r="C87" s="2535"/>
      <c r="D87" s="2535"/>
      <c r="E87" s="2535"/>
      <c r="F87" s="2535"/>
      <c r="G87" s="2536"/>
      <c r="H87" s="2535"/>
      <c r="I87" s="2536"/>
      <c r="J87" s="2535"/>
      <c r="K87" s="2535"/>
      <c r="L87" s="2536"/>
      <c r="M87" s="2535"/>
      <c r="N87" s="2535"/>
      <c r="O87" s="2536"/>
      <c r="P87" s="2535"/>
      <c r="Q87" s="2535"/>
      <c r="R87" s="2537"/>
    </row>
    <row r="88" spans="2:18" s="2056" customFormat="1">
      <c r="B88" s="2535"/>
      <c r="C88" s="2535"/>
      <c r="D88" s="2535"/>
      <c r="E88" s="2535"/>
      <c r="F88" s="2535"/>
      <c r="G88" s="2536"/>
      <c r="H88" s="2535"/>
      <c r="I88" s="2536"/>
      <c r="J88" s="2535"/>
      <c r="K88" s="2535"/>
      <c r="L88" s="2536"/>
      <c r="M88" s="2535"/>
      <c r="N88" s="2535"/>
      <c r="O88" s="2536"/>
      <c r="P88" s="2535"/>
      <c r="Q88" s="2535"/>
      <c r="R88" s="2537"/>
    </row>
    <row r="89" spans="2:18" s="2056" customFormat="1">
      <c r="B89" s="2535"/>
      <c r="C89" s="2535"/>
      <c r="D89" s="2535"/>
      <c r="E89" s="2535"/>
      <c r="F89" s="2535"/>
      <c r="G89" s="2536"/>
      <c r="H89" s="2535"/>
      <c r="I89" s="2536"/>
      <c r="J89" s="2535"/>
      <c r="K89" s="2535"/>
      <c r="L89" s="2536"/>
      <c r="M89" s="2535"/>
      <c r="N89" s="2535"/>
      <c r="O89" s="2536"/>
      <c r="P89" s="2535"/>
      <c r="Q89" s="2535"/>
      <c r="R89" s="2537"/>
    </row>
    <row r="90" spans="2:18" s="2056" customFormat="1">
      <c r="B90" s="2535"/>
      <c r="C90" s="2535"/>
      <c r="D90" s="2535"/>
      <c r="E90" s="2535"/>
      <c r="F90" s="2535"/>
      <c r="G90" s="2536"/>
      <c r="H90" s="2535"/>
      <c r="I90" s="2536"/>
      <c r="J90" s="2535"/>
      <c r="K90" s="2535"/>
      <c r="L90" s="2536"/>
      <c r="M90" s="2535"/>
      <c r="N90" s="2535"/>
      <c r="O90" s="2536"/>
      <c r="P90" s="2535"/>
      <c r="Q90" s="2535"/>
      <c r="R90" s="2537"/>
    </row>
    <row r="91" spans="2:18" s="2056" customFormat="1">
      <c r="B91" s="2535"/>
      <c r="C91" s="2535"/>
      <c r="D91" s="2535"/>
      <c r="E91" s="2535"/>
      <c r="F91" s="2535"/>
      <c r="G91" s="2536"/>
      <c r="H91" s="2535"/>
      <c r="I91" s="2536"/>
      <c r="J91" s="2535"/>
      <c r="K91" s="2535"/>
      <c r="L91" s="2536"/>
      <c r="M91" s="2535"/>
      <c r="N91" s="2535"/>
      <c r="O91" s="2536"/>
      <c r="P91" s="2535"/>
      <c r="Q91" s="2535"/>
      <c r="R91" s="2537"/>
    </row>
    <row r="92" spans="2:18" s="2056" customFormat="1">
      <c r="B92" s="2535"/>
      <c r="C92" s="2535"/>
      <c r="D92" s="2535"/>
      <c r="E92" s="2535"/>
      <c r="F92" s="2535"/>
      <c r="G92" s="2536"/>
      <c r="H92" s="2535"/>
      <c r="I92" s="2536"/>
      <c r="J92" s="2535"/>
      <c r="K92" s="2535"/>
      <c r="L92" s="2536"/>
      <c r="M92" s="2535"/>
      <c r="N92" s="2535"/>
      <c r="O92" s="2536"/>
      <c r="P92" s="2535"/>
      <c r="Q92" s="2535"/>
      <c r="R92" s="2537"/>
    </row>
    <row r="93" spans="2:18" s="2056" customFormat="1">
      <c r="B93" s="2535"/>
      <c r="C93" s="2535"/>
      <c r="D93" s="2535"/>
      <c r="E93" s="2535"/>
      <c r="F93" s="2535"/>
      <c r="G93" s="2536"/>
      <c r="H93" s="2535"/>
      <c r="I93" s="2536"/>
      <c r="J93" s="2535"/>
      <c r="K93" s="2535"/>
      <c r="L93" s="2536"/>
      <c r="M93" s="2535"/>
      <c r="N93" s="2535"/>
      <c r="O93" s="2536"/>
      <c r="P93" s="2535"/>
      <c r="Q93" s="2535"/>
      <c r="R93" s="2537"/>
    </row>
    <row r="94" spans="2:18" s="2056" customFormat="1">
      <c r="B94" s="2535"/>
      <c r="C94" s="2535"/>
      <c r="D94" s="2535"/>
      <c r="E94" s="2535"/>
      <c r="F94" s="2535"/>
      <c r="G94" s="2536"/>
      <c r="H94" s="2535"/>
      <c r="I94" s="2536"/>
      <c r="J94" s="2535"/>
      <c r="K94" s="2535"/>
      <c r="L94" s="2536"/>
      <c r="M94" s="2535"/>
      <c r="N94" s="2535"/>
      <c r="O94" s="2536"/>
      <c r="P94" s="2535"/>
      <c r="Q94" s="2535"/>
      <c r="R94" s="2537"/>
    </row>
    <row r="95" spans="2:18" s="2056" customFormat="1">
      <c r="B95" s="2535"/>
      <c r="C95" s="2535"/>
      <c r="D95" s="2535"/>
      <c r="E95" s="2535"/>
      <c r="F95" s="2535"/>
      <c r="G95" s="2536"/>
      <c r="H95" s="2535"/>
      <c r="I95" s="2536"/>
      <c r="J95" s="2535"/>
      <c r="K95" s="2535"/>
      <c r="L95" s="2536"/>
      <c r="M95" s="2535"/>
      <c r="N95" s="2535"/>
      <c r="O95" s="2536"/>
      <c r="P95" s="2535"/>
      <c r="Q95" s="2535"/>
      <c r="R95" s="2537"/>
    </row>
    <row r="96" spans="2:18" s="2056" customFormat="1">
      <c r="B96" s="2535"/>
      <c r="C96" s="2535"/>
      <c r="D96" s="2535"/>
      <c r="E96" s="2535"/>
      <c r="F96" s="2535"/>
      <c r="G96" s="2536"/>
      <c r="H96" s="2535"/>
      <c r="I96" s="2536"/>
      <c r="J96" s="2535"/>
      <c r="K96" s="2535"/>
      <c r="L96" s="2536"/>
      <c r="M96" s="2535"/>
      <c r="N96" s="2535"/>
      <c r="O96" s="2536"/>
      <c r="P96" s="2535"/>
      <c r="Q96" s="2535"/>
      <c r="R96" s="2537"/>
    </row>
    <row r="97" spans="2:18" s="2056" customFormat="1">
      <c r="B97" s="2535"/>
      <c r="C97" s="2535"/>
      <c r="D97" s="2535"/>
      <c r="E97" s="2535"/>
      <c r="F97" s="2535"/>
      <c r="G97" s="2536"/>
      <c r="H97" s="2535"/>
      <c r="I97" s="2536"/>
      <c r="J97" s="2535"/>
      <c r="K97" s="2535"/>
      <c r="L97" s="2536"/>
      <c r="M97" s="2535"/>
      <c r="N97" s="2535"/>
      <c r="O97" s="2536"/>
      <c r="P97" s="2535"/>
      <c r="Q97" s="2535"/>
      <c r="R97" s="2537"/>
    </row>
    <row r="98" spans="2:18" s="2056" customFormat="1">
      <c r="B98" s="2535"/>
      <c r="C98" s="2535"/>
      <c r="D98" s="2535"/>
      <c r="E98" s="2535"/>
      <c r="F98" s="2535"/>
      <c r="G98" s="2536"/>
      <c r="H98" s="2535"/>
      <c r="I98" s="2536"/>
      <c r="J98" s="2535"/>
      <c r="K98" s="2535"/>
      <c r="L98" s="2536"/>
      <c r="M98" s="2535"/>
      <c r="N98" s="2535"/>
      <c r="O98" s="2536"/>
      <c r="P98" s="2535"/>
      <c r="Q98" s="2535"/>
      <c r="R98" s="2537"/>
    </row>
    <row r="99" spans="2:18" s="2056" customFormat="1">
      <c r="B99" s="2535"/>
      <c r="C99" s="2535"/>
      <c r="D99" s="2535"/>
      <c r="E99" s="2535"/>
      <c r="F99" s="2535"/>
      <c r="G99" s="2536"/>
      <c r="H99" s="2535"/>
      <c r="I99" s="2536"/>
      <c r="J99" s="2535"/>
      <c r="K99" s="2535"/>
      <c r="L99" s="2536"/>
      <c r="M99" s="2535"/>
      <c r="N99" s="2535"/>
      <c r="O99" s="2536"/>
      <c r="P99" s="2535"/>
      <c r="Q99" s="2535"/>
      <c r="R99" s="2537"/>
    </row>
    <row r="100" spans="2:18" s="2056" customFormat="1">
      <c r="B100" s="2535"/>
      <c r="C100" s="2535"/>
      <c r="D100" s="2535"/>
      <c r="E100" s="2535"/>
      <c r="F100" s="2535"/>
      <c r="G100" s="2536"/>
      <c r="H100" s="2535"/>
      <c r="I100" s="2536"/>
      <c r="J100" s="2535"/>
      <c r="K100" s="2535"/>
      <c r="L100" s="2536"/>
      <c r="M100" s="2535"/>
      <c r="N100" s="2535"/>
      <c r="O100" s="2536"/>
      <c r="P100" s="2535"/>
      <c r="Q100" s="2535"/>
      <c r="R100" s="2537"/>
    </row>
    <row r="101" spans="2:18" s="2056" customFormat="1">
      <c r="B101" s="2535"/>
      <c r="C101" s="2535"/>
      <c r="D101" s="2535"/>
      <c r="E101" s="2535"/>
      <c r="F101" s="2535"/>
      <c r="G101" s="2536"/>
      <c r="H101" s="2535"/>
      <c r="I101" s="2536"/>
      <c r="J101" s="2535"/>
      <c r="K101" s="2535"/>
      <c r="L101" s="2536"/>
      <c r="M101" s="2535"/>
      <c r="N101" s="2535"/>
      <c r="O101" s="2536"/>
      <c r="P101" s="2535"/>
      <c r="Q101" s="2535"/>
      <c r="R101" s="2537"/>
    </row>
    <row r="102" spans="2:18" s="2056" customFormat="1">
      <c r="B102" s="2535"/>
      <c r="C102" s="2535"/>
      <c r="D102" s="2535"/>
      <c r="E102" s="2535"/>
      <c r="F102" s="2535"/>
      <c r="G102" s="2536"/>
      <c r="H102" s="2535"/>
      <c r="I102" s="2536"/>
      <c r="J102" s="2535"/>
      <c r="K102" s="2535"/>
      <c r="L102" s="2536"/>
      <c r="M102" s="2535"/>
      <c r="N102" s="2535"/>
      <c r="O102" s="2536"/>
      <c r="P102" s="2535"/>
      <c r="Q102" s="2535"/>
      <c r="R102" s="2537"/>
    </row>
    <row r="103" spans="2:18" s="2056" customFormat="1">
      <c r="B103" s="2535"/>
      <c r="C103" s="2535"/>
      <c r="D103" s="2535"/>
      <c r="E103" s="2535"/>
      <c r="F103" s="2535"/>
      <c r="G103" s="2536"/>
      <c r="H103" s="2535"/>
      <c r="I103" s="2536"/>
      <c r="J103" s="2535"/>
      <c r="K103" s="2535"/>
      <c r="L103" s="2536"/>
      <c r="M103" s="2535"/>
      <c r="N103" s="2535"/>
      <c r="O103" s="2536"/>
      <c r="P103" s="2535"/>
      <c r="Q103" s="2535"/>
      <c r="R103" s="2537"/>
    </row>
    <row r="104" spans="2:18" s="2056" customFormat="1">
      <c r="B104" s="2535"/>
      <c r="C104" s="2535"/>
      <c r="D104" s="2535"/>
      <c r="E104" s="2535"/>
      <c r="F104" s="2535"/>
      <c r="G104" s="2536"/>
      <c r="H104" s="2535"/>
      <c r="I104" s="2536"/>
      <c r="J104" s="2535"/>
      <c r="K104" s="2535"/>
      <c r="L104" s="2536"/>
      <c r="M104" s="2535"/>
      <c r="N104" s="2535"/>
      <c r="O104" s="2536"/>
      <c r="P104" s="2535"/>
      <c r="Q104" s="2535"/>
      <c r="R104" s="2537"/>
    </row>
    <row r="105" spans="2:18" s="2056" customFormat="1">
      <c r="B105" s="2535"/>
      <c r="C105" s="2535"/>
      <c r="D105" s="2535"/>
      <c r="E105" s="2535"/>
      <c r="F105" s="2535"/>
      <c r="G105" s="2536"/>
      <c r="H105" s="2535"/>
      <c r="I105" s="2536"/>
      <c r="J105" s="2535"/>
      <c r="K105" s="2535"/>
      <c r="L105" s="2536"/>
      <c r="M105" s="2535"/>
      <c r="N105" s="2535"/>
      <c r="O105" s="2536"/>
      <c r="P105" s="2535"/>
      <c r="Q105" s="2535"/>
      <c r="R105" s="2537"/>
    </row>
    <row r="106" spans="2:18" s="2056" customFormat="1">
      <c r="B106" s="2535"/>
      <c r="C106" s="2535"/>
      <c r="D106" s="2535"/>
      <c r="E106" s="2535"/>
      <c r="F106" s="2535"/>
      <c r="G106" s="2536"/>
      <c r="H106" s="2535"/>
      <c r="I106" s="2536"/>
      <c r="J106" s="2535"/>
      <c r="K106" s="2535"/>
      <c r="L106" s="2536"/>
      <c r="M106" s="2535"/>
      <c r="N106" s="2535"/>
      <c r="O106" s="2536"/>
      <c r="P106" s="2535"/>
      <c r="Q106" s="2535"/>
      <c r="R106" s="2537"/>
    </row>
    <row r="107" spans="2:18" s="2056" customFormat="1">
      <c r="B107" s="2535"/>
      <c r="C107" s="2535"/>
      <c r="D107" s="2535"/>
      <c r="E107" s="2535"/>
      <c r="F107" s="2535"/>
      <c r="G107" s="2536"/>
      <c r="H107" s="2535"/>
      <c r="I107" s="2536"/>
      <c r="J107" s="2535"/>
      <c r="K107" s="2535"/>
      <c r="L107" s="2536"/>
      <c r="M107" s="2535"/>
      <c r="N107" s="2535"/>
      <c r="O107" s="2536"/>
      <c r="P107" s="2535"/>
      <c r="Q107" s="2535"/>
      <c r="R107" s="2537"/>
    </row>
    <row r="108" spans="2:18" s="2056" customFormat="1">
      <c r="B108" s="2535"/>
      <c r="C108" s="2535"/>
      <c r="D108" s="2535"/>
      <c r="E108" s="2535"/>
      <c r="F108" s="2535"/>
      <c r="G108" s="2536"/>
      <c r="H108" s="2535"/>
      <c r="I108" s="2536"/>
      <c r="J108" s="2535"/>
      <c r="K108" s="2535"/>
      <c r="L108" s="2536"/>
      <c r="M108" s="2535"/>
      <c r="N108" s="2535"/>
      <c r="O108" s="2536"/>
      <c r="P108" s="2535"/>
      <c r="Q108" s="2535"/>
      <c r="R108" s="2537"/>
    </row>
    <row r="109" spans="2:18" s="2056" customFormat="1">
      <c r="B109" s="2535"/>
      <c r="C109" s="2535"/>
      <c r="D109" s="2535"/>
      <c r="E109" s="2535"/>
      <c r="F109" s="2535"/>
      <c r="G109" s="2536"/>
      <c r="H109" s="2535"/>
      <c r="I109" s="2536"/>
      <c r="J109" s="2535"/>
      <c r="K109" s="2535"/>
      <c r="L109" s="2536"/>
      <c r="M109" s="2535"/>
      <c r="N109" s="2535"/>
      <c r="O109" s="2536"/>
      <c r="P109" s="2535"/>
      <c r="Q109" s="2535"/>
      <c r="R109" s="2537"/>
    </row>
    <row r="110" spans="2:18" s="2056" customFormat="1">
      <c r="B110" s="2535"/>
      <c r="C110" s="2535"/>
      <c r="D110" s="2535"/>
      <c r="E110" s="2535"/>
      <c r="F110" s="2535"/>
      <c r="G110" s="2536"/>
      <c r="H110" s="2535"/>
      <c r="I110" s="2536"/>
      <c r="J110" s="2535"/>
      <c r="K110" s="2535"/>
      <c r="L110" s="2536"/>
      <c r="M110" s="2535"/>
      <c r="N110" s="2535"/>
      <c r="O110" s="2536"/>
      <c r="P110" s="2535"/>
      <c r="Q110" s="2535"/>
      <c r="R110" s="2537"/>
    </row>
    <row r="111" spans="2:18" s="2056" customFormat="1">
      <c r="B111" s="2535"/>
      <c r="C111" s="2535"/>
      <c r="D111" s="2535"/>
      <c r="E111" s="2535"/>
      <c r="F111" s="2535"/>
      <c r="G111" s="2536"/>
      <c r="H111" s="2535"/>
      <c r="I111" s="2536"/>
      <c r="J111" s="2535"/>
      <c r="K111" s="2535"/>
      <c r="L111" s="2536"/>
      <c r="M111" s="2535"/>
      <c r="N111" s="2535"/>
      <c r="O111" s="2536"/>
      <c r="P111" s="2535"/>
      <c r="Q111" s="2535"/>
      <c r="R111" s="2537"/>
    </row>
    <row r="112" spans="2:18" s="2056" customFormat="1">
      <c r="B112" s="2535"/>
      <c r="C112" s="2535"/>
      <c r="D112" s="2535"/>
      <c r="E112" s="2535"/>
      <c r="F112" s="2535"/>
      <c r="G112" s="2536"/>
      <c r="H112" s="2535"/>
      <c r="I112" s="2536"/>
      <c r="J112" s="2535"/>
      <c r="K112" s="2535"/>
      <c r="L112" s="2536"/>
      <c r="M112" s="2535"/>
      <c r="N112" s="2535"/>
      <c r="O112" s="2536"/>
      <c r="P112" s="2535"/>
      <c r="Q112" s="2535"/>
      <c r="R112" s="2537"/>
    </row>
    <row r="113" spans="2:18" s="2056" customFormat="1">
      <c r="B113" s="2535"/>
      <c r="C113" s="2535"/>
      <c r="D113" s="2535"/>
      <c r="E113" s="2535"/>
      <c r="F113" s="2535"/>
      <c r="G113" s="2536"/>
      <c r="H113" s="2535"/>
      <c r="I113" s="2536"/>
      <c r="J113" s="2535"/>
      <c r="K113" s="2535"/>
      <c r="L113" s="2536"/>
      <c r="M113" s="2535"/>
      <c r="N113" s="2535"/>
      <c r="O113" s="2536"/>
      <c r="P113" s="2535"/>
      <c r="Q113" s="2535"/>
      <c r="R113" s="2537"/>
    </row>
    <row r="114" spans="2:18" s="2056" customFormat="1">
      <c r="B114" s="2535"/>
      <c r="C114" s="2535"/>
      <c r="D114" s="2535"/>
      <c r="E114" s="2535"/>
      <c r="F114" s="2535"/>
      <c r="G114" s="2536"/>
      <c r="H114" s="2535"/>
      <c r="I114" s="2536"/>
      <c r="J114" s="2535"/>
      <c r="K114" s="2535"/>
      <c r="L114" s="2536"/>
      <c r="M114" s="2535"/>
      <c r="N114" s="2535"/>
      <c r="O114" s="2536"/>
      <c r="P114" s="2535"/>
      <c r="Q114" s="2535"/>
      <c r="R114" s="2537"/>
    </row>
    <row r="115" spans="2:18" s="2056" customFormat="1">
      <c r="B115" s="2535"/>
      <c r="C115" s="2535"/>
      <c r="D115" s="2535"/>
      <c r="E115" s="2535"/>
      <c r="F115" s="2535"/>
      <c r="G115" s="2536"/>
      <c r="H115" s="2535"/>
      <c r="I115" s="2536"/>
      <c r="J115" s="2535"/>
      <c r="K115" s="2535"/>
      <c r="L115" s="2536"/>
      <c r="M115" s="2535"/>
      <c r="N115" s="2535"/>
      <c r="O115" s="2536"/>
      <c r="P115" s="2535"/>
      <c r="Q115" s="2535"/>
      <c r="R115" s="2537"/>
    </row>
    <row r="116" spans="2:18" s="2056" customFormat="1">
      <c r="B116" s="2535"/>
      <c r="C116" s="2535"/>
      <c r="D116" s="2535"/>
      <c r="E116" s="2535"/>
      <c r="F116" s="2535"/>
      <c r="G116" s="2536"/>
      <c r="H116" s="2535"/>
      <c r="I116" s="2536"/>
      <c r="J116" s="2535"/>
      <c r="K116" s="2535"/>
      <c r="L116" s="2536"/>
      <c r="M116" s="2535"/>
      <c r="N116" s="2535"/>
      <c r="O116" s="2536"/>
      <c r="P116" s="2535"/>
      <c r="Q116" s="2535"/>
      <c r="R116" s="2537"/>
    </row>
    <row r="117" spans="2:18" s="2056" customFormat="1">
      <c r="B117" s="2535"/>
      <c r="C117" s="2535"/>
      <c r="D117" s="2535"/>
      <c r="E117" s="2535"/>
      <c r="F117" s="2535"/>
      <c r="G117" s="2536"/>
      <c r="H117" s="2535"/>
      <c r="I117" s="2536"/>
      <c r="J117" s="2535"/>
      <c r="K117" s="2535"/>
      <c r="L117" s="2536"/>
      <c r="M117" s="2535"/>
      <c r="N117" s="2535"/>
      <c r="O117" s="2536"/>
      <c r="P117" s="2535"/>
      <c r="Q117" s="2535"/>
      <c r="R117" s="2537"/>
    </row>
    <row r="118" spans="2:18" s="2056" customFormat="1">
      <c r="B118" s="2535"/>
      <c r="C118" s="2535"/>
      <c r="D118" s="2535"/>
      <c r="E118" s="2535"/>
      <c r="F118" s="2535"/>
      <c r="G118" s="2536"/>
      <c r="H118" s="2535"/>
      <c r="I118" s="2536"/>
      <c r="J118" s="2535"/>
      <c r="K118" s="2535"/>
      <c r="L118" s="2536"/>
      <c r="M118" s="2535"/>
      <c r="N118" s="2535"/>
      <c r="O118" s="2536"/>
      <c r="P118" s="2535"/>
      <c r="Q118" s="2535"/>
      <c r="R118" s="2537"/>
    </row>
    <row r="119" spans="2:18" s="2056" customFormat="1">
      <c r="B119" s="2535"/>
      <c r="C119" s="2535"/>
      <c r="D119" s="2535"/>
      <c r="E119" s="2535"/>
      <c r="F119" s="2535"/>
      <c r="G119" s="2536"/>
      <c r="H119" s="2535"/>
      <c r="I119" s="2536"/>
      <c r="J119" s="2535"/>
      <c r="K119" s="2535"/>
      <c r="L119" s="2536"/>
      <c r="M119" s="2535"/>
      <c r="N119" s="2535"/>
      <c r="O119" s="2536"/>
      <c r="P119" s="2535"/>
      <c r="Q119" s="2535"/>
      <c r="R119" s="2537"/>
    </row>
    <row r="120" spans="2:18" s="2056" customFormat="1">
      <c r="B120" s="2535"/>
      <c r="C120" s="2535"/>
      <c r="D120" s="2535"/>
      <c r="E120" s="2535"/>
      <c r="F120" s="2535"/>
      <c r="G120" s="2536"/>
      <c r="H120" s="2535"/>
      <c r="I120" s="2536"/>
      <c r="J120" s="2535"/>
      <c r="K120" s="2535"/>
      <c r="L120" s="2536"/>
      <c r="M120" s="2535"/>
      <c r="N120" s="2535"/>
      <c r="O120" s="2536"/>
      <c r="P120" s="2535"/>
      <c r="Q120" s="2535"/>
      <c r="R120" s="2537"/>
    </row>
    <row r="121" spans="2:18" s="2056" customFormat="1">
      <c r="B121" s="2535"/>
      <c r="C121" s="2535"/>
      <c r="D121" s="2535"/>
      <c r="E121" s="2535"/>
      <c r="F121" s="2535"/>
      <c r="G121" s="2536"/>
      <c r="H121" s="2535"/>
      <c r="I121" s="2536"/>
      <c r="J121" s="2535"/>
      <c r="K121" s="2535"/>
      <c r="L121" s="2536"/>
      <c r="M121" s="2535"/>
      <c r="N121" s="2535"/>
      <c r="O121" s="2536"/>
      <c r="P121" s="2535"/>
      <c r="Q121" s="2535"/>
      <c r="R121" s="2537"/>
    </row>
    <row r="122" spans="2:18" s="2056" customFormat="1">
      <c r="B122" s="2535"/>
      <c r="C122" s="2535"/>
      <c r="D122" s="2535"/>
      <c r="E122" s="2535"/>
      <c r="F122" s="2535"/>
      <c r="G122" s="2536"/>
      <c r="H122" s="2535"/>
      <c r="I122" s="2536"/>
      <c r="J122" s="2535"/>
      <c r="K122" s="2535"/>
      <c r="L122" s="2536"/>
      <c r="M122" s="2535"/>
      <c r="N122" s="2535"/>
      <c r="O122" s="2536"/>
      <c r="P122" s="2535"/>
      <c r="Q122" s="2535"/>
      <c r="R122" s="2537"/>
    </row>
    <row r="123" spans="2:18" s="2056" customFormat="1">
      <c r="B123" s="2535"/>
      <c r="C123" s="2535"/>
      <c r="D123" s="2535"/>
      <c r="E123" s="2535"/>
      <c r="F123" s="2535"/>
      <c r="G123" s="2536"/>
      <c r="H123" s="2535"/>
      <c r="I123" s="2536"/>
      <c r="J123" s="2535"/>
      <c r="K123" s="2535"/>
      <c r="L123" s="2536"/>
      <c r="M123" s="2535"/>
      <c r="N123" s="2535"/>
      <c r="O123" s="2536"/>
      <c r="P123" s="2535"/>
      <c r="Q123" s="2535"/>
      <c r="R123" s="2537"/>
    </row>
    <row r="124" spans="2:18" s="2056" customFormat="1">
      <c r="B124" s="2535"/>
      <c r="C124" s="2535"/>
      <c r="D124" s="2535"/>
      <c r="E124" s="2535"/>
      <c r="F124" s="2535"/>
      <c r="G124" s="2536"/>
      <c r="H124" s="2535"/>
      <c r="I124" s="2536"/>
      <c r="J124" s="2535"/>
      <c r="K124" s="2535"/>
      <c r="L124" s="2536"/>
      <c r="M124" s="2535"/>
      <c r="N124" s="2535"/>
      <c r="O124" s="2536"/>
      <c r="P124" s="2535"/>
      <c r="Q124" s="2535"/>
      <c r="R124" s="2537"/>
    </row>
    <row r="125" spans="2:18" s="2056" customFormat="1">
      <c r="B125" s="2535"/>
      <c r="C125" s="2535"/>
      <c r="D125" s="2535"/>
      <c r="E125" s="2535"/>
      <c r="F125" s="2535"/>
      <c r="G125" s="2536"/>
      <c r="H125" s="2535"/>
      <c r="I125" s="2536"/>
      <c r="J125" s="2535"/>
      <c r="K125" s="2535"/>
      <c r="L125" s="2536"/>
      <c r="M125" s="2535"/>
      <c r="N125" s="2535"/>
      <c r="O125" s="2536"/>
      <c r="P125" s="2535"/>
      <c r="Q125" s="2535"/>
      <c r="R125" s="2537"/>
    </row>
    <row r="126" spans="2:18" s="2056" customFormat="1">
      <c r="B126" s="2535"/>
      <c r="C126" s="2535"/>
      <c r="D126" s="2535"/>
      <c r="E126" s="2535"/>
      <c r="F126" s="2535"/>
      <c r="G126" s="2536"/>
      <c r="H126" s="2535"/>
      <c r="I126" s="2536"/>
      <c r="J126" s="2535"/>
      <c r="K126" s="2535"/>
      <c r="L126" s="2536"/>
      <c r="M126" s="2535"/>
      <c r="N126" s="2535"/>
      <c r="O126" s="2536"/>
      <c r="P126" s="2535"/>
      <c r="Q126" s="2535"/>
      <c r="R126" s="2537"/>
    </row>
    <row r="127" spans="2:18" s="2056" customFormat="1">
      <c r="B127" s="2535"/>
      <c r="C127" s="2535"/>
      <c r="D127" s="2535"/>
      <c r="E127" s="2535"/>
      <c r="F127" s="2535"/>
      <c r="G127" s="2536"/>
      <c r="H127" s="2535"/>
      <c r="I127" s="2536"/>
      <c r="J127" s="2535"/>
      <c r="K127" s="2535"/>
      <c r="L127" s="2536"/>
      <c r="M127" s="2535"/>
      <c r="N127" s="2535"/>
      <c r="O127" s="2536"/>
      <c r="P127" s="2535"/>
      <c r="Q127" s="2535"/>
      <c r="R127" s="2537"/>
    </row>
    <row r="128" spans="2:18" s="2056" customFormat="1">
      <c r="B128" s="2535"/>
      <c r="C128" s="2535"/>
      <c r="D128" s="2535"/>
      <c r="E128" s="2535"/>
      <c r="F128" s="2535"/>
      <c r="G128" s="2536"/>
      <c r="H128" s="2535"/>
      <c r="I128" s="2536"/>
      <c r="J128" s="2535"/>
      <c r="K128" s="2535"/>
      <c r="L128" s="2536"/>
      <c r="M128" s="2535"/>
      <c r="N128" s="2535"/>
      <c r="O128" s="2536"/>
      <c r="P128" s="2535"/>
      <c r="Q128" s="2535"/>
      <c r="R128" s="2537"/>
    </row>
    <row r="129" spans="2:18" s="2056" customFormat="1">
      <c r="B129" s="2535"/>
      <c r="C129" s="2535"/>
      <c r="D129" s="2535"/>
      <c r="E129" s="2535"/>
      <c r="F129" s="2535"/>
      <c r="G129" s="2536"/>
      <c r="H129" s="2535"/>
      <c r="I129" s="2536"/>
      <c r="J129" s="2535"/>
      <c r="K129" s="2535"/>
      <c r="L129" s="2536"/>
      <c r="M129" s="2535"/>
      <c r="N129" s="2535"/>
      <c r="O129" s="2536"/>
      <c r="P129" s="2535"/>
      <c r="Q129" s="2535"/>
      <c r="R129" s="2537"/>
    </row>
    <row r="130" spans="2:18" s="2056" customFormat="1">
      <c r="B130" s="2535"/>
      <c r="C130" s="2535"/>
      <c r="D130" s="2535"/>
      <c r="E130" s="2535"/>
      <c r="F130" s="2535"/>
      <c r="G130" s="2536"/>
      <c r="H130" s="2535"/>
      <c r="I130" s="2536"/>
      <c r="J130" s="2535"/>
      <c r="K130" s="2535"/>
      <c r="L130" s="2536"/>
      <c r="M130" s="2535"/>
      <c r="N130" s="2535"/>
      <c r="O130" s="2536"/>
      <c r="P130" s="2535"/>
      <c r="Q130" s="2535"/>
      <c r="R130" s="2537"/>
    </row>
    <row r="131" spans="2:18" s="2056" customFormat="1">
      <c r="B131" s="2535"/>
      <c r="C131" s="2535"/>
      <c r="D131" s="2535"/>
      <c r="E131" s="2535"/>
      <c r="F131" s="2535"/>
      <c r="G131" s="2536"/>
      <c r="H131" s="2535"/>
      <c r="I131" s="2536"/>
      <c r="J131" s="2535"/>
      <c r="K131" s="2535"/>
      <c r="L131" s="2536"/>
      <c r="M131" s="2535"/>
      <c r="N131" s="2535"/>
      <c r="O131" s="2536"/>
      <c r="P131" s="2535"/>
      <c r="Q131" s="2535"/>
      <c r="R131" s="2537"/>
    </row>
    <row r="132" spans="2:18" s="2056" customFormat="1">
      <c r="B132" s="2535"/>
      <c r="C132" s="2535"/>
      <c r="D132" s="2535"/>
      <c r="E132" s="2535"/>
      <c r="F132" s="2535"/>
      <c r="G132" s="2536"/>
      <c r="H132" s="2535"/>
      <c r="I132" s="2536"/>
      <c r="J132" s="2535"/>
      <c r="K132" s="2535"/>
      <c r="L132" s="2536"/>
      <c r="M132" s="2535"/>
      <c r="N132" s="2535"/>
      <c r="O132" s="2536"/>
      <c r="P132" s="2535"/>
      <c r="Q132" s="2535"/>
      <c r="R132" s="2537"/>
    </row>
    <row r="133" spans="2:18" s="2056" customFormat="1">
      <c r="B133" s="2535"/>
      <c r="C133" s="2535"/>
      <c r="D133" s="2535"/>
      <c r="E133" s="2535"/>
      <c r="F133" s="2535"/>
      <c r="G133" s="2536"/>
      <c r="H133" s="2535"/>
      <c r="I133" s="2536"/>
      <c r="J133" s="2535"/>
      <c r="K133" s="2535"/>
      <c r="L133" s="2536"/>
      <c r="M133" s="2535"/>
      <c r="N133" s="2535"/>
      <c r="O133" s="2536"/>
      <c r="P133" s="2535"/>
      <c r="Q133" s="2535"/>
      <c r="R133" s="2537"/>
    </row>
    <row r="134" spans="2:18" s="2056" customFormat="1">
      <c r="B134" s="2535"/>
      <c r="C134" s="2535"/>
      <c r="D134" s="2535"/>
      <c r="E134" s="2535"/>
      <c r="F134" s="2535"/>
      <c r="G134" s="2536"/>
      <c r="H134" s="2535"/>
      <c r="I134" s="2536"/>
      <c r="J134" s="2535"/>
      <c r="K134" s="2535"/>
      <c r="L134" s="2536"/>
      <c r="M134" s="2535"/>
      <c r="N134" s="2535"/>
      <c r="O134" s="2536"/>
      <c r="P134" s="2535"/>
      <c r="Q134" s="2535"/>
      <c r="R134" s="2537"/>
    </row>
    <row r="135" spans="2:18" s="2056" customFormat="1">
      <c r="B135" s="2535"/>
      <c r="C135" s="2535"/>
      <c r="D135" s="2535"/>
      <c r="E135" s="2535"/>
      <c r="F135" s="2535"/>
      <c r="G135" s="2536"/>
      <c r="H135" s="2535"/>
      <c r="I135" s="2536"/>
      <c r="J135" s="2535"/>
      <c r="K135" s="2535"/>
      <c r="L135" s="2536"/>
      <c r="M135" s="2535"/>
      <c r="N135" s="2535"/>
      <c r="O135" s="2536"/>
      <c r="P135" s="2535"/>
      <c r="Q135" s="2535"/>
      <c r="R135" s="2537"/>
    </row>
    <row r="136" spans="2:18" s="2056" customFormat="1">
      <c r="B136" s="2535"/>
      <c r="C136" s="2535"/>
      <c r="D136" s="2535"/>
      <c r="E136" s="2535"/>
      <c r="F136" s="2535"/>
      <c r="G136" s="2536"/>
      <c r="H136" s="2535"/>
      <c r="I136" s="2536"/>
      <c r="J136" s="2535"/>
      <c r="K136" s="2535"/>
      <c r="L136" s="2536"/>
      <c r="M136" s="2535"/>
      <c r="N136" s="2535"/>
      <c r="O136" s="2536"/>
      <c r="P136" s="2535"/>
      <c r="Q136" s="2535"/>
      <c r="R136" s="2537"/>
    </row>
    <row r="137" spans="2:18" s="2056" customFormat="1">
      <c r="B137" s="2535"/>
      <c r="C137" s="2535"/>
      <c r="D137" s="2535"/>
      <c r="E137" s="2535"/>
      <c r="F137" s="2535"/>
      <c r="G137" s="2536"/>
      <c r="H137" s="2535"/>
      <c r="I137" s="2536"/>
      <c r="J137" s="2535"/>
      <c r="K137" s="2535"/>
      <c r="L137" s="2536"/>
      <c r="M137" s="2535"/>
      <c r="N137" s="2535"/>
      <c r="O137" s="2536"/>
      <c r="P137" s="2535"/>
      <c r="Q137" s="2535"/>
      <c r="R137" s="2537"/>
    </row>
    <row r="138" spans="2:18" s="2056" customFormat="1">
      <c r="B138" s="2535"/>
      <c r="C138" s="2535"/>
      <c r="D138" s="2535"/>
      <c r="E138" s="2535"/>
      <c r="F138" s="2535"/>
      <c r="G138" s="2536"/>
      <c r="H138" s="2535"/>
      <c r="I138" s="2536"/>
      <c r="J138" s="2535"/>
      <c r="K138" s="2535"/>
      <c r="L138" s="2536"/>
      <c r="M138" s="2535"/>
      <c r="N138" s="2535"/>
      <c r="O138" s="2536"/>
      <c r="P138" s="2535"/>
      <c r="Q138" s="2535"/>
      <c r="R138" s="2537"/>
    </row>
    <row r="139" spans="2:18" s="2056" customFormat="1">
      <c r="B139" s="2535"/>
      <c r="C139" s="2535"/>
      <c r="D139" s="2535"/>
      <c r="E139" s="2535"/>
      <c r="F139" s="2535"/>
      <c r="G139" s="2536"/>
      <c r="H139" s="2535"/>
      <c r="I139" s="2536"/>
      <c r="J139" s="2535"/>
      <c r="K139" s="2535"/>
      <c r="L139" s="2536"/>
      <c r="M139" s="2535"/>
      <c r="N139" s="2535"/>
      <c r="O139" s="2536"/>
      <c r="P139" s="2535"/>
      <c r="Q139" s="2535"/>
      <c r="R139" s="2537"/>
    </row>
    <row r="140" spans="2:18" s="2056" customFormat="1">
      <c r="B140" s="2535"/>
      <c r="C140" s="2535"/>
      <c r="D140" s="2535"/>
      <c r="E140" s="2535"/>
      <c r="F140" s="2535"/>
      <c r="G140" s="2536"/>
      <c r="H140" s="2535"/>
      <c r="I140" s="2536"/>
      <c r="J140" s="2535"/>
      <c r="K140" s="2535"/>
      <c r="L140" s="2536"/>
      <c r="M140" s="2535"/>
      <c r="N140" s="2535"/>
      <c r="O140" s="2536"/>
      <c r="P140" s="2535"/>
      <c r="Q140" s="2535"/>
      <c r="R140" s="2537"/>
    </row>
    <row r="141" spans="2:18" s="2056" customFormat="1">
      <c r="B141" s="2535"/>
      <c r="C141" s="2535"/>
      <c r="D141" s="2535"/>
      <c r="E141" s="2535"/>
      <c r="F141" s="2535"/>
      <c r="G141" s="2536"/>
      <c r="H141" s="2535"/>
      <c r="I141" s="2536"/>
      <c r="J141" s="2535"/>
      <c r="K141" s="2535"/>
      <c r="L141" s="2536"/>
      <c r="M141" s="2535"/>
      <c r="N141" s="2535"/>
      <c r="O141" s="2536"/>
      <c r="P141" s="2535"/>
      <c r="Q141" s="2535"/>
      <c r="R141" s="2537"/>
    </row>
    <row r="142" spans="2:18" s="2056" customFormat="1">
      <c r="B142" s="2535"/>
      <c r="C142" s="2535"/>
      <c r="D142" s="2535"/>
      <c r="E142" s="2535"/>
      <c r="F142" s="2535"/>
      <c r="G142" s="2536"/>
      <c r="H142" s="2535"/>
      <c r="I142" s="2536"/>
      <c r="J142" s="2535"/>
      <c r="K142" s="2535"/>
      <c r="L142" s="2536"/>
      <c r="M142" s="2535"/>
      <c r="N142" s="2535"/>
      <c r="O142" s="2536"/>
      <c r="P142" s="2535"/>
      <c r="Q142" s="2535"/>
      <c r="R142" s="2537"/>
    </row>
    <row r="143" spans="2:18" s="2056" customFormat="1">
      <c r="B143" s="2535"/>
      <c r="C143" s="2535"/>
      <c r="D143" s="2535"/>
      <c r="E143" s="2535"/>
      <c r="F143" s="2535"/>
      <c r="G143" s="2536"/>
      <c r="H143" s="2535"/>
      <c r="I143" s="2536"/>
      <c r="J143" s="2535"/>
      <c r="K143" s="2535"/>
      <c r="L143" s="2536"/>
      <c r="M143" s="2535"/>
      <c r="N143" s="2535"/>
      <c r="O143" s="2536"/>
      <c r="P143" s="2535"/>
      <c r="Q143" s="2535"/>
      <c r="R143" s="2537"/>
    </row>
    <row r="144" spans="2:18" s="2056" customFormat="1">
      <c r="B144" s="2535"/>
      <c r="C144" s="2535"/>
      <c r="D144" s="2535"/>
      <c r="E144" s="2535"/>
      <c r="F144" s="2535"/>
      <c r="G144" s="2536"/>
      <c r="H144" s="2535"/>
      <c r="I144" s="2536"/>
      <c r="J144" s="2535"/>
      <c r="K144" s="2535"/>
      <c r="L144" s="2536"/>
      <c r="M144" s="2535"/>
      <c r="N144" s="2535"/>
      <c r="O144" s="2536"/>
      <c r="P144" s="2535"/>
      <c r="Q144" s="2535"/>
      <c r="R144" s="2537"/>
    </row>
    <row r="145" spans="2:18" s="2056" customFormat="1">
      <c r="B145" s="2535"/>
      <c r="C145" s="2535"/>
      <c r="D145" s="2535"/>
      <c r="E145" s="2535"/>
      <c r="F145" s="2535"/>
      <c r="G145" s="2536"/>
      <c r="H145" s="2535"/>
      <c r="I145" s="2536"/>
      <c r="J145" s="2535"/>
      <c r="K145" s="2535"/>
      <c r="L145" s="2536"/>
      <c r="M145" s="2535"/>
      <c r="N145" s="2535"/>
      <c r="O145" s="2536"/>
      <c r="P145" s="2535"/>
      <c r="Q145" s="2535"/>
      <c r="R145" s="2537"/>
    </row>
    <row r="146" spans="2:18" s="2056" customFormat="1">
      <c r="B146" s="2535"/>
      <c r="C146" s="2535"/>
      <c r="D146" s="2535"/>
      <c r="E146" s="2535"/>
      <c r="F146" s="2535"/>
      <c r="G146" s="2536"/>
      <c r="H146" s="2535"/>
      <c r="I146" s="2536"/>
      <c r="J146" s="2535"/>
      <c r="K146" s="2535"/>
      <c r="L146" s="2536"/>
      <c r="M146" s="2535"/>
      <c r="N146" s="2535"/>
      <c r="O146" s="2536"/>
      <c r="P146" s="2535"/>
      <c r="Q146" s="2535"/>
      <c r="R146" s="2537"/>
    </row>
    <row r="147" spans="2:18" s="2056" customFormat="1">
      <c r="B147" s="2535"/>
      <c r="C147" s="2535"/>
      <c r="D147" s="2535"/>
      <c r="E147" s="2535"/>
      <c r="F147" s="2535"/>
      <c r="G147" s="2536"/>
      <c r="H147" s="2535"/>
      <c r="I147" s="2536"/>
      <c r="J147" s="2535"/>
      <c r="K147" s="2535"/>
      <c r="L147" s="2536"/>
      <c r="M147" s="2535"/>
      <c r="N147" s="2535"/>
      <c r="O147" s="2536"/>
      <c r="P147" s="2535"/>
      <c r="Q147" s="2535"/>
      <c r="R147" s="2537"/>
    </row>
    <row r="148" spans="2:18" s="2056" customFormat="1">
      <c r="B148" s="2535"/>
      <c r="C148" s="2535"/>
      <c r="D148" s="2535"/>
      <c r="E148" s="2535"/>
      <c r="F148" s="2535"/>
      <c r="G148" s="2536"/>
      <c r="H148" s="2535"/>
      <c r="I148" s="2536"/>
      <c r="J148" s="2535"/>
      <c r="K148" s="2535"/>
      <c r="L148" s="2536"/>
      <c r="M148" s="2535"/>
      <c r="N148" s="2535"/>
      <c r="O148" s="2536"/>
      <c r="P148" s="2535"/>
      <c r="Q148" s="2535"/>
      <c r="R148" s="2537"/>
    </row>
    <row r="149" spans="2:18" s="2056" customFormat="1">
      <c r="B149" s="2535"/>
      <c r="C149" s="2535"/>
      <c r="D149" s="2535"/>
      <c r="E149" s="2535"/>
      <c r="F149" s="2535"/>
      <c r="G149" s="2536"/>
      <c r="H149" s="2535"/>
      <c r="I149" s="2536"/>
      <c r="J149" s="2535"/>
      <c r="K149" s="2535"/>
      <c r="L149" s="2536"/>
      <c r="M149" s="2535"/>
      <c r="N149" s="2535"/>
      <c r="O149" s="2536"/>
      <c r="P149" s="2535"/>
      <c r="Q149" s="2535"/>
      <c r="R149" s="2537"/>
    </row>
    <row r="150" spans="2:18" s="2056" customFormat="1">
      <c r="B150" s="2535"/>
      <c r="C150" s="2535"/>
      <c r="D150" s="2535"/>
      <c r="E150" s="2535"/>
      <c r="F150" s="2535"/>
      <c r="G150" s="2536"/>
      <c r="H150" s="2535"/>
      <c r="I150" s="2536"/>
      <c r="J150" s="2535"/>
      <c r="K150" s="2535"/>
      <c r="L150" s="2536"/>
      <c r="M150" s="2535"/>
      <c r="N150" s="2535"/>
      <c r="O150" s="2536"/>
      <c r="P150" s="2535"/>
      <c r="Q150" s="2535"/>
      <c r="R150" s="2537"/>
    </row>
    <row r="151" spans="2:18" s="2056" customFormat="1">
      <c r="B151" s="2535"/>
      <c r="C151" s="2535"/>
      <c r="D151" s="2535"/>
      <c r="E151" s="2535"/>
      <c r="F151" s="2535"/>
      <c r="G151" s="2536"/>
      <c r="H151" s="2535"/>
      <c r="I151" s="2536"/>
      <c r="J151" s="2535"/>
      <c r="K151" s="2535"/>
      <c r="L151" s="2536"/>
      <c r="M151" s="2535"/>
      <c r="N151" s="2535"/>
      <c r="O151" s="2536"/>
      <c r="P151" s="2535"/>
      <c r="Q151" s="2535"/>
      <c r="R151" s="2537"/>
    </row>
    <row r="152" spans="2:18" s="2056" customFormat="1">
      <c r="B152" s="2535"/>
      <c r="C152" s="2535"/>
      <c r="D152" s="2535"/>
      <c r="E152" s="2535"/>
      <c r="F152" s="2535"/>
      <c r="G152" s="2536"/>
      <c r="H152" s="2535"/>
      <c r="I152" s="2536"/>
      <c r="J152" s="2535"/>
      <c r="K152" s="2535"/>
      <c r="L152" s="2536"/>
      <c r="M152" s="2535"/>
      <c r="N152" s="2535"/>
      <c r="O152" s="2536"/>
      <c r="P152" s="2535"/>
      <c r="Q152" s="2535"/>
      <c r="R152" s="2537"/>
    </row>
    <row r="153" spans="2:18" s="2056" customFormat="1">
      <c r="B153" s="2535"/>
      <c r="C153" s="2535"/>
      <c r="D153" s="2535"/>
      <c r="E153" s="2535"/>
      <c r="F153" s="2535"/>
      <c r="G153" s="2536"/>
      <c r="H153" s="2535"/>
      <c r="I153" s="2536"/>
      <c r="J153" s="2535"/>
      <c r="K153" s="2535"/>
      <c r="L153" s="2536"/>
      <c r="M153" s="2535"/>
      <c r="N153" s="2535"/>
      <c r="O153" s="2536"/>
      <c r="P153" s="2535"/>
      <c r="Q153" s="2535"/>
      <c r="R153" s="2537"/>
    </row>
    <row r="154" spans="2:18" s="2056" customFormat="1">
      <c r="B154" s="2535"/>
      <c r="C154" s="2535"/>
      <c r="D154" s="2535"/>
      <c r="E154" s="2535"/>
      <c r="F154" s="2535"/>
      <c r="G154" s="2536"/>
      <c r="H154" s="2535"/>
      <c r="I154" s="2536"/>
      <c r="J154" s="2535"/>
      <c r="K154" s="2535"/>
      <c r="L154" s="2536"/>
      <c r="M154" s="2535"/>
      <c r="N154" s="2535"/>
      <c r="O154" s="2536"/>
      <c r="P154" s="2535"/>
      <c r="Q154" s="2535"/>
      <c r="R154" s="2537"/>
    </row>
    <row r="155" spans="2:18" s="2056" customFormat="1">
      <c r="B155" s="2535"/>
      <c r="C155" s="2535"/>
      <c r="D155" s="2535"/>
      <c r="E155" s="2535"/>
      <c r="F155" s="2535"/>
      <c r="G155" s="2536"/>
      <c r="H155" s="2535"/>
      <c r="I155" s="2536"/>
      <c r="J155" s="2535"/>
      <c r="K155" s="2535"/>
      <c r="L155" s="2536"/>
      <c r="M155" s="2535"/>
      <c r="N155" s="2535"/>
      <c r="O155" s="2536"/>
      <c r="P155" s="2535"/>
      <c r="Q155" s="2535"/>
      <c r="R155" s="2537"/>
    </row>
    <row r="156" spans="2:18" s="2056" customFormat="1">
      <c r="B156" s="2535"/>
      <c r="C156" s="2535"/>
      <c r="D156" s="2535"/>
      <c r="E156" s="2535"/>
      <c r="F156" s="2535"/>
      <c r="G156" s="2536"/>
      <c r="H156" s="2535"/>
      <c r="I156" s="2536"/>
      <c r="J156" s="2535"/>
      <c r="K156" s="2535"/>
      <c r="L156" s="2536"/>
      <c r="M156" s="2535"/>
      <c r="N156" s="2535"/>
      <c r="O156" s="2536"/>
      <c r="P156" s="2535"/>
      <c r="Q156" s="2535"/>
      <c r="R156" s="2537"/>
    </row>
    <row r="157" spans="2:18" s="2056" customFormat="1">
      <c r="B157" s="2535"/>
      <c r="C157" s="2535"/>
      <c r="D157" s="2535"/>
      <c r="E157" s="2535"/>
      <c r="F157" s="2535"/>
      <c r="G157" s="2536"/>
      <c r="H157" s="2535"/>
      <c r="I157" s="2536"/>
      <c r="J157" s="2535"/>
      <c r="K157" s="2535"/>
      <c r="L157" s="2536"/>
      <c r="M157" s="2535"/>
      <c r="N157" s="2535"/>
      <c r="O157" s="2536"/>
      <c r="P157" s="2535"/>
      <c r="Q157" s="2535"/>
      <c r="R157" s="2537"/>
    </row>
    <row r="158" spans="2:18" s="2056" customFormat="1">
      <c r="B158" s="2535"/>
      <c r="C158" s="2535"/>
      <c r="D158" s="2535"/>
      <c r="E158" s="2535"/>
      <c r="F158" s="2535"/>
      <c r="G158" s="2536"/>
      <c r="H158" s="2535"/>
      <c r="I158" s="2536"/>
      <c r="J158" s="2535"/>
      <c r="K158" s="2535"/>
      <c r="L158" s="2536"/>
      <c r="M158" s="2535"/>
      <c r="N158" s="2535"/>
      <c r="O158" s="2536"/>
      <c r="P158" s="2535"/>
      <c r="Q158" s="2535"/>
      <c r="R158" s="2537"/>
    </row>
    <row r="159" spans="2:18" s="2056" customFormat="1">
      <c r="B159" s="2535"/>
      <c r="C159" s="2535"/>
      <c r="D159" s="2535"/>
      <c r="E159" s="2535"/>
      <c r="F159" s="2535"/>
      <c r="G159" s="2536"/>
      <c r="H159" s="2535"/>
      <c r="I159" s="2536"/>
      <c r="J159" s="2535"/>
      <c r="K159" s="2535"/>
      <c r="L159" s="2536"/>
      <c r="M159" s="2535"/>
      <c r="N159" s="2535"/>
      <c r="O159" s="2536"/>
      <c r="P159" s="2535"/>
      <c r="Q159" s="2535"/>
      <c r="R159" s="2537"/>
    </row>
    <row r="160" spans="2:18" s="2056" customFormat="1">
      <c r="B160" s="2535"/>
      <c r="C160" s="2535"/>
      <c r="D160" s="2535"/>
      <c r="E160" s="2535"/>
      <c r="F160" s="2535"/>
      <c r="G160" s="2536"/>
      <c r="H160" s="2535"/>
      <c r="I160" s="2536"/>
      <c r="J160" s="2535"/>
      <c r="K160" s="2535"/>
      <c r="L160" s="2536"/>
      <c r="M160" s="2535"/>
      <c r="N160" s="2535"/>
      <c r="O160" s="2536"/>
      <c r="P160" s="2535"/>
      <c r="Q160" s="2535"/>
      <c r="R160" s="2537"/>
    </row>
    <row r="161" spans="2:18" s="2056" customFormat="1">
      <c r="B161" s="2535"/>
      <c r="C161" s="2535"/>
      <c r="D161" s="2535"/>
      <c r="E161" s="2535"/>
      <c r="F161" s="2535"/>
      <c r="G161" s="2536"/>
      <c r="H161" s="2535"/>
      <c r="I161" s="2536"/>
      <c r="J161" s="2535"/>
      <c r="K161" s="2535"/>
      <c r="L161" s="2536"/>
      <c r="M161" s="2535"/>
      <c r="N161" s="2535"/>
      <c r="O161" s="2536"/>
      <c r="P161" s="2535"/>
      <c r="Q161" s="2535"/>
      <c r="R161" s="2537"/>
    </row>
    <row r="162" spans="2:18" s="2056" customFormat="1">
      <c r="B162" s="2535"/>
      <c r="C162" s="2535"/>
      <c r="D162" s="2535"/>
      <c r="E162" s="2535"/>
      <c r="F162" s="2535"/>
      <c r="G162" s="2536"/>
      <c r="H162" s="2535"/>
      <c r="I162" s="2536"/>
      <c r="J162" s="2535"/>
      <c r="K162" s="2535"/>
      <c r="L162" s="2536"/>
      <c r="M162" s="2535"/>
      <c r="N162" s="2535"/>
      <c r="O162" s="2536"/>
      <c r="P162" s="2535"/>
      <c r="Q162" s="2535"/>
      <c r="R162" s="2537"/>
    </row>
    <row r="163" spans="2:18" s="2056" customFormat="1">
      <c r="B163" s="2535"/>
      <c r="C163" s="2535"/>
      <c r="D163" s="2535"/>
      <c r="E163" s="2535"/>
      <c r="F163" s="2535"/>
      <c r="G163" s="2536"/>
      <c r="H163" s="2535"/>
      <c r="I163" s="2536"/>
      <c r="J163" s="2535"/>
      <c r="K163" s="2535"/>
      <c r="L163" s="2536"/>
      <c r="M163" s="2535"/>
      <c r="N163" s="2535"/>
      <c r="O163" s="2536"/>
      <c r="P163" s="2535"/>
      <c r="Q163" s="2535"/>
      <c r="R163" s="2537"/>
    </row>
    <row r="164" spans="2:18" s="2056" customFormat="1">
      <c r="B164" s="2535"/>
      <c r="C164" s="2535"/>
      <c r="D164" s="2535"/>
      <c r="E164" s="2535"/>
      <c r="F164" s="2535"/>
      <c r="G164" s="2536"/>
      <c r="H164" s="2535"/>
      <c r="I164" s="2536"/>
      <c r="J164" s="2535"/>
      <c r="K164" s="2535"/>
      <c r="L164" s="2536"/>
      <c r="M164" s="2535"/>
      <c r="N164" s="2535"/>
      <c r="O164" s="2536"/>
      <c r="P164" s="2535"/>
      <c r="Q164" s="2535"/>
      <c r="R164" s="2537"/>
    </row>
    <row r="165" spans="2:18" s="2056" customFormat="1">
      <c r="B165" s="2535"/>
      <c r="C165" s="2535"/>
      <c r="D165" s="2535"/>
      <c r="E165" s="2535"/>
      <c r="F165" s="2535"/>
      <c r="G165" s="2536"/>
      <c r="H165" s="2535"/>
      <c r="I165" s="2536"/>
      <c r="J165" s="2535"/>
      <c r="K165" s="2535"/>
      <c r="L165" s="2536"/>
      <c r="M165" s="2535"/>
      <c r="N165" s="2535"/>
      <c r="O165" s="2536"/>
      <c r="P165" s="2535"/>
      <c r="Q165" s="2535"/>
      <c r="R165" s="2537"/>
    </row>
    <row r="166" spans="2:18" s="2056" customFormat="1">
      <c r="B166" s="2535"/>
      <c r="C166" s="2535"/>
      <c r="D166" s="2535"/>
      <c r="E166" s="2535"/>
      <c r="F166" s="2535"/>
      <c r="G166" s="2536"/>
      <c r="H166" s="2535"/>
      <c r="I166" s="2536"/>
      <c r="J166" s="2535"/>
      <c r="K166" s="2535"/>
      <c r="L166" s="2536"/>
      <c r="M166" s="2535"/>
      <c r="N166" s="2535"/>
      <c r="O166" s="2536"/>
      <c r="P166" s="2535"/>
      <c r="Q166" s="2535"/>
      <c r="R166" s="2537"/>
    </row>
    <row r="167" spans="2:18" s="2056" customFormat="1">
      <c r="B167" s="2535"/>
      <c r="C167" s="2535"/>
      <c r="D167" s="2535"/>
      <c r="E167" s="2535"/>
      <c r="F167" s="2535"/>
      <c r="G167" s="2536"/>
      <c r="H167" s="2535"/>
      <c r="I167" s="2536"/>
      <c r="J167" s="2535"/>
      <c r="K167" s="2535"/>
      <c r="L167" s="2536"/>
      <c r="M167" s="2535"/>
      <c r="N167" s="2535"/>
      <c r="O167" s="2536"/>
      <c r="P167" s="2535"/>
      <c r="Q167" s="2535"/>
      <c r="R167" s="2537"/>
    </row>
    <row r="168" spans="2:18" s="2056" customFormat="1">
      <c r="B168" s="2535"/>
      <c r="C168" s="2535"/>
      <c r="D168" s="2535"/>
      <c r="E168" s="2535"/>
      <c r="F168" s="2535"/>
      <c r="G168" s="2536"/>
      <c r="H168" s="2535"/>
      <c r="I168" s="2536"/>
      <c r="J168" s="2535"/>
      <c r="K168" s="2535"/>
      <c r="L168" s="2536"/>
      <c r="M168" s="2535"/>
      <c r="N168" s="2535"/>
      <c r="O168" s="2536"/>
      <c r="P168" s="2535"/>
      <c r="Q168" s="2535"/>
      <c r="R168" s="2537"/>
    </row>
    <row r="169" spans="2:18" s="2056" customFormat="1">
      <c r="B169" s="2535"/>
      <c r="C169" s="2535"/>
      <c r="D169" s="2535"/>
      <c r="E169" s="2535"/>
      <c r="F169" s="2535"/>
      <c r="G169" s="2536"/>
      <c r="H169" s="2535"/>
      <c r="I169" s="2536"/>
      <c r="J169" s="2535"/>
      <c r="K169" s="2535"/>
      <c r="L169" s="2536"/>
      <c r="M169" s="2535"/>
      <c r="N169" s="2535"/>
      <c r="O169" s="2536"/>
      <c r="P169" s="2535"/>
      <c r="Q169" s="2535"/>
      <c r="R169" s="2537"/>
    </row>
    <row r="170" spans="2:18" s="2056" customFormat="1">
      <c r="B170" s="2535"/>
      <c r="C170" s="2535"/>
      <c r="D170" s="2535"/>
      <c r="E170" s="2535"/>
      <c r="F170" s="2535"/>
      <c r="G170" s="2536"/>
      <c r="H170" s="2535"/>
      <c r="I170" s="2536"/>
      <c r="J170" s="2535"/>
      <c r="K170" s="2535"/>
      <c r="L170" s="2536"/>
      <c r="M170" s="2535"/>
      <c r="N170" s="2535"/>
      <c r="O170" s="2536"/>
      <c r="P170" s="2535"/>
      <c r="Q170" s="2535"/>
      <c r="R170" s="2537"/>
    </row>
    <row r="171" spans="2:18" s="2056" customFormat="1">
      <c r="B171" s="2535"/>
      <c r="C171" s="2535"/>
      <c r="D171" s="2535"/>
      <c r="E171" s="2535"/>
      <c r="F171" s="2535"/>
      <c r="G171" s="2536"/>
      <c r="H171" s="2535"/>
      <c r="I171" s="2536"/>
      <c r="J171" s="2535"/>
      <c r="K171" s="2535"/>
      <c r="L171" s="2536"/>
      <c r="M171" s="2535"/>
      <c r="N171" s="2535"/>
      <c r="O171" s="2536"/>
      <c r="P171" s="2535"/>
      <c r="Q171" s="2535"/>
      <c r="R171" s="2537"/>
    </row>
    <row r="172" spans="2:18" s="2056" customFormat="1">
      <c r="B172" s="2535"/>
      <c r="C172" s="2535"/>
      <c r="D172" s="2535"/>
      <c r="E172" s="2535"/>
      <c r="F172" s="2535"/>
      <c r="G172" s="2536"/>
      <c r="H172" s="2535"/>
      <c r="I172" s="2536"/>
      <c r="J172" s="2535"/>
      <c r="K172" s="2535"/>
      <c r="L172" s="2536"/>
      <c r="M172" s="2535"/>
      <c r="N172" s="2535"/>
      <c r="O172" s="2536"/>
      <c r="P172" s="2535"/>
      <c r="Q172" s="2535"/>
      <c r="R172" s="2537"/>
    </row>
    <row r="173" spans="2:18" s="2056" customFormat="1">
      <c r="B173" s="2535"/>
      <c r="C173" s="2535"/>
      <c r="D173" s="2535"/>
      <c r="E173" s="2535"/>
      <c r="F173" s="2535"/>
      <c r="G173" s="2536"/>
      <c r="H173" s="2535"/>
      <c r="I173" s="2536"/>
      <c r="J173" s="2535"/>
      <c r="K173" s="2535"/>
      <c r="L173" s="2536"/>
      <c r="M173" s="2535"/>
      <c r="N173" s="2535"/>
      <c r="O173" s="2536"/>
      <c r="P173" s="2535"/>
      <c r="Q173" s="2535"/>
      <c r="R173" s="2537"/>
    </row>
    <row r="174" spans="2:18" s="2056" customFormat="1">
      <c r="B174" s="2535"/>
      <c r="C174" s="2535"/>
      <c r="D174" s="2535"/>
      <c r="E174" s="2535"/>
      <c r="F174" s="2535"/>
      <c r="G174" s="2536"/>
      <c r="H174" s="2535"/>
      <c r="I174" s="2536"/>
      <c r="J174" s="2535"/>
      <c r="K174" s="2535"/>
      <c r="L174" s="2536"/>
      <c r="M174" s="2535"/>
      <c r="N174" s="2535"/>
      <c r="O174" s="2536"/>
      <c r="P174" s="2535"/>
      <c r="Q174" s="2535"/>
      <c r="R174" s="2537"/>
    </row>
    <row r="175" spans="2:18" s="2056" customFormat="1">
      <c r="B175" s="2535"/>
      <c r="C175" s="2535"/>
      <c r="D175" s="2535"/>
      <c r="E175" s="2535"/>
      <c r="F175" s="2535"/>
      <c r="G175" s="2536"/>
      <c r="H175" s="2535"/>
      <c r="I175" s="2536"/>
      <c r="J175" s="2535"/>
      <c r="K175" s="2535"/>
      <c r="L175" s="2536"/>
      <c r="M175" s="2535"/>
      <c r="N175" s="2535"/>
      <c r="O175" s="2536"/>
      <c r="P175" s="2535"/>
      <c r="Q175" s="2535"/>
      <c r="R175" s="2537"/>
    </row>
    <row r="176" spans="2:18" s="2056" customFormat="1">
      <c r="B176" s="2535"/>
      <c r="C176" s="2535"/>
      <c r="D176" s="2535"/>
      <c r="E176" s="2535"/>
      <c r="F176" s="2535"/>
      <c r="G176" s="2536"/>
      <c r="H176" s="2535"/>
      <c r="I176" s="2536"/>
      <c r="J176" s="2535"/>
      <c r="K176" s="2535"/>
      <c r="L176" s="2536"/>
      <c r="M176" s="2535"/>
      <c r="N176" s="2535"/>
      <c r="O176" s="2536"/>
      <c r="P176" s="2535"/>
      <c r="Q176" s="2535"/>
      <c r="R176" s="2537"/>
    </row>
    <row r="177" spans="1:18" s="2056" customFormat="1">
      <c r="B177" s="2535"/>
      <c r="C177" s="2535"/>
      <c r="D177" s="2535"/>
      <c r="E177" s="2535"/>
      <c r="F177" s="2535"/>
      <c r="G177" s="2536"/>
      <c r="H177" s="2535"/>
      <c r="I177" s="2536"/>
      <c r="J177" s="2535"/>
      <c r="K177" s="2535"/>
      <c r="L177" s="2536"/>
      <c r="M177" s="2535"/>
      <c r="N177" s="2535"/>
      <c r="O177" s="2536"/>
      <c r="P177" s="2535"/>
      <c r="Q177" s="2535"/>
      <c r="R177" s="2537"/>
    </row>
    <row r="178" spans="1:18" s="2056" customFormat="1">
      <c r="B178" s="2535"/>
      <c r="C178" s="2535"/>
      <c r="D178" s="2535"/>
      <c r="E178" s="2535"/>
      <c r="F178" s="2535"/>
      <c r="G178" s="2536"/>
      <c r="H178" s="2535"/>
      <c r="I178" s="2536"/>
      <c r="J178" s="2535"/>
      <c r="K178" s="2535"/>
      <c r="L178" s="2536"/>
      <c r="M178" s="2535"/>
      <c r="N178" s="2535"/>
      <c r="O178" s="2536"/>
      <c r="P178" s="2535"/>
      <c r="Q178" s="2535"/>
      <c r="R178" s="2537"/>
    </row>
    <row r="179" spans="1:18" s="2056" customFormat="1">
      <c r="B179" s="2535"/>
      <c r="C179" s="2535"/>
      <c r="D179" s="2535"/>
      <c r="E179" s="2535"/>
      <c r="F179" s="2535"/>
      <c r="G179" s="2536"/>
      <c r="H179" s="2535"/>
      <c r="I179" s="2536"/>
      <c r="J179" s="2535"/>
      <c r="K179" s="2535"/>
      <c r="L179" s="2536"/>
      <c r="M179" s="2535"/>
      <c r="N179" s="2535"/>
      <c r="O179" s="2536"/>
      <c r="P179" s="2535"/>
      <c r="Q179" s="2535"/>
      <c r="R179" s="2537"/>
    </row>
    <row r="180" spans="1:18" s="2056" customFormat="1">
      <c r="B180" s="2535"/>
      <c r="C180" s="2535"/>
      <c r="D180" s="2535"/>
      <c r="E180" s="2535"/>
      <c r="F180" s="2535"/>
      <c r="G180" s="2536"/>
      <c r="H180" s="2535"/>
      <c r="I180" s="2536"/>
      <c r="J180" s="2535"/>
      <c r="K180" s="2535"/>
      <c r="L180" s="2536"/>
      <c r="M180" s="2535"/>
      <c r="N180" s="2535"/>
      <c r="O180" s="2536"/>
      <c r="P180" s="2535"/>
      <c r="Q180" s="2535"/>
      <c r="R180" s="2537"/>
    </row>
    <row r="181" spans="1:18" s="2056" customFormat="1">
      <c r="B181" s="2535"/>
      <c r="C181" s="2535"/>
      <c r="D181" s="2535"/>
      <c r="E181" s="2535"/>
      <c r="F181" s="2535"/>
      <c r="G181" s="2536"/>
      <c r="H181" s="2535"/>
      <c r="I181" s="2536"/>
      <c r="J181" s="2535"/>
      <c r="K181" s="2535"/>
      <c r="L181" s="2536"/>
      <c r="M181" s="2535"/>
      <c r="N181" s="2535"/>
      <c r="O181" s="2536"/>
      <c r="P181" s="2535"/>
      <c r="Q181" s="2535"/>
      <c r="R181" s="2537"/>
    </row>
    <row r="182" spans="1:18" s="2056" customFormat="1">
      <c r="B182" s="2535"/>
      <c r="C182" s="2535"/>
      <c r="D182" s="2535"/>
      <c r="E182" s="2535"/>
      <c r="F182" s="2535"/>
      <c r="G182" s="2536"/>
      <c r="H182" s="2535"/>
      <c r="I182" s="2536"/>
      <c r="J182" s="2535"/>
      <c r="K182" s="2535"/>
      <c r="L182" s="2536"/>
      <c r="M182" s="2535"/>
      <c r="N182" s="2535"/>
      <c r="O182" s="2536"/>
      <c r="P182" s="2535"/>
      <c r="Q182" s="2535"/>
      <c r="R182" s="2537"/>
    </row>
    <row r="183" spans="1:18" s="2056" customFormat="1">
      <c r="B183" s="2535"/>
      <c r="C183" s="2535"/>
      <c r="D183" s="2535"/>
      <c r="E183" s="2535"/>
      <c r="F183" s="2535"/>
      <c r="G183" s="2536"/>
      <c r="H183" s="2535"/>
      <c r="I183" s="2536"/>
      <c r="J183" s="2535"/>
      <c r="K183" s="2535"/>
      <c r="L183" s="2536"/>
      <c r="M183" s="2535"/>
      <c r="N183" s="2535"/>
      <c r="O183" s="2536"/>
      <c r="P183" s="2535"/>
      <c r="Q183" s="2535"/>
      <c r="R183" s="2537"/>
    </row>
    <row r="184" spans="1:18" s="2056" customFormat="1">
      <c r="B184" s="2535"/>
      <c r="C184" s="2535"/>
      <c r="D184" s="2535"/>
      <c r="E184" s="2535"/>
      <c r="F184" s="2535"/>
      <c r="G184" s="2536"/>
      <c r="H184" s="2535"/>
      <c r="I184" s="2536"/>
      <c r="J184" s="2535"/>
      <c r="K184" s="2535"/>
      <c r="L184" s="2536"/>
      <c r="M184" s="2535"/>
      <c r="N184" s="2535"/>
      <c r="O184" s="2536"/>
      <c r="P184" s="2535"/>
      <c r="Q184" s="2535"/>
      <c r="R184" s="2537"/>
    </row>
    <row r="185" spans="1:18" s="2056" customFormat="1">
      <c r="B185" s="2535"/>
      <c r="C185" s="2535"/>
      <c r="D185" s="2535"/>
      <c r="E185" s="2535"/>
      <c r="F185" s="2535"/>
      <c r="G185" s="2536"/>
      <c r="H185" s="2535"/>
      <c r="I185" s="2536"/>
      <c r="J185" s="2535"/>
      <c r="K185" s="2535"/>
      <c r="L185" s="2536"/>
      <c r="M185" s="2535"/>
      <c r="N185" s="2535"/>
      <c r="O185" s="2536"/>
      <c r="P185" s="2535"/>
      <c r="Q185" s="2535"/>
      <c r="R185" s="2537"/>
    </row>
    <row r="186" spans="1:18">
      <c r="A186" s="2056"/>
      <c r="B186" s="2535"/>
      <c r="C186" s="2535"/>
      <c r="E186" s="2535"/>
      <c r="F186" s="2535"/>
      <c r="G186" s="2536"/>
    </row>
    <row r="187" spans="1:18">
      <c r="A187" s="2056"/>
      <c r="B187" s="2535"/>
      <c r="C187" s="2535"/>
      <c r="E187" s="2535"/>
      <c r="F187" s="2535"/>
      <c r="G187" s="253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1" sqref="E31"/>
    </sheetView>
  </sheetViews>
  <sheetFormatPr defaultColWidth="9" defaultRowHeight="14.4"/>
  <cols>
    <col min="1" max="1" width="25" style="2516" customWidth="1"/>
    <col min="2" max="9" width="15.77734375" style="2516" customWidth="1"/>
    <col min="10" max="16384" width="9" style="2516"/>
  </cols>
  <sheetData>
    <row r="1" spans="1:11" ht="16.2">
      <c r="A1" s="2517" t="s">
        <v>669</v>
      </c>
      <c r="B1" s="2517">
        <f>SUM(B14:B23)</f>
        <v>5858.09</v>
      </c>
      <c r="C1" s="2518"/>
      <c r="D1" s="2518"/>
      <c r="E1" s="2518"/>
      <c r="F1" s="2518"/>
      <c r="G1" s="2519"/>
      <c r="H1" s="2520"/>
      <c r="I1" s="2520"/>
      <c r="J1" s="2520"/>
      <c r="K1" s="2520"/>
    </row>
    <row r="2" spans="1:11" ht="16.2">
      <c r="A2" s="2517" t="s">
        <v>670</v>
      </c>
      <c r="B2" s="2517">
        <f>SUM(C14:C23)</f>
        <v>756.32</v>
      </c>
      <c r="C2" s="2518"/>
      <c r="D2" s="2518"/>
      <c r="E2" s="2518"/>
      <c r="F2" s="2518"/>
      <c r="G2" s="2519"/>
      <c r="H2" s="2520"/>
      <c r="I2" s="2520"/>
      <c r="J2" s="2520"/>
      <c r="K2" s="2520"/>
    </row>
    <row r="3" spans="1:11" ht="15.6">
      <c r="A3" s="2517" t="s">
        <v>671</v>
      </c>
      <c r="B3" s="2521">
        <f>项目基本情况!D3</f>
        <v>44770</v>
      </c>
      <c r="C3" s="2518"/>
      <c r="D3" s="2518"/>
      <c r="E3" s="2518"/>
      <c r="F3" s="2518"/>
      <c r="G3" s="2519"/>
      <c r="H3" s="2520"/>
      <c r="I3" s="2520"/>
      <c r="J3" s="2520"/>
      <c r="K3" s="2520"/>
    </row>
    <row r="4" spans="1:11" ht="31.2">
      <c r="A4" s="2517" t="s">
        <v>672</v>
      </c>
      <c r="B4" s="2517" t="s">
        <v>673</v>
      </c>
      <c r="C4" s="2517" t="s">
        <v>674</v>
      </c>
      <c r="D4" s="2517" t="s">
        <v>675</v>
      </c>
      <c r="E4" s="2518"/>
      <c r="F4" s="2519"/>
      <c r="G4" s="2519"/>
      <c r="H4" s="2520"/>
      <c r="I4" s="2520"/>
      <c r="J4" s="2520"/>
      <c r="K4" s="2520"/>
    </row>
    <row r="5" spans="1:11" ht="15.6">
      <c r="A5" s="2517" t="s">
        <v>676</v>
      </c>
      <c r="B5" s="2517">
        <f ca="1">SUM(D14:D23)</f>
        <v>18586</v>
      </c>
      <c r="C5" s="2517">
        <f ca="1">ROUND(B5*10000/$B$1,0)</f>
        <v>31727</v>
      </c>
      <c r="D5" s="2517">
        <f ca="1">ROUND(B5*10000/$B$2,0)</f>
        <v>245743</v>
      </c>
      <c r="E5" s="2518"/>
      <c r="F5" s="2519"/>
      <c r="G5" s="2519"/>
      <c r="H5" s="2520"/>
      <c r="I5" s="2520"/>
      <c r="J5" s="2520"/>
      <c r="K5" s="2520"/>
    </row>
    <row r="6" spans="1:11" ht="15.6">
      <c r="A6" s="2517" t="s">
        <v>677</v>
      </c>
      <c r="B6" s="2517">
        <f ca="1">SUM(G14:G23)</f>
        <v>18586</v>
      </c>
      <c r="C6" s="2517">
        <f ca="1">ROUND(B6*10000/$B$1,0)</f>
        <v>31727</v>
      </c>
      <c r="D6" s="2517">
        <f ca="1">ROUND(B6*10000/$B$2,0)</f>
        <v>245743</v>
      </c>
      <c r="E6" s="2518"/>
      <c r="F6" s="2519"/>
      <c r="G6" s="2519"/>
      <c r="H6" s="2520"/>
      <c r="I6" s="2520"/>
      <c r="J6" s="2520"/>
      <c r="K6" s="2520"/>
    </row>
    <row r="7" spans="1:11" ht="15.6">
      <c r="A7" s="2517" t="s">
        <v>678</v>
      </c>
      <c r="B7" s="2517">
        <f>SUM(H14:H23)</f>
        <v>0</v>
      </c>
      <c r="C7" s="2517">
        <f>ROUND(B7*10000/$B$1,0)</f>
        <v>0</v>
      </c>
      <c r="D7" s="2517">
        <f>ROUND(B7*10000/$B$2,0)</f>
        <v>0</v>
      </c>
      <c r="E7" s="2518"/>
      <c r="F7" s="2519"/>
      <c r="G7" s="2519"/>
      <c r="H7" s="2520"/>
      <c r="I7" s="2520"/>
      <c r="J7" s="2520"/>
      <c r="K7" s="2520"/>
    </row>
    <row r="8" spans="1:11" ht="15.6">
      <c r="A8" s="2517" t="s">
        <v>328</v>
      </c>
      <c r="B8" s="2517">
        <f ca="1">SUM(I14:I23)</f>
        <v>7888</v>
      </c>
      <c r="C8" s="2517">
        <f ca="1">ROUND(B8*10000/$B$1,0)</f>
        <v>13465</v>
      </c>
      <c r="D8" s="2517">
        <f ca="1">ROUND(B8*10000/$B$2,0)</f>
        <v>104294</v>
      </c>
      <c r="E8" s="2518"/>
      <c r="F8" s="2519"/>
      <c r="G8" s="2519"/>
      <c r="H8" s="2520"/>
      <c r="I8" s="2520"/>
      <c r="J8" s="2520"/>
      <c r="K8" s="2520"/>
    </row>
    <row r="9" spans="1:11" ht="15.6">
      <c r="A9" s="2517" t="s">
        <v>679</v>
      </c>
      <c r="B9" s="2522"/>
      <c r="C9" s="2518"/>
      <c r="D9" s="2518"/>
      <c r="E9" s="2518"/>
      <c r="F9" s="2519"/>
      <c r="G9" s="2519"/>
      <c r="H9" s="2520"/>
      <c r="I9" s="2520"/>
      <c r="J9" s="2520"/>
      <c r="K9" s="2520"/>
    </row>
    <row r="10" spans="1:11" ht="15.6">
      <c r="A10" s="2517" t="s">
        <v>680</v>
      </c>
      <c r="B10" s="2522"/>
      <c r="C10" s="2518"/>
      <c r="D10" s="2518"/>
      <c r="E10" s="2518"/>
      <c r="F10" s="2519"/>
      <c r="G10" s="2519"/>
      <c r="H10" s="2520"/>
      <c r="I10" s="2520"/>
      <c r="J10" s="2520"/>
      <c r="K10" s="2520"/>
    </row>
    <row r="11" spans="1:11" ht="15.6">
      <c r="A11" s="2517" t="s">
        <v>681</v>
      </c>
      <c r="B11" s="2522"/>
      <c r="C11" s="2518"/>
      <c r="D11" s="2518"/>
      <c r="E11" s="2518"/>
      <c r="F11" s="2519"/>
      <c r="G11" s="2519"/>
      <c r="H11" s="2520"/>
      <c r="I11" s="2520"/>
      <c r="J11" s="2520"/>
      <c r="K11" s="2520"/>
    </row>
    <row r="12" spans="1:11" ht="15.6">
      <c r="A12" s="2518"/>
      <c r="B12" s="2518"/>
      <c r="C12" s="2518"/>
      <c r="D12" s="2518"/>
      <c r="E12" s="2518"/>
      <c r="F12" s="2519"/>
      <c r="G12" s="2519"/>
      <c r="H12" s="2520"/>
      <c r="I12" s="2520"/>
      <c r="J12" s="2520"/>
      <c r="K12" s="2520"/>
    </row>
    <row r="13" spans="1:11" ht="31.8">
      <c r="A13" s="2523" t="s">
        <v>682</v>
      </c>
      <c r="B13" s="2524" t="s">
        <v>669</v>
      </c>
      <c r="C13" s="2524" t="s">
        <v>670</v>
      </c>
      <c r="D13" s="2524" t="s">
        <v>683</v>
      </c>
      <c r="E13" s="2517" t="s">
        <v>674</v>
      </c>
      <c r="F13" s="2517" t="s">
        <v>675</v>
      </c>
      <c r="G13" s="2524" t="s">
        <v>684</v>
      </c>
      <c r="H13" s="2524" t="s">
        <v>685</v>
      </c>
      <c r="I13" s="2524" t="s">
        <v>686</v>
      </c>
      <c r="J13" s="2519"/>
      <c r="K13" s="2520"/>
    </row>
    <row r="14" spans="1:11" ht="15.6">
      <c r="A14" s="2525" t="s">
        <v>687</v>
      </c>
      <c r="B14" s="2526">
        <f>结果表!B118</f>
        <v>5858.09</v>
      </c>
      <c r="C14" s="2526">
        <f>结果表!C118</f>
        <v>756.32</v>
      </c>
      <c r="D14" s="2526">
        <f ca="1">结果表!H118</f>
        <v>18586</v>
      </c>
      <c r="E14" s="2526">
        <f ca="1">ROUND(D14*10000/B14,0)</f>
        <v>31727</v>
      </c>
      <c r="F14" s="2526">
        <f ca="1">ROUND(D14*10000/C14,0)</f>
        <v>245743</v>
      </c>
      <c r="G14" s="2526">
        <f ca="1">结果表!D122</f>
        <v>18586</v>
      </c>
      <c r="H14" s="2526" t="str">
        <f>结果表!D124</f>
        <v>——</v>
      </c>
      <c r="I14" s="2526">
        <f ca="1">结果表!D126</f>
        <v>7888</v>
      </c>
      <c r="J14" s="2519"/>
      <c r="K14" s="2520"/>
    </row>
    <row r="15" spans="1:11" ht="15.6">
      <c r="A15" s="2525" t="s">
        <v>688</v>
      </c>
      <c r="B15" s="2527"/>
      <c r="C15" s="2527"/>
      <c r="D15" s="2527"/>
      <c r="E15" s="2526" t="e">
        <f t="shared" ref="E15:E23" si="0">ROUND(D15*10000/B15,0)</f>
        <v>#DIV/0!</v>
      </c>
      <c r="F15" s="2526" t="e">
        <f t="shared" ref="F15:F23" si="1">ROUND(D15*10000/C15,0)</f>
        <v>#DIV/0!</v>
      </c>
      <c r="G15" s="2528"/>
      <c r="H15" s="2528"/>
      <c r="I15" s="2527"/>
      <c r="J15" s="2519"/>
      <c r="K15" s="2520"/>
    </row>
    <row r="16" spans="1:11" ht="15.6">
      <c r="A16" s="2525" t="s">
        <v>689</v>
      </c>
      <c r="B16" s="2527"/>
      <c r="C16" s="2527"/>
      <c r="D16" s="2527"/>
      <c r="E16" s="2526" t="e">
        <f t="shared" si="0"/>
        <v>#DIV/0!</v>
      </c>
      <c r="F16" s="2526" t="e">
        <f t="shared" si="1"/>
        <v>#DIV/0!</v>
      </c>
      <c r="G16" s="2528"/>
      <c r="H16" s="2528"/>
      <c r="I16" s="2527"/>
      <c r="J16" s="2520"/>
      <c r="K16" s="2520"/>
    </row>
    <row r="17" spans="1:11" ht="15.6">
      <c r="A17" s="2525" t="s">
        <v>690</v>
      </c>
      <c r="B17" s="2527"/>
      <c r="C17" s="2527"/>
      <c r="D17" s="2527"/>
      <c r="E17" s="2526" t="e">
        <f t="shared" si="0"/>
        <v>#DIV/0!</v>
      </c>
      <c r="F17" s="2526" t="e">
        <f t="shared" si="1"/>
        <v>#DIV/0!</v>
      </c>
      <c r="G17" s="2528"/>
      <c r="H17" s="2528"/>
      <c r="I17" s="2527"/>
      <c r="J17" s="2520"/>
      <c r="K17" s="2520"/>
    </row>
    <row r="18" spans="1:11" ht="15.6">
      <c r="A18" s="2525" t="s">
        <v>691</v>
      </c>
      <c r="B18" s="2527"/>
      <c r="C18" s="2527"/>
      <c r="D18" s="2527"/>
      <c r="E18" s="2526" t="e">
        <f t="shared" si="0"/>
        <v>#DIV/0!</v>
      </c>
      <c r="F18" s="2526" t="e">
        <f t="shared" si="1"/>
        <v>#DIV/0!</v>
      </c>
      <c r="G18" s="2527"/>
      <c r="H18" s="2527"/>
      <c r="I18" s="2527"/>
      <c r="J18" s="2520"/>
      <c r="K18" s="2520"/>
    </row>
    <row r="19" spans="1:11" ht="15.6">
      <c r="A19" s="2525" t="s">
        <v>692</v>
      </c>
      <c r="B19" s="2527"/>
      <c r="C19" s="2527"/>
      <c r="D19" s="2527"/>
      <c r="E19" s="2526" t="e">
        <f t="shared" si="0"/>
        <v>#DIV/0!</v>
      </c>
      <c r="F19" s="2526" t="e">
        <f t="shared" si="1"/>
        <v>#DIV/0!</v>
      </c>
      <c r="G19" s="2527"/>
      <c r="H19" s="2527"/>
      <c r="I19" s="2527"/>
      <c r="J19" s="2520"/>
      <c r="K19" s="2520"/>
    </row>
    <row r="20" spans="1:11" ht="15.6">
      <c r="A20" s="2525" t="s">
        <v>693</v>
      </c>
      <c r="B20" s="2527"/>
      <c r="C20" s="2527"/>
      <c r="D20" s="2527"/>
      <c r="E20" s="2526" t="e">
        <f t="shared" si="0"/>
        <v>#DIV/0!</v>
      </c>
      <c r="F20" s="2526" t="e">
        <f t="shared" si="1"/>
        <v>#DIV/0!</v>
      </c>
      <c r="G20" s="2527"/>
      <c r="H20" s="2527"/>
      <c r="I20" s="2527"/>
      <c r="J20" s="2520"/>
      <c r="K20" s="2520"/>
    </row>
    <row r="21" spans="1:11" ht="15.6">
      <c r="A21" s="2525" t="s">
        <v>694</v>
      </c>
      <c r="B21" s="2527"/>
      <c r="C21" s="2527"/>
      <c r="D21" s="2527"/>
      <c r="E21" s="2526" t="e">
        <f t="shared" si="0"/>
        <v>#DIV/0!</v>
      </c>
      <c r="F21" s="2526" t="e">
        <f t="shared" si="1"/>
        <v>#DIV/0!</v>
      </c>
      <c r="G21" s="2527"/>
      <c r="H21" s="2527"/>
      <c r="I21" s="2527"/>
      <c r="J21" s="2520"/>
      <c r="K21" s="2520"/>
    </row>
    <row r="22" spans="1:11" ht="15.6">
      <c r="A22" s="2525" t="s">
        <v>695</v>
      </c>
      <c r="B22" s="2527"/>
      <c r="C22" s="2527"/>
      <c r="D22" s="2527"/>
      <c r="E22" s="2526" t="e">
        <f t="shared" si="0"/>
        <v>#DIV/0!</v>
      </c>
      <c r="F22" s="2526" t="e">
        <f t="shared" si="1"/>
        <v>#DIV/0!</v>
      </c>
      <c r="G22" s="2527"/>
      <c r="H22" s="2527"/>
      <c r="I22" s="2527"/>
      <c r="J22" s="2520"/>
      <c r="K22" s="2520"/>
    </row>
    <row r="23" spans="1:11" ht="15.6">
      <c r="A23" s="2525" t="s">
        <v>696</v>
      </c>
      <c r="B23" s="2527"/>
      <c r="C23" s="2527"/>
      <c r="D23" s="2527"/>
      <c r="E23" s="2522" t="e">
        <f t="shared" si="0"/>
        <v>#DIV/0!</v>
      </c>
      <c r="F23" s="2522" t="e">
        <f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90" zoomScaleNormal="100" zoomScalePageLayoutView="80" workbookViewId="0">
      <selection activeCell="G24" sqref="G24"/>
    </sheetView>
  </sheetViews>
  <sheetFormatPr defaultColWidth="12.6640625" defaultRowHeight="21.75" customHeight="1"/>
  <cols>
    <col min="1" max="2" width="12.6640625" style="2232"/>
    <col min="3" max="4" width="12.6640625" style="2232" customWidth="1"/>
    <col min="5" max="9" width="12.6640625" style="2232"/>
    <col min="10" max="11" width="12.6640625" style="239" customWidth="1"/>
    <col min="12" max="12" width="12.6640625" style="239"/>
    <col min="13" max="13" width="14.109375" style="239" customWidth="1"/>
    <col min="14" max="26" width="12.6640625" style="239"/>
    <col min="27" max="35" width="12.6640625" style="2231"/>
    <col min="36" max="16384" width="12.6640625" style="2232"/>
  </cols>
  <sheetData>
    <row r="1" spans="1:12" ht="21.75" customHeight="1">
      <c r="A1" s="2233" t="s">
        <v>697</v>
      </c>
      <c r="B1" s="2234"/>
      <c r="C1" s="2235"/>
      <c r="D1" s="2234"/>
      <c r="E1" s="2234"/>
      <c r="F1" s="2236" t="s">
        <v>698</v>
      </c>
      <c r="G1" s="2237"/>
      <c r="H1" s="2238" t="str">
        <f>IF(G1="现房","——","估价对象范围")</f>
        <v>估价对象范围</v>
      </c>
      <c r="I1" s="2371"/>
    </row>
    <row r="2" spans="1:12" ht="21.75" customHeight="1">
      <c r="A2" s="3432" t="str">
        <f>项目基本情况!S2</f>
        <v>北京市房地产</v>
      </c>
      <c r="B2" s="3433"/>
      <c r="C2" s="3433"/>
      <c r="D2" s="3433"/>
      <c r="E2" s="3433"/>
      <c r="F2" s="3433"/>
      <c r="G2" s="3433"/>
      <c r="H2" s="3433"/>
      <c r="I2" s="3434"/>
    </row>
    <row r="3" spans="1:12" ht="13.2">
      <c r="A3" s="3435" t="s">
        <v>699</v>
      </c>
      <c r="B3" s="3436"/>
      <c r="C3" s="3436"/>
      <c r="D3" s="3436"/>
      <c r="E3" s="3436"/>
      <c r="F3" s="3436"/>
      <c r="G3" s="3436"/>
      <c r="H3" s="3436"/>
      <c r="I3" s="3436"/>
    </row>
    <row r="4" spans="1:12" ht="14.4">
      <c r="A4" s="2239" t="s">
        <v>700</v>
      </c>
      <c r="B4" s="2240" t="s">
        <v>701</v>
      </c>
      <c r="C4" s="2241" t="s">
        <v>702</v>
      </c>
      <c r="D4" s="2241" t="s">
        <v>577</v>
      </c>
      <c r="E4" s="3437" t="s">
        <v>703</v>
      </c>
      <c r="F4" s="3438"/>
      <c r="G4" s="3438"/>
      <c r="H4" s="3438"/>
      <c r="I4" s="3439"/>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356" t="s">
        <v>704</v>
      </c>
      <c r="B5" s="3364">
        <v>25</v>
      </c>
      <c r="C5" s="3449"/>
      <c r="D5" s="3367"/>
      <c r="E5" s="1846" t="s">
        <v>705</v>
      </c>
      <c r="F5" s="2246"/>
      <c r="G5" s="2246"/>
      <c r="H5" s="2246"/>
      <c r="I5" s="2208"/>
    </row>
    <row r="6" spans="1:12" ht="13.2">
      <c r="A6" s="3356"/>
      <c r="B6" s="3364"/>
      <c r="C6" s="3450"/>
      <c r="D6" s="3367"/>
      <c r="E6" s="1846" t="s">
        <v>706</v>
      </c>
      <c r="F6" s="2246"/>
      <c r="G6" s="2246"/>
      <c r="H6" s="2246"/>
      <c r="I6" s="2208"/>
    </row>
    <row r="7" spans="1:12" ht="13.2">
      <c r="A7" s="3356"/>
      <c r="B7" s="3364"/>
      <c r="C7" s="3451"/>
      <c r="D7" s="3367"/>
      <c r="E7" s="1846" t="s">
        <v>707</v>
      </c>
      <c r="F7" s="2246"/>
      <c r="G7" s="2246"/>
      <c r="H7" s="2246"/>
      <c r="I7" s="2208"/>
    </row>
    <row r="8" spans="1:12" ht="13.2">
      <c r="A8" s="3356" t="s">
        <v>708</v>
      </c>
      <c r="B8" s="3364">
        <v>15</v>
      </c>
      <c r="C8" s="3449"/>
      <c r="D8" s="3367"/>
      <c r="E8" s="1846" t="s">
        <v>709</v>
      </c>
      <c r="F8" s="2246"/>
      <c r="G8" s="2246"/>
      <c r="H8" s="2246"/>
      <c r="I8" s="2208"/>
    </row>
    <row r="9" spans="1:12" ht="13.2">
      <c r="A9" s="3356"/>
      <c r="B9" s="3364"/>
      <c r="C9" s="3451"/>
      <c r="D9" s="3367"/>
      <c r="E9" s="1846" t="s">
        <v>710</v>
      </c>
      <c r="F9" s="2246"/>
      <c r="G9" s="2246"/>
      <c r="H9" s="2246"/>
      <c r="I9" s="2208"/>
    </row>
    <row r="10" spans="1:12" ht="13.2">
      <c r="A10" s="3356" t="s">
        <v>711</v>
      </c>
      <c r="B10" s="3364">
        <v>15</v>
      </c>
      <c r="C10" s="3449"/>
      <c r="D10" s="3367"/>
      <c r="E10" s="1846" t="s">
        <v>712</v>
      </c>
      <c r="F10" s="2246"/>
      <c r="G10" s="2246"/>
      <c r="H10" s="2246"/>
      <c r="I10" s="2208"/>
    </row>
    <row r="11" spans="1:12" ht="13.2">
      <c r="A11" s="3356"/>
      <c r="B11" s="3364"/>
      <c r="C11" s="3451"/>
      <c r="D11" s="3367"/>
      <c r="E11" s="1846" t="s">
        <v>713</v>
      </c>
      <c r="F11" s="2246"/>
      <c r="G11" s="2246"/>
      <c r="H11" s="2246"/>
      <c r="I11" s="2208"/>
    </row>
    <row r="12" spans="1:12" ht="13.2">
      <c r="A12" s="3356" t="s">
        <v>714</v>
      </c>
      <c r="B12" s="3364">
        <v>15</v>
      </c>
      <c r="C12" s="3449"/>
      <c r="D12" s="3367"/>
      <c r="E12" s="1846" t="s">
        <v>715</v>
      </c>
      <c r="F12" s="2246"/>
      <c r="G12" s="2246"/>
      <c r="H12" s="2246"/>
      <c r="I12" s="2208"/>
    </row>
    <row r="13" spans="1:12" ht="13.2">
      <c r="A13" s="3356"/>
      <c r="B13" s="3364"/>
      <c r="C13" s="3451"/>
      <c r="D13" s="3367"/>
      <c r="E13" s="1846" t="s">
        <v>716</v>
      </c>
      <c r="F13" s="2246"/>
      <c r="G13" s="2246"/>
      <c r="H13" s="2246"/>
      <c r="I13" s="2208"/>
    </row>
    <row r="14" spans="1:12" ht="13.2">
      <c r="A14" s="3356" t="s">
        <v>717</v>
      </c>
      <c r="B14" s="3364">
        <v>30</v>
      </c>
      <c r="C14" s="3449">
        <v>5</v>
      </c>
      <c r="D14" s="3367">
        <v>5</v>
      </c>
      <c r="E14" s="1846" t="s">
        <v>718</v>
      </c>
      <c r="F14" s="2246"/>
      <c r="G14" s="2246"/>
      <c r="H14" s="2246"/>
      <c r="I14" s="2208"/>
    </row>
    <row r="15" spans="1:12" ht="13.2">
      <c r="A15" s="3356"/>
      <c r="B15" s="3364"/>
      <c r="C15" s="3450"/>
      <c r="D15" s="3367"/>
      <c r="E15" s="1846" t="s">
        <v>719</v>
      </c>
      <c r="F15" s="2246"/>
      <c r="G15" s="2246"/>
      <c r="H15" s="2246"/>
      <c r="I15" s="2208"/>
    </row>
    <row r="16" spans="1:12" ht="13.2">
      <c r="A16" s="3356"/>
      <c r="B16" s="3364"/>
      <c r="C16" s="3451"/>
      <c r="D16" s="3367"/>
      <c r="E16" s="1846" t="s">
        <v>720</v>
      </c>
      <c r="F16" s="2246"/>
      <c r="G16" s="2246"/>
      <c r="H16" s="2246"/>
      <c r="I16" s="2208"/>
    </row>
    <row r="17" spans="1:36" ht="14.4">
      <c r="A17" s="2247" t="s">
        <v>721</v>
      </c>
      <c r="B17" s="2248"/>
      <c r="C17" s="2249">
        <f>SUM(C5:C16)</f>
        <v>5</v>
      </c>
      <c r="D17" s="2249">
        <f>SUM(D5:D16)</f>
        <v>5</v>
      </c>
      <c r="E17" s="282"/>
      <c r="F17" s="282"/>
      <c r="G17" s="282"/>
      <c r="H17" s="282"/>
      <c r="I17" s="282"/>
      <c r="K17" s="1806"/>
      <c r="L17" s="1806" t="s">
        <v>722</v>
      </c>
      <c r="M17" s="1806" t="s">
        <v>723</v>
      </c>
    </row>
    <row r="18" spans="1:36" ht="31.95" customHeight="1">
      <c r="A18" s="2250" t="s">
        <v>724</v>
      </c>
      <c r="B18" s="2251"/>
      <c r="C18" s="2252">
        <f>ROUND(C17/SUM(C17:D17),2)</f>
        <v>0.5</v>
      </c>
      <c r="D18" s="2252">
        <f>1-C18</f>
        <v>0.5</v>
      </c>
      <c r="E18" s="3440" t="s">
        <v>725</v>
      </c>
      <c r="F18" s="3441"/>
      <c r="G18" s="3441"/>
      <c r="H18" s="3441"/>
      <c r="I18" s="3441"/>
      <c r="K18" s="1806" t="s">
        <v>361</v>
      </c>
      <c r="L18" s="1806">
        <f>IF(C1="",'数据-汇总表'!E3,SUMIF(项目类型,C1,'数据-汇总表'!E17:E26)+SUMIF(项目类型,C1,'数据-汇总表'!I17:I26))</f>
        <v>5858.09</v>
      </c>
      <c r="M18" s="1806">
        <f>IF(C1="",'数据-汇总表'!E3,SUMIF(项目类型,C1,'数据-汇总表'!E17:E26))</f>
        <v>5858.09</v>
      </c>
    </row>
    <row r="19" spans="1:36" ht="14.4">
      <c r="A19" s="2253" t="s">
        <v>726</v>
      </c>
      <c r="B19" s="2254" t="s">
        <v>727</v>
      </c>
      <c r="C19" s="2255">
        <f ca="1">SUMIF(INDIRECT("'"&amp;C4&amp;"'"&amp;"!A:A"),结果表!B19,INDIRECT("'"&amp;C4&amp;"'"&amp;"!B:B"))</f>
        <v>20581</v>
      </c>
      <c r="D19" s="1268">
        <f ca="1">SUMIF(INDIRECT("'"&amp;D4&amp;"'"&amp;"!A:A"),结果表!B19,INDIRECT("'"&amp;D4&amp;"'"&amp;"!B:B"))</f>
        <v>16591</v>
      </c>
      <c r="E19" s="2253" t="s">
        <v>728</v>
      </c>
      <c r="F19" s="2254" t="s">
        <v>727</v>
      </c>
      <c r="G19" s="2256">
        <f ca="1">ROUND(C19*$C$18+D19*$D$18,0)</f>
        <v>18586</v>
      </c>
      <c r="H19" s="2257" t="s">
        <v>729</v>
      </c>
      <c r="I19" s="282"/>
      <c r="K19" s="1806" t="s">
        <v>365</v>
      </c>
      <c r="L19" s="1806">
        <f>IF(C1="",'数据-汇总表'!D3,SUMIF(项目类型,C1,'数据-汇总表'!D17:D26)+SUMIF(项目类型,C1,'数据-汇总表'!H17:H27))</f>
        <v>756.32</v>
      </c>
      <c r="M19" s="1806">
        <f>IF(C1="",'数据-汇总表'!D3,SUMIF(项目类型,C1,'数据-汇总表'!D17:D26))</f>
        <v>756.32</v>
      </c>
    </row>
    <row r="20" spans="1:36" ht="14.4">
      <c r="A20" s="2258"/>
      <c r="B20" s="2259" t="s">
        <v>730</v>
      </c>
      <c r="C20" s="1540">
        <f ca="1">SUMIF(INDIRECT("'"&amp;C4&amp;"'"&amp;"!A:A"),结果表!B20,INDIRECT("'"&amp;C4&amp;"'"&amp;"!B:B"))</f>
        <v>35133</v>
      </c>
      <c r="D20" s="1543">
        <f ca="1">SUMIF(INDIRECT("'"&amp;D4&amp;"'"&amp;"!A:A"),结果表!B20,INDIRECT("'"&amp;D4&amp;"'"&amp;"!B:B"))</f>
        <v>28322</v>
      </c>
      <c r="E20" s="2258"/>
      <c r="F20" s="2259" t="s">
        <v>730</v>
      </c>
      <c r="G20" s="2260">
        <f ca="1">ROUND(C20*$C$18+D20*$D$18,0)</f>
        <v>31728</v>
      </c>
      <c r="H20" s="1961" t="s">
        <v>731</v>
      </c>
      <c r="I20" s="282"/>
    </row>
    <row r="21" spans="1:36" ht="15" customHeight="1">
      <c r="A21" s="2132"/>
      <c r="B21" s="2261" t="s">
        <v>732</v>
      </c>
      <c r="C21" s="2262">
        <f ca="1">ROUND(C19*10000/L19,0)</f>
        <v>272120</v>
      </c>
      <c r="D21" s="2263">
        <f ca="1">ROUND(D19*10000/L19,0)</f>
        <v>219365</v>
      </c>
      <c r="E21" s="2132"/>
      <c r="F21" s="2261" t="s">
        <v>732</v>
      </c>
      <c r="G21" s="2264">
        <f ca="1">ROUND(G19*10000/L19,0)</f>
        <v>245743</v>
      </c>
      <c r="H21" s="2265" t="s">
        <v>731</v>
      </c>
      <c r="I21" s="282"/>
    </row>
    <row r="22" spans="1:36" ht="14.4">
      <c r="A22" s="2266" t="s">
        <v>733</v>
      </c>
      <c r="B22" s="2267"/>
      <c r="C22" s="2268"/>
      <c r="D22" s="2269">
        <f ca="1">IF(C19&lt;D19,D19/C19-1,C19/D19-1)</f>
        <v>0.24049183292146337</v>
      </c>
      <c r="E22" s="282"/>
      <c r="F22" s="282"/>
      <c r="G22" s="282"/>
      <c r="H22" s="282"/>
      <c r="I22" s="282"/>
    </row>
    <row r="23" spans="1:36" ht="13.2">
      <c r="A23" s="2234"/>
      <c r="B23" s="2234"/>
      <c r="C23" s="2234"/>
      <c r="D23" s="2234"/>
      <c r="E23" s="282"/>
      <c r="F23" s="282"/>
      <c r="G23" s="282"/>
      <c r="H23" s="282"/>
      <c r="I23" s="282"/>
    </row>
    <row r="24" spans="1:36" ht="14.4">
      <c r="A24" s="3357" t="s">
        <v>734</v>
      </c>
      <c r="B24" s="2254" t="s">
        <v>727</v>
      </c>
      <c r="C24" s="2256">
        <f>IF(B30=0,0,D30)</f>
        <v>0</v>
      </c>
      <c r="D24" s="2270"/>
      <c r="E24" s="282"/>
      <c r="F24" s="282"/>
      <c r="G24" s="282"/>
      <c r="H24" s="282"/>
      <c r="I24" s="282"/>
    </row>
    <row r="25" spans="1:36" ht="14.4">
      <c r="A25" s="3358"/>
      <c r="B25" s="2259" t="s">
        <v>730</v>
      </c>
      <c r="C25" s="2271">
        <f>IF(B30=0,0,C30)</f>
        <v>0</v>
      </c>
      <c r="D25" s="2272"/>
      <c r="E25" s="282"/>
      <c r="F25" s="282"/>
      <c r="G25" s="282"/>
      <c r="H25" s="282"/>
      <c r="I25" s="282"/>
    </row>
    <row r="26" spans="1:36" ht="13.5" customHeight="1">
      <c r="A26" s="2273" t="s">
        <v>735</v>
      </c>
      <c r="B26" s="2274" t="s">
        <v>736</v>
      </c>
      <c r="C26" s="2274" t="s">
        <v>737</v>
      </c>
      <c r="D26" s="2275" t="s">
        <v>738</v>
      </c>
      <c r="E26" s="282"/>
      <c r="F26" s="282"/>
      <c r="G26" s="282"/>
      <c r="H26" s="282"/>
      <c r="I26" s="282"/>
    </row>
    <row r="27" spans="1:36" ht="13.8">
      <c r="A27" s="2273"/>
      <c r="B27" s="2274">
        <v>0</v>
      </c>
      <c r="C27" s="2274">
        <v>0</v>
      </c>
      <c r="D27" s="2275">
        <f>ROUND(C27*B27/10000,0)</f>
        <v>0</v>
      </c>
      <c r="E27" s="282"/>
      <c r="F27" s="282"/>
      <c r="G27" s="282"/>
      <c r="H27" s="282"/>
      <c r="I27" s="282"/>
    </row>
    <row r="28" spans="1:36" ht="13.8">
      <c r="A28" s="2273"/>
      <c r="B28" s="2274"/>
      <c r="C28" s="2274"/>
      <c r="D28" s="2275"/>
      <c r="E28" s="282"/>
      <c r="F28" s="282"/>
      <c r="G28" s="282"/>
      <c r="H28" s="282"/>
      <c r="I28" s="282"/>
    </row>
    <row r="29" spans="1:36" ht="13.8">
      <c r="A29" s="2273"/>
      <c r="B29" s="2274"/>
      <c r="C29" s="2274"/>
      <c r="D29" s="2275"/>
      <c r="E29" s="282"/>
      <c r="F29" s="282"/>
      <c r="G29" s="282"/>
      <c r="H29" s="282"/>
      <c r="I29" s="282"/>
    </row>
    <row r="30" spans="1:36" ht="14.4">
      <c r="A30" s="2274" t="s">
        <v>739</v>
      </c>
      <c r="B30" s="2274"/>
      <c r="C30" s="2274"/>
      <c r="D30" s="2274"/>
      <c r="E30" s="2276" t="s">
        <v>740</v>
      </c>
      <c r="F30" s="282"/>
      <c r="G30" s="282"/>
      <c r="H30" s="282"/>
      <c r="I30" s="282"/>
    </row>
    <row r="31" spans="1:36" s="2228" customFormat="1" ht="26.4" customHeight="1">
      <c r="A31" s="2277"/>
      <c r="B31" s="2278"/>
      <c r="C31" s="2278"/>
      <c r="D31" s="2278"/>
      <c r="E31" s="2278"/>
      <c r="F31" s="2278"/>
      <c r="G31" s="2278"/>
      <c r="H31" s="2278"/>
      <c r="I31" s="2373" t="s">
        <v>741</v>
      </c>
      <c r="J31" s="2374"/>
      <c r="K31" s="2375"/>
      <c r="L31" s="2375"/>
      <c r="M31" s="2375"/>
      <c r="N31" s="2375"/>
      <c r="O31" s="2375"/>
      <c r="P31" s="2375"/>
      <c r="Q31" s="2375"/>
      <c r="R31" s="2375"/>
      <c r="S31" s="2375"/>
      <c r="T31" s="2375"/>
      <c r="U31" s="2375"/>
      <c r="V31" s="2375"/>
      <c r="W31" s="2375"/>
      <c r="X31" s="2375"/>
      <c r="Y31" s="2375"/>
      <c r="Z31" s="2375"/>
      <c r="AA31" s="2375"/>
      <c r="AB31" s="2406"/>
      <c r="AC31" s="2406"/>
      <c r="AD31" s="2406"/>
      <c r="AE31" s="2406"/>
      <c r="AF31" s="2406"/>
      <c r="AG31" s="2406"/>
      <c r="AH31" s="2406"/>
      <c r="AI31" s="2406"/>
      <c r="AJ31" s="2406"/>
    </row>
    <row r="32" spans="1:36" ht="14.4">
      <c r="A32" s="2279" t="s">
        <v>742</v>
      </c>
      <c r="B32" s="2280"/>
      <c r="C32" s="2281">
        <f ca="1">IF(D32="总价",G19-C24,G20-C25)</f>
        <v>18586</v>
      </c>
      <c r="D32" s="2282" t="s">
        <v>743</v>
      </c>
      <c r="E32" s="282"/>
      <c r="F32" s="282"/>
      <c r="G32" s="282"/>
      <c r="H32" s="282"/>
      <c r="I32" s="282"/>
    </row>
    <row r="33" spans="1:15" ht="14.4">
      <c r="A33" s="2072" t="s">
        <v>744</v>
      </c>
      <c r="B33" s="2283"/>
      <c r="C33" s="2284" t="s">
        <v>745</v>
      </c>
      <c r="D33" s="2285" t="s">
        <v>577</v>
      </c>
      <c r="E33" s="2286" t="s">
        <v>746</v>
      </c>
      <c r="F33" s="2287" t="str">
        <f>IF(D32="楼面单价","取值（单价）","取值（总价）")</f>
        <v>取值（总价）</v>
      </c>
      <c r="G33" s="282"/>
      <c r="H33" s="282"/>
      <c r="I33" s="282"/>
    </row>
    <row r="34" spans="1:15" ht="14.4">
      <c r="A34" s="2288"/>
      <c r="B34" s="2289" t="s">
        <v>747</v>
      </c>
      <c r="C34" s="2290">
        <f ca="1">IF(C33="自定义",F34,C32-C35)</f>
        <v>15891</v>
      </c>
      <c r="D34" s="2291">
        <f ca="1">IF(C33="自定义",ROUND(C34/C32,3),IF(C33="收益比率",SUMIF(INDIRECT("'"&amp;D33&amp;"'"&amp;"!b:b"),"土地收益比率",INDIRECT("'"&amp;D33&amp;"'"&amp;"!c:c")),SUMIF(INDIRECT("'"&amp;D33&amp;"'"&amp;"!b:b"),"土地成本比率",INDIRECT("'"&amp;D33&amp;"'"&amp;"!c:c"))))</f>
        <v>0.85499999999999998</v>
      </c>
      <c r="E34" s="2292" t="s">
        <v>748</v>
      </c>
      <c r="F34" s="2293"/>
      <c r="G34" s="282"/>
      <c r="H34" s="282"/>
      <c r="I34" s="282"/>
    </row>
    <row r="35" spans="1:15" ht="14.4">
      <c r="A35" s="2294"/>
      <c r="B35" s="2295" t="s">
        <v>749</v>
      </c>
      <c r="C35" s="2296">
        <f ca="1">IF(C33="自定义",F35,ROUND(C32*D35,0))</f>
        <v>2695</v>
      </c>
      <c r="D35" s="2297">
        <f ca="1">IF(C33="自定义",ROUND(C35/C32,3),IF(C33="收益比率",SUMIF(INDIRECT("'"&amp;D33&amp;"'"&amp;"!b:b"),"建筑物收益比率",INDIRECT("'"&amp;D33&amp;"'"&amp;"!c:c")),SUMIF(INDIRECT("'"&amp;D33&amp;"'"&amp;"!b:b"),"建筑物成本比率",INDIRECT("'"&amp;D33&amp;"'"&amp;"!c:c"))))</f>
        <v>0.14499999999999999</v>
      </c>
      <c r="E35" s="2298" t="s">
        <v>750</v>
      </c>
      <c r="F35" s="2299"/>
      <c r="G35" s="282"/>
      <c r="H35" s="282"/>
      <c r="I35" s="282"/>
    </row>
    <row r="36" spans="1:15" ht="14.4">
      <c r="A36" s="3359" t="s">
        <v>751</v>
      </c>
      <c r="B36" s="2300" t="s">
        <v>752</v>
      </c>
      <c r="C36" s="2301"/>
      <c r="D36" s="2302"/>
      <c r="E36" s="2303"/>
      <c r="F36" s="2304"/>
      <c r="G36" s="282"/>
      <c r="H36" s="282"/>
      <c r="I36" s="282"/>
    </row>
    <row r="37" spans="1:15" ht="14.4">
      <c r="A37" s="3360"/>
      <c r="B37" s="2305" t="s">
        <v>753</v>
      </c>
      <c r="C37" s="2306"/>
      <c r="D37" s="2307"/>
      <c r="E37" s="2307"/>
      <c r="F37" s="2304"/>
      <c r="G37" s="282"/>
      <c r="H37" s="282"/>
      <c r="I37" s="282"/>
    </row>
    <row r="38" spans="1:15" ht="14.4">
      <c r="A38" s="3361"/>
      <c r="B38" s="2308" t="s">
        <v>754</v>
      </c>
      <c r="C38" s="2309"/>
      <c r="D38" s="2310" t="s">
        <v>755</v>
      </c>
      <c r="E38" s="2307"/>
      <c r="F38" s="2304"/>
      <c r="G38" s="282"/>
      <c r="H38" s="282"/>
      <c r="I38" s="282"/>
    </row>
    <row r="39" spans="1:15" ht="14.4">
      <c r="A39" s="2258" t="s">
        <v>756</v>
      </c>
      <c r="B39" s="2311" t="s">
        <v>736</v>
      </c>
      <c r="C39" s="2312" t="s">
        <v>737</v>
      </c>
      <c r="D39" s="2312" t="s">
        <v>757</v>
      </c>
      <c r="E39" s="2313" t="s">
        <v>738</v>
      </c>
      <c r="F39" s="2304"/>
      <c r="G39" s="282"/>
      <c r="H39" s="282"/>
      <c r="I39" s="282"/>
    </row>
    <row r="40" spans="1:15" ht="13.8">
      <c r="A40" s="2314" t="s">
        <v>758</v>
      </c>
      <c r="B40" s="2315"/>
      <c r="C40" s="300"/>
      <c r="D40" s="300"/>
      <c r="E40" s="2316"/>
      <c r="F40" s="2304"/>
      <c r="G40" s="282"/>
      <c r="H40" s="282"/>
      <c r="I40" s="282"/>
    </row>
    <row r="41" spans="1:15" ht="13.8">
      <c r="A41" s="2314" t="s">
        <v>759</v>
      </c>
      <c r="B41" s="2315"/>
      <c r="C41" s="300"/>
      <c r="D41" s="300"/>
      <c r="E41" s="2316"/>
      <c r="F41" s="2304"/>
      <c r="G41" s="282"/>
      <c r="H41" s="282"/>
      <c r="I41" s="282"/>
    </row>
    <row r="42" spans="1:15" ht="13.8">
      <c r="A42" s="2317"/>
      <c r="B42" s="2318"/>
      <c r="C42" s="2319"/>
      <c r="D42" s="2319"/>
      <c r="E42" s="2299"/>
      <c r="F42" s="2304"/>
      <c r="G42" s="282"/>
      <c r="H42" s="282"/>
      <c r="I42" s="282"/>
    </row>
    <row r="43" spans="1:15" ht="13.2">
      <c r="A43" s="2320"/>
      <c r="B43" s="2320"/>
      <c r="C43" s="2320"/>
      <c r="D43" s="2320"/>
      <c r="E43" s="2320"/>
      <c r="F43" s="2321"/>
      <c r="G43" s="2321"/>
      <c r="H43" s="2321"/>
      <c r="I43" s="2376"/>
    </row>
    <row r="44" spans="1:15" ht="17.399999999999999">
      <c r="A44" s="2322" t="s">
        <v>760</v>
      </c>
      <c r="B44" s="2323"/>
      <c r="C44" s="2323"/>
      <c r="D44" s="2324"/>
      <c r="E44" s="2324"/>
      <c r="F44" s="2325"/>
      <c r="G44" s="2325"/>
      <c r="H44" s="2325"/>
      <c r="I44" s="2325"/>
      <c r="J44" s="2377" t="s">
        <v>761</v>
      </c>
      <c r="K44" s="2378"/>
      <c r="L44" s="2378"/>
      <c r="M44" s="2378"/>
      <c r="N44" s="2378"/>
      <c r="O44" s="2378"/>
    </row>
    <row r="45" spans="1:15" ht="14.25" customHeight="1">
      <c r="A45" s="3442" t="s">
        <v>762</v>
      </c>
      <c r="B45" s="3443"/>
      <c r="C45" s="3444"/>
      <c r="D45" s="1805">
        <f ca="1">ROUND(H101*F45,0)</f>
        <v>18586</v>
      </c>
      <c r="E45" s="2326" t="s">
        <v>763</v>
      </c>
      <c r="F45" s="2327">
        <v>1</v>
      </c>
      <c r="G45" s="2328" t="s">
        <v>764</v>
      </c>
      <c r="H45" s="282"/>
      <c r="I45" s="282"/>
      <c r="J45" s="3431" t="s">
        <v>765</v>
      </c>
      <c r="K45" s="3431"/>
      <c r="L45" s="3431"/>
      <c r="M45" s="3431"/>
      <c r="N45" s="3431"/>
      <c r="O45" s="3431"/>
    </row>
    <row r="46" spans="1:15" ht="14.25" customHeight="1">
      <c r="A46" s="3445" t="s">
        <v>766</v>
      </c>
      <c r="B46" s="3446"/>
      <c r="C46" s="3446"/>
      <c r="D46" s="3446"/>
      <c r="E46" s="3446"/>
      <c r="F46" s="3446"/>
      <c r="G46" s="3447"/>
      <c r="H46" s="2329"/>
      <c r="I46" s="283"/>
      <c r="J46" s="2379">
        <v>1</v>
      </c>
      <c r="K46" s="3424" t="s">
        <v>767</v>
      </c>
      <c r="L46" s="3424"/>
      <c r="M46" s="3448"/>
      <c r="N46" s="3448"/>
      <c r="O46" s="3448"/>
    </row>
    <row r="47" spans="1:15" ht="12" customHeight="1">
      <c r="A47" s="2330" t="s">
        <v>768</v>
      </c>
      <c r="B47" s="2331"/>
      <c r="C47" s="2332"/>
      <c r="D47" s="1856" t="s">
        <v>769</v>
      </c>
      <c r="E47" s="1806" t="s">
        <v>770</v>
      </c>
      <c r="F47" s="2333" t="s">
        <v>771</v>
      </c>
      <c r="G47" s="2334" t="s">
        <v>772</v>
      </c>
      <c r="H47" s="2335"/>
      <c r="I47" s="283"/>
      <c r="J47" s="2379">
        <v>2</v>
      </c>
      <c r="K47" s="3424" t="s">
        <v>773</v>
      </c>
      <c r="L47" s="3424"/>
      <c r="M47" s="3428">
        <f>'数据-取费表'!B2</f>
        <v>44770</v>
      </c>
      <c r="N47" s="3428"/>
      <c r="O47" s="3428"/>
    </row>
    <row r="48" spans="1:15" ht="26.4">
      <c r="A48" s="3429" t="s">
        <v>774</v>
      </c>
      <c r="B48" s="3412"/>
      <c r="C48" s="3412"/>
      <c r="D48" s="1959" t="b">
        <f>IF(H48="情况1",0,IF(H48="情况2",D52,IF(H48="情况3",D53,IF(H48="情况4",D54))))</f>
        <v>0</v>
      </c>
      <c r="E48" s="1860" t="str">
        <f>IF(H48="情况4","(销售额-原购置价)×税（费）率","销售额×税（费）率")</f>
        <v>销售额×税（费）率</v>
      </c>
      <c r="F48" s="2337">
        <f>IF(H48="情况1","免征",'数据-取费表'!B41)</f>
        <v>5.6000000000000001E-2</v>
      </c>
      <c r="G48" s="2338" t="s">
        <v>775</v>
      </c>
      <c r="H48" s="2339"/>
      <c r="I48" s="2329"/>
      <c r="J48" s="2379">
        <v>3</v>
      </c>
      <c r="K48" s="3424" t="s">
        <v>776</v>
      </c>
      <c r="L48" s="3424"/>
      <c r="M48" s="3430">
        <f ca="1">H101</f>
        <v>18586</v>
      </c>
      <c r="N48" s="3430"/>
      <c r="O48" s="3430"/>
    </row>
    <row r="49" spans="1:35" ht="25.5" customHeight="1">
      <c r="A49" s="2336" t="s">
        <v>777</v>
      </c>
      <c r="B49" s="3394" t="s">
        <v>778</v>
      </c>
      <c r="C49" s="3394"/>
      <c r="D49" s="2340">
        <v>0</v>
      </c>
      <c r="E49" s="1866" t="s">
        <v>779</v>
      </c>
      <c r="F49" s="2341" t="s">
        <v>124</v>
      </c>
      <c r="G49" s="3425"/>
      <c r="H49" s="2342" t="s">
        <v>780</v>
      </c>
      <c r="I49" s="2381"/>
      <c r="J49" s="2379">
        <v>4</v>
      </c>
      <c r="K49" s="3424" t="str">
        <f>IF(项目基本情况!E8="房地产抵押价值","房地产抵押价值","抵押担保权已注销时的房地产抵押价值")</f>
        <v>房地产抵押价值</v>
      </c>
      <c r="L49" s="3424"/>
      <c r="M49" s="3430">
        <f ca="1">IF(项目基本情况!E8="房地产抵押价值",H107,H109)</f>
        <v>18586</v>
      </c>
      <c r="N49" s="3430"/>
      <c r="O49" s="3430"/>
    </row>
    <row r="50" spans="1:35" ht="25.5" customHeight="1">
      <c r="A50" s="2343"/>
      <c r="B50" s="3394" t="s">
        <v>781</v>
      </c>
      <c r="C50" s="3394"/>
      <c r="D50" s="2344"/>
      <c r="E50" s="1881"/>
      <c r="F50" s="2341"/>
      <c r="G50" s="3426"/>
      <c r="H50" s="2345" t="s">
        <v>782</v>
      </c>
      <c r="I50" s="2381"/>
      <c r="J50" s="3431" t="s">
        <v>783</v>
      </c>
      <c r="K50" s="3431"/>
      <c r="L50" s="3431"/>
      <c r="M50" s="3431"/>
      <c r="N50" s="3431"/>
      <c r="O50" s="3431"/>
    </row>
    <row r="51" spans="1:35" ht="20.399999999999999" customHeight="1">
      <c r="A51" s="2346"/>
      <c r="B51" s="3394" t="s">
        <v>784</v>
      </c>
      <c r="C51" s="3394"/>
      <c r="D51" s="1856"/>
      <c r="E51" s="1870"/>
      <c r="F51" s="2341"/>
      <c r="G51" s="3427"/>
      <c r="H51" s="2345" t="s">
        <v>785</v>
      </c>
      <c r="I51" s="2381"/>
      <c r="J51" s="2380" t="s">
        <v>786</v>
      </c>
      <c r="K51" s="3424" t="s">
        <v>787</v>
      </c>
      <c r="L51" s="3424"/>
      <c r="M51" s="2380" t="s">
        <v>788</v>
      </c>
      <c r="N51" s="2380" t="s">
        <v>789</v>
      </c>
      <c r="O51" s="2380" t="s">
        <v>790</v>
      </c>
    </row>
    <row r="52" spans="1:35" ht="24" customHeight="1">
      <c r="A52" s="2347" t="s">
        <v>791</v>
      </c>
      <c r="B52" s="3394" t="s">
        <v>792</v>
      </c>
      <c r="C52" s="3394"/>
      <c r="D52" s="1856">
        <f ca="1">ROUND(D45*'数据-取费表'!B41/(1+'数据-取费表'!C42),0)</f>
        <v>991</v>
      </c>
      <c r="E52" s="1860" t="s">
        <v>793</v>
      </c>
      <c r="F52" s="2348">
        <f>'数据-取费表'!B41</f>
        <v>5.6000000000000001E-2</v>
      </c>
      <c r="G52" s="2349"/>
      <c r="H52" s="1974"/>
      <c r="I52" s="2382"/>
      <c r="J52" s="2379">
        <v>1</v>
      </c>
      <c r="K52" s="3420" t="s">
        <v>794</v>
      </c>
      <c r="L52" s="3420"/>
      <c r="M52" s="2383" t="b">
        <f>D48</f>
        <v>0</v>
      </c>
      <c r="N52" s="2379" t="str">
        <f>E48</f>
        <v>销售额×税（费）率</v>
      </c>
      <c r="O52" s="2384">
        <f>F48</f>
        <v>5.6000000000000001E-2</v>
      </c>
    </row>
    <row r="53" spans="1:35" ht="12" customHeight="1">
      <c r="A53" s="2347" t="s">
        <v>795</v>
      </c>
      <c r="B53" s="3393" t="s">
        <v>796</v>
      </c>
      <c r="C53" s="3416"/>
      <c r="D53" s="1856">
        <f ca="1">ROUND(D45*'数据-取费表'!B41/(1+'数据-取费表'!C42),0)</f>
        <v>991</v>
      </c>
      <c r="E53" s="1860" t="s">
        <v>793</v>
      </c>
      <c r="F53" s="2348">
        <f>'数据-取费表'!B41</f>
        <v>5.6000000000000001E-2</v>
      </c>
      <c r="G53" s="2349"/>
      <c r="H53" s="1974"/>
      <c r="I53" s="2382"/>
      <c r="J53" s="2379">
        <v>2</v>
      </c>
      <c r="K53" s="3420" t="s">
        <v>797</v>
      </c>
      <c r="L53" s="3420"/>
      <c r="M53" s="2383">
        <f t="shared" ref="M53:O54" ca="1" si="0">D55</f>
        <v>9</v>
      </c>
      <c r="N53" s="2379" t="str">
        <f t="shared" si="0"/>
        <v>销售额×税（费）率</v>
      </c>
      <c r="O53" s="2384" t="str">
        <f t="shared" si="0"/>
        <v>免征</v>
      </c>
    </row>
    <row r="54" spans="1:35" ht="12" customHeight="1">
      <c r="A54" s="2347" t="s">
        <v>798</v>
      </c>
      <c r="B54" s="3393" t="s">
        <v>799</v>
      </c>
      <c r="C54" s="3416"/>
      <c r="D54" s="1856">
        <f ca="1">C68</f>
        <v>944</v>
      </c>
      <c r="E54" s="1870" t="s">
        <v>800</v>
      </c>
      <c r="F54" s="2348">
        <f>'数据-取费表'!B41</f>
        <v>5.6000000000000001E-2</v>
      </c>
      <c r="G54" s="2349"/>
      <c r="H54" s="2350"/>
      <c r="I54" s="2382"/>
      <c r="J54" s="2379">
        <v>3</v>
      </c>
      <c r="K54" s="3420" t="s">
        <v>801</v>
      </c>
      <c r="L54" s="3420"/>
      <c r="M54" s="2383">
        <f t="shared" ca="1" si="0"/>
        <v>10520</v>
      </c>
      <c r="N54" s="2379" t="str">
        <f t="shared" si="0"/>
        <v>增值额×税（费）率</v>
      </c>
      <c r="O54" s="2385" t="str">
        <f t="shared" si="0"/>
        <v>免征</v>
      </c>
    </row>
    <row r="55" spans="1:35" ht="24" customHeight="1">
      <c r="A55" s="3411" t="s">
        <v>802</v>
      </c>
      <c r="B55" s="3412"/>
      <c r="C55" s="3412"/>
      <c r="D55" s="1959">
        <f ca="1">IF(H55="个人住宅",0,ROUND(D45*I55,0))</f>
        <v>9</v>
      </c>
      <c r="E55" s="1860" t="s">
        <v>803</v>
      </c>
      <c r="F55" s="2348" t="str">
        <f>IF(H55="正常",I55,"免征")</f>
        <v>免征</v>
      </c>
      <c r="G55" s="2349"/>
      <c r="H55" s="2339"/>
      <c r="I55" s="2386">
        <f>'数据-取费表'!B49</f>
        <v>5.0000000000000001E-4</v>
      </c>
      <c r="J55" s="2379">
        <f>IF(H59="非个人房产","",4)</f>
        <v>4</v>
      </c>
      <c r="K55" s="3420" t="str">
        <f>IF(H59="非个人房产","——","个人所得税")</f>
        <v>个人所得税</v>
      </c>
      <c r="L55" s="3420"/>
      <c r="M55" s="2387">
        <f ca="1">D59</f>
        <v>169</v>
      </c>
      <c r="N55" s="635" t="str">
        <f>E59</f>
        <v>差额计税</v>
      </c>
      <c r="O55" s="2388">
        <f>F59</f>
        <v>0.01</v>
      </c>
    </row>
    <row r="56" spans="1:35" ht="25.2">
      <c r="A56" s="3411" t="s">
        <v>804</v>
      </c>
      <c r="B56" s="3412"/>
      <c r="C56" s="3412"/>
      <c r="D56" s="1959">
        <f ca="1">IF(H56="个人住宅",D57,D58)</f>
        <v>10520</v>
      </c>
      <c r="E56" s="1860" t="s">
        <v>805</v>
      </c>
      <c r="F56" s="2348" t="str">
        <f>IF(H56="正常",F58,"免征")</f>
        <v>免征</v>
      </c>
      <c r="G56" s="2351" t="s">
        <v>806</v>
      </c>
      <c r="H56" s="2352"/>
      <c r="I56" s="2361"/>
      <c r="J56" s="2379" t="str">
        <f>IF(项目基本情况!K6="上海银行",IF(J55="",4,J55+1),"")</f>
        <v/>
      </c>
      <c r="K56" s="3413" t="str">
        <f>IF(项目基本情况!K6="上海银行","其他处置费用","")</f>
        <v/>
      </c>
      <c r="L56" s="3414"/>
      <c r="M56" s="2383" t="str">
        <f>IF(项目基本情况!K6="上海银行",M69,"")</f>
        <v/>
      </c>
      <c r="N56" s="3413" t="str">
        <f>IF(项目基本情况!K6="上海银行","包含处置中涉及的律师、诉讼、拍卖、评估等费用","")</f>
        <v/>
      </c>
      <c r="O56" s="3415"/>
    </row>
    <row r="57" spans="1:35" ht="13.2">
      <c r="A57" s="2347" t="s">
        <v>777</v>
      </c>
      <c r="B57" s="3393" t="s">
        <v>807</v>
      </c>
      <c r="C57" s="3416"/>
      <c r="D57" s="2340">
        <v>0</v>
      </c>
      <c r="E57" s="1866" t="s">
        <v>779</v>
      </c>
      <c r="F57" s="1806"/>
      <c r="G57" s="2349"/>
      <c r="H57" s="2353"/>
      <c r="I57" s="2361"/>
      <c r="J57" s="3420">
        <f>IF(AND(J55="",J56=""),4,IF(项目基本情况!K6="上海银行",结果表!J56+1,结果表!J55+1))</f>
        <v>5</v>
      </c>
      <c r="K57" s="3420" t="s">
        <v>808</v>
      </c>
      <c r="L57" s="2389" t="s">
        <v>809</v>
      </c>
      <c r="M57" s="2390"/>
      <c r="N57" s="2391">
        <f ca="1">SUMIF(M52:M56,"&lt;9e307")</f>
        <v>10698</v>
      </c>
      <c r="O57" s="2392"/>
      <c r="P57" s="2393">
        <f ca="1">N57/M49</f>
        <v>0.57559453351985368</v>
      </c>
    </row>
    <row r="58" spans="1:35" ht="25.2">
      <c r="A58" s="2347" t="s">
        <v>791</v>
      </c>
      <c r="B58" s="3393" t="s">
        <v>810</v>
      </c>
      <c r="C58" s="3394"/>
      <c r="D58" s="1959">
        <f ca="1">IF(H58="转让取得",C81,C97)</f>
        <v>10520</v>
      </c>
      <c r="E58" s="1860" t="s">
        <v>805</v>
      </c>
      <c r="F58" s="1806" t="s">
        <v>124</v>
      </c>
      <c r="G58" s="2349"/>
      <c r="H58" s="2352"/>
      <c r="I58" s="2361"/>
      <c r="J58" s="3420"/>
      <c r="K58" s="3420"/>
      <c r="L58" s="2389" t="s">
        <v>811</v>
      </c>
      <c r="M58" s="2394"/>
      <c r="N58" s="2395" t="str">
        <f ca="1">NUMBERSTRING(INT(N57*10000),2)&amp;"元整"</f>
        <v>壹亿零陆佰玖拾捌万元整</v>
      </c>
      <c r="O58" s="2396"/>
    </row>
    <row r="59" spans="1:35" ht="24">
      <c r="A59" s="3417" t="s">
        <v>812</v>
      </c>
      <c r="B59" s="3418"/>
      <c r="C59" s="3418"/>
      <c r="D59" s="2354">
        <f ca="1">IF(H59="非个人房产","——",IF(H59="个人住宅（满五唯一有凭证）",0,IF(H59="个人其他（无凭证）",ROUND(D45*F59,0),ROUND(C67*F59,0))))</f>
        <v>169</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806</v>
      </c>
      <c r="H59" s="2358"/>
      <c r="I59" s="2397" t="s">
        <v>813</v>
      </c>
      <c r="J59" s="3421">
        <f>J57+1</f>
        <v>6</v>
      </c>
      <c r="K59" s="3420" t="s">
        <v>814</v>
      </c>
      <c r="L59" s="2379" t="s">
        <v>809</v>
      </c>
      <c r="M59" s="2398"/>
      <c r="N59" s="2399">
        <f ca="1">M49-N57</f>
        <v>7888</v>
      </c>
      <c r="O59" s="2400"/>
    </row>
    <row r="60" spans="1:35" ht="12" customHeight="1">
      <c r="A60" s="2359"/>
      <c r="B60" s="2234"/>
      <c r="C60" s="2234"/>
      <c r="D60" s="2234"/>
      <c r="E60" s="2360"/>
      <c r="F60" s="2361"/>
      <c r="G60" s="2361"/>
      <c r="H60" s="2362"/>
      <c r="I60" s="282"/>
      <c r="J60" s="3422"/>
      <c r="K60" s="3420"/>
      <c r="L60" s="2389" t="s">
        <v>811</v>
      </c>
      <c r="M60" s="2394"/>
      <c r="N60" s="2395" t="str">
        <f ca="1">NUMBERSTRING(INT(N59*10000),2)&amp;"元整"</f>
        <v>柒仟捌佰捌拾捌万元整</v>
      </c>
      <c r="O60" s="2396"/>
    </row>
    <row r="61" spans="1:35" ht="13.2">
      <c r="A61" s="3419" t="s">
        <v>815</v>
      </c>
      <c r="B61" s="3419"/>
      <c r="C61" s="3419"/>
      <c r="D61" s="3419"/>
      <c r="E61" s="3419"/>
      <c r="F61" s="2361"/>
      <c r="G61" s="2361"/>
      <c r="H61" s="2362"/>
      <c r="I61" s="282"/>
      <c r="J61" s="2379">
        <f>J59+1</f>
        <v>7</v>
      </c>
      <c r="K61" s="3420" t="s">
        <v>816</v>
      </c>
      <c r="L61" s="3420"/>
      <c r="M61" s="2401"/>
      <c r="N61" s="2402">
        <f ca="1">ROUND(N59*10000/'数据-汇总表'!E3,0)</f>
        <v>13465</v>
      </c>
      <c r="O61" s="2403"/>
    </row>
    <row r="62" spans="1:35" ht="13.2">
      <c r="A62" s="3391" t="s">
        <v>817</v>
      </c>
      <c r="B62" s="3392"/>
      <c r="C62" s="614"/>
      <c r="D62" s="614" t="s">
        <v>818</v>
      </c>
      <c r="E62" s="2363" t="s">
        <v>772</v>
      </c>
      <c r="F62" s="2361"/>
      <c r="G62" s="2361"/>
      <c r="H62" s="2362"/>
      <c r="I62" s="282"/>
    </row>
    <row r="63" spans="1:35" ht="13.2">
      <c r="A63" s="2364" t="s">
        <v>819</v>
      </c>
      <c r="B63" s="2365" t="s">
        <v>820</v>
      </c>
      <c r="C63" s="2366">
        <f ca="1">ROUND((C64+C65)/(1+'数据-取费表'!C42),0)</f>
        <v>17701</v>
      </c>
      <c r="D63" s="2365"/>
      <c r="E63" s="2367"/>
      <c r="F63" s="2361"/>
      <c r="G63" s="2361"/>
      <c r="H63" s="2362"/>
      <c r="I63" s="282"/>
      <c r="J63" s="3423" t="s">
        <v>821</v>
      </c>
      <c r="K63" s="2404" t="s">
        <v>822</v>
      </c>
      <c r="L63" s="2404">
        <f ca="1">IF(M49&gt;10000,M49*0.5%,IF(AND(M49&gt;1000,M49&lt;=10000),M49*1%,IF(AND(M49&gt;100,M49&lt;=1000),M49*3%,IF(AND(M49&gt;10,M49&lt;=100),M49*5%,M49*8%))))</f>
        <v>92.93</v>
      </c>
      <c r="M63" s="1806">
        <f ca="1">ROUND(L63,1)</f>
        <v>92.9</v>
      </c>
      <c r="N63" s="2405"/>
      <c r="Z63" s="2231"/>
      <c r="AI63" s="2232"/>
    </row>
    <row r="64" spans="1:35" ht="14.25" customHeight="1">
      <c r="A64" s="2368" t="s">
        <v>823</v>
      </c>
      <c r="B64" s="601" t="s">
        <v>824</v>
      </c>
      <c r="C64" s="2369">
        <f ca="1">D45</f>
        <v>18586</v>
      </c>
      <c r="D64" s="601" t="s">
        <v>124</v>
      </c>
      <c r="E64" s="2370"/>
      <c r="F64" s="2361"/>
      <c r="G64" s="2361"/>
      <c r="H64" s="2362"/>
      <c r="I64" s="282"/>
      <c r="J64" s="3423"/>
      <c r="K64" s="2404" t="s">
        <v>825</v>
      </c>
      <c r="L64" s="2404">
        <f ca="1">IF(M49&gt;2000,M49*0.5%,IF(AND(M49&gt;1000,M49&lt;=2000),M49*0.6%,IF(AND(M49&gt;500,M49&lt;=1000),M49*0.7%,IF(AND(M49&gt;200,M49&lt;=500),M49*0.8%,IF(AND(M49&gt;100,M49&lt;=200),M49*0.9%,IF(AND(M49&gt;50,M49&lt;=100),M49*1%,IF(AND(M49&gt;20,M49&lt;=50),M49*1.5%,IF(AND(M49&gt;10,M49&lt;=20),M49*2%,IF(AND(M49&gt;1,M49&lt;=10),M49*2.5%)))))))))</f>
        <v>92.93</v>
      </c>
      <c r="M64" s="1806">
        <f t="shared" ref="M64:M65" ca="1" si="1">ROUND(L64,1)</f>
        <v>92.9</v>
      </c>
      <c r="N64" s="1974" t="s">
        <v>826</v>
      </c>
      <c r="Z64" s="2231"/>
      <c r="AI64" s="2232"/>
    </row>
    <row r="65" spans="1:35" ht="14.25" customHeight="1">
      <c r="A65" s="2368" t="s">
        <v>827</v>
      </c>
      <c r="B65" s="601" t="s">
        <v>828</v>
      </c>
      <c r="C65" s="2407"/>
      <c r="D65" s="601"/>
      <c r="E65" s="2370"/>
      <c r="F65" s="2361"/>
      <c r="G65" s="2361"/>
      <c r="H65" s="2362"/>
      <c r="I65" s="282"/>
      <c r="J65" s="3423"/>
      <c r="K65" s="2404" t="s">
        <v>829</v>
      </c>
      <c r="L65" s="2404">
        <f ca="1">IF(M49&gt;1000,M49*0.1%,IF(AND(M49&gt;500,M49&lt;=1000),M49*0.5%,IF(AND(M49&gt;50,M49&lt;=500),M49*1%,IF(AND(M49&gt;1,M49&lt;=50),M49*1.5%))))</f>
        <v>18.586000000000002</v>
      </c>
      <c r="M65" s="1806">
        <f t="shared" ca="1" si="1"/>
        <v>18.600000000000001</v>
      </c>
      <c r="N65" s="1974" t="s">
        <v>826</v>
      </c>
      <c r="Z65" s="2231"/>
      <c r="AI65" s="2232"/>
    </row>
    <row r="66" spans="1:35" ht="14.25" customHeight="1">
      <c r="A66" s="2364" t="s">
        <v>830</v>
      </c>
      <c r="B66" s="2408" t="s">
        <v>831</v>
      </c>
      <c r="C66" s="2409">
        <v>838</v>
      </c>
      <c r="D66" s="2408" t="s">
        <v>124</v>
      </c>
      <c r="E66" s="2410" t="s">
        <v>832</v>
      </c>
      <c r="F66" s="2361"/>
      <c r="G66" s="2361"/>
      <c r="H66" s="2362"/>
      <c r="I66" s="282"/>
      <c r="J66" s="3423"/>
      <c r="K66" s="2404" t="s">
        <v>833</v>
      </c>
      <c r="L66" s="2404">
        <f ca="1">M49*0.5%</f>
        <v>92.93</v>
      </c>
      <c r="M66" s="1806">
        <f ca="1">IF(L66&gt;0.5,0.5,ROUND(L66,0))</f>
        <v>0.5</v>
      </c>
      <c r="N66" s="1974" t="s">
        <v>834</v>
      </c>
      <c r="Z66" s="2231"/>
      <c r="AI66" s="2232"/>
    </row>
    <row r="67" spans="1:35" ht="14.25" customHeight="1">
      <c r="A67" s="2364" t="s">
        <v>835</v>
      </c>
      <c r="B67" s="2408" t="s">
        <v>836</v>
      </c>
      <c r="C67" s="2411">
        <f ca="1">C63-C66</f>
        <v>16863</v>
      </c>
      <c r="D67" s="601" t="s">
        <v>124</v>
      </c>
      <c r="E67" s="2370"/>
      <c r="F67" s="2361"/>
      <c r="G67" s="2361"/>
      <c r="H67" s="2362"/>
      <c r="I67" s="282"/>
      <c r="J67" s="3423"/>
      <c r="K67" s="2404" t="s">
        <v>837</v>
      </c>
      <c r="L67" s="2404">
        <f ca="1">IF(M49&gt;=10000,(8.25+(M49-10000)*0.01%),IF(AND(M49&gt;=8000,M49&lt;10000),(7.85+(M49-8000)*0.02%),IF(AND(M49&gt;=5000,M49&lt;8000),(6.65+(M49-5000)*0.04%),IF(AND(M49&gt;=2000,M49&lt;5000),(4.25+(PM49-2000)*0.08%),IF(AND(M49&gt;=1000,M49&lt;2000),(2.75+(M49-1000)*0.15%),IF(AND(M49&gt;=100,M49&lt;1000),(0.5+(M49-100)*0.25%),IF(AND(M49&gt;0,M49&lt;100),M49*0.5%)))))))</f>
        <v>9.1085999999999991</v>
      </c>
      <c r="M67" s="1806">
        <f ca="1">ROUND(L67*0.9,1)</f>
        <v>8.1999999999999993</v>
      </c>
      <c r="N67" s="2405"/>
      <c r="Z67" s="2231"/>
      <c r="AI67" s="2232"/>
    </row>
    <row r="68" spans="1:35" ht="14.25" customHeight="1">
      <c r="A68" s="2412" t="s">
        <v>838</v>
      </c>
      <c r="B68" s="2413" t="s">
        <v>839</v>
      </c>
      <c r="C68" s="2414">
        <f ca="1">IF(C67&lt;=0,0,ROUND(C67*D68,0))</f>
        <v>944</v>
      </c>
      <c r="D68" s="2415">
        <f>'数据-取费表'!B41</f>
        <v>5.6000000000000001E-2</v>
      </c>
      <c r="E68" s="2416"/>
      <c r="F68" s="2361"/>
      <c r="G68" s="2361"/>
      <c r="H68" s="2362"/>
      <c r="I68" s="282"/>
      <c r="J68" s="3423"/>
      <c r="K68" s="2404" t="s">
        <v>840</v>
      </c>
      <c r="L68" s="2404">
        <f ca="1">IF(M49&gt;10000,M49*0.5%,IF(AND(M49&gt;5000,M49&lt;=10000),M49*1%,IF(AND(M49&gt;1000,M49&lt;=5000),M49*2%,IF(AND(M49&gt;200,M49&lt;=1000),M49*3%,M49*5%))))</f>
        <v>92.93</v>
      </c>
      <c r="M68" s="1806">
        <f ca="1">ROUND(L68,1)</f>
        <v>92.9</v>
      </c>
      <c r="N68" s="2405"/>
      <c r="Z68" s="2231"/>
      <c r="AI68" s="2232"/>
    </row>
    <row r="69" spans="1:35" s="2229" customFormat="1" ht="16.5" customHeight="1">
      <c r="A69" s="2417"/>
      <c r="B69" s="2418"/>
      <c r="C69" s="2419"/>
      <c r="D69" s="752"/>
      <c r="E69" s="2420"/>
      <c r="F69" s="2360"/>
      <c r="G69" s="2360"/>
      <c r="H69" s="2320"/>
      <c r="I69" s="2234"/>
      <c r="J69" s="3423"/>
      <c r="K69" s="2404" t="s">
        <v>841</v>
      </c>
      <c r="L69" s="2404"/>
      <c r="M69" s="1806">
        <f ca="1">ROUND(SUM(M63:M68),0)</f>
        <v>306</v>
      </c>
      <c r="N69" s="2483">
        <f ca="1">M69/M49</f>
        <v>1.646400516517809E-2</v>
      </c>
      <c r="O69" s="239"/>
      <c r="P69" s="239"/>
      <c r="Q69" s="239"/>
      <c r="R69" s="239"/>
      <c r="S69" s="239"/>
      <c r="T69" s="239"/>
      <c r="U69" s="239"/>
      <c r="V69" s="239"/>
      <c r="W69" s="239"/>
      <c r="X69" s="239"/>
      <c r="Y69" s="239"/>
      <c r="Z69" s="2231"/>
      <c r="AA69" s="2231"/>
      <c r="AB69" s="2231"/>
      <c r="AC69" s="2231"/>
      <c r="AD69" s="2231"/>
      <c r="AE69" s="2231"/>
      <c r="AF69" s="2231"/>
      <c r="AG69" s="2231"/>
      <c r="AH69" s="2231"/>
    </row>
    <row r="70" spans="1:35" s="2230" customFormat="1" ht="13.8">
      <c r="A70" s="3389" t="s">
        <v>842</v>
      </c>
      <c r="B70" s="3390"/>
      <c r="C70" s="3390"/>
      <c r="D70" s="3390"/>
      <c r="E70" s="3390"/>
      <c r="F70" s="3390"/>
      <c r="G70" s="3390"/>
      <c r="H70" s="3390"/>
      <c r="I70" s="2484"/>
      <c r="J70" s="2485"/>
      <c r="K70" s="2485"/>
      <c r="L70" s="2485"/>
      <c r="M70" s="2485"/>
      <c r="N70" s="2486"/>
      <c r="O70" s="2486"/>
      <c r="P70" s="2486"/>
      <c r="Q70" s="2486"/>
      <c r="R70" s="2486"/>
      <c r="S70" s="2486"/>
      <c r="T70" s="2486"/>
      <c r="U70" s="2486"/>
      <c r="V70" s="2486"/>
      <c r="W70" s="2486"/>
      <c r="X70" s="2486"/>
      <c r="Y70" s="2486"/>
      <c r="Z70" s="2486"/>
      <c r="AA70" s="2492"/>
      <c r="AB70" s="2492"/>
      <c r="AC70" s="2492"/>
      <c r="AD70" s="2492"/>
      <c r="AE70" s="2492"/>
      <c r="AF70" s="2492"/>
      <c r="AG70" s="2492"/>
      <c r="AH70" s="2492"/>
      <c r="AI70" s="2492"/>
    </row>
    <row r="71" spans="1:35" s="2230" customFormat="1" ht="13.8">
      <c r="A71" s="3391" t="s">
        <v>817</v>
      </c>
      <c r="B71" s="3392"/>
      <c r="C71" s="614"/>
      <c r="D71" s="614" t="s">
        <v>818</v>
      </c>
      <c r="E71" s="2421" t="s">
        <v>772</v>
      </c>
      <c r="F71" s="2422"/>
      <c r="G71" s="2422"/>
      <c r="H71" s="2423"/>
      <c r="I71" s="2487"/>
      <c r="J71" s="2485"/>
      <c r="K71" s="2485"/>
      <c r="L71" s="2485"/>
      <c r="M71" s="2485"/>
      <c r="N71" s="2486"/>
      <c r="O71" s="2486"/>
      <c r="P71" s="2486"/>
      <c r="Q71" s="2486"/>
      <c r="R71" s="2486"/>
      <c r="S71" s="2486"/>
      <c r="T71" s="2486"/>
      <c r="U71" s="2486"/>
      <c r="V71" s="2486"/>
      <c r="W71" s="2486"/>
      <c r="X71" s="2486"/>
      <c r="Y71" s="2486"/>
      <c r="Z71" s="2486"/>
      <c r="AA71" s="2492"/>
      <c r="AB71" s="2492"/>
      <c r="AC71" s="2492"/>
      <c r="AD71" s="2492"/>
      <c r="AE71" s="2492"/>
      <c r="AF71" s="2492"/>
      <c r="AG71" s="2492"/>
      <c r="AH71" s="2492"/>
      <c r="AI71" s="2492"/>
    </row>
    <row r="72" spans="1:35" s="2230" customFormat="1" ht="13.8">
      <c r="A72" s="2364" t="s">
        <v>819</v>
      </c>
      <c r="B72" s="2408" t="s">
        <v>843</v>
      </c>
      <c r="C72" s="2411">
        <f ca="1">ROUND(D45/(1+'数据-取费表'!C42),0)</f>
        <v>17701</v>
      </c>
      <c r="D72" s="601" t="s">
        <v>124</v>
      </c>
      <c r="E72" s="1837"/>
      <c r="F72" s="1838"/>
      <c r="G72" s="1838"/>
      <c r="H72" s="2424"/>
      <c r="I72" s="2487"/>
      <c r="J72" s="2485"/>
      <c r="K72" s="2485"/>
      <c r="L72" s="2485"/>
      <c r="M72" s="2485"/>
      <c r="N72" s="2486"/>
      <c r="O72" s="2486"/>
      <c r="P72" s="2486"/>
      <c r="Q72" s="2486"/>
      <c r="R72" s="2486"/>
      <c r="S72" s="2486"/>
      <c r="T72" s="2486"/>
      <c r="U72" s="2486"/>
      <c r="V72" s="2486"/>
      <c r="W72" s="2486"/>
      <c r="X72" s="2486"/>
      <c r="Y72" s="2486"/>
      <c r="Z72" s="2486"/>
      <c r="AA72" s="2492"/>
      <c r="AB72" s="2492"/>
      <c r="AC72" s="2492"/>
      <c r="AD72" s="2492"/>
      <c r="AE72" s="2492"/>
      <c r="AF72" s="2492"/>
      <c r="AG72" s="2492"/>
      <c r="AH72" s="2492"/>
      <c r="AI72" s="2492"/>
    </row>
    <row r="73" spans="1:35" s="2230" customFormat="1" ht="13.8">
      <c r="A73" s="2364" t="s">
        <v>830</v>
      </c>
      <c r="B73" s="2333" t="s">
        <v>844</v>
      </c>
      <c r="C73" s="2411">
        <f ca="1">C74+C78</f>
        <v>970</v>
      </c>
      <c r="D73" s="601" t="s">
        <v>124</v>
      </c>
      <c r="E73" s="1837"/>
      <c r="F73" s="1838"/>
      <c r="G73" s="1838"/>
      <c r="H73" s="2424"/>
      <c r="I73" s="2487"/>
      <c r="J73" s="2486"/>
      <c r="K73" s="2486"/>
      <c r="L73" s="2486"/>
      <c r="M73" s="2486"/>
      <c r="N73" s="2486"/>
      <c r="O73" s="2486"/>
      <c r="P73" s="2486"/>
      <c r="Q73" s="2486"/>
      <c r="R73" s="2486"/>
      <c r="S73" s="2486"/>
      <c r="T73" s="2486"/>
      <c r="U73" s="2486"/>
      <c r="V73" s="2486"/>
      <c r="W73" s="2486"/>
      <c r="X73" s="2486"/>
      <c r="Y73" s="2486"/>
      <c r="Z73" s="2486"/>
      <c r="AA73" s="2492"/>
      <c r="AB73" s="2492"/>
      <c r="AC73" s="2492"/>
      <c r="AD73" s="2492"/>
      <c r="AE73" s="2492"/>
      <c r="AF73" s="2492"/>
      <c r="AG73" s="2492"/>
      <c r="AH73" s="2492"/>
      <c r="AI73" s="2492"/>
    </row>
    <row r="74" spans="1:35" s="2230" customFormat="1" ht="24">
      <c r="A74" s="2368" t="s">
        <v>823</v>
      </c>
      <c r="B74" s="601" t="s">
        <v>845</v>
      </c>
      <c r="C74" s="601">
        <f>ROUND(IF(G77="2016年5月1日后购买",C75/(1+'数据-取费表'!C42)+C76+C77,C75+C76+C77),0)</f>
        <v>864</v>
      </c>
      <c r="D74" s="601" t="s">
        <v>124</v>
      </c>
      <c r="E74" s="1837"/>
      <c r="F74" s="1838"/>
      <c r="G74" s="1838"/>
      <c r="H74" s="2424"/>
      <c r="I74" s="2487"/>
      <c r="J74" s="2486"/>
      <c r="K74" s="2486"/>
      <c r="L74" s="2486"/>
      <c r="M74" s="2486"/>
      <c r="N74" s="2486"/>
      <c r="O74" s="2486"/>
      <c r="P74" s="2486"/>
      <c r="Q74" s="2486"/>
      <c r="R74" s="2486"/>
      <c r="S74" s="2486"/>
      <c r="T74" s="2486"/>
      <c r="U74" s="2486"/>
      <c r="V74" s="2486"/>
      <c r="W74" s="2486"/>
      <c r="X74" s="2486"/>
      <c r="Y74" s="2486"/>
      <c r="Z74" s="2486"/>
      <c r="AA74" s="2492"/>
      <c r="AB74" s="2492"/>
      <c r="AC74" s="2492"/>
      <c r="AD74" s="2492"/>
      <c r="AE74" s="2492"/>
      <c r="AF74" s="2492"/>
      <c r="AG74" s="2492"/>
      <c r="AH74" s="2492"/>
      <c r="AI74" s="2492"/>
    </row>
    <row r="75" spans="1:35" s="2230" customFormat="1" ht="28.8">
      <c r="A75" s="2368" t="s">
        <v>846</v>
      </c>
      <c r="B75" s="601" t="s">
        <v>847</v>
      </c>
      <c r="C75" s="2425">
        <v>838</v>
      </c>
      <c r="D75" s="601" t="s">
        <v>124</v>
      </c>
      <c r="E75" s="2426" t="s">
        <v>848</v>
      </c>
      <c r="F75" s="2427"/>
      <c r="G75" s="2426" t="s">
        <v>849</v>
      </c>
      <c r="H75" s="2428">
        <v>0</v>
      </c>
      <c r="I75" s="839"/>
      <c r="J75" s="2486"/>
      <c r="K75" s="2486"/>
      <c r="L75" s="2486"/>
      <c r="M75" s="2486"/>
      <c r="N75" s="2486"/>
      <c r="O75" s="2486"/>
      <c r="P75" s="2486"/>
      <c r="Q75" s="2486"/>
      <c r="R75" s="2486"/>
      <c r="S75" s="2486"/>
      <c r="T75" s="2486"/>
      <c r="U75" s="2486"/>
      <c r="V75" s="2486"/>
      <c r="W75" s="2486"/>
      <c r="X75" s="2486"/>
      <c r="Y75" s="2486"/>
      <c r="Z75" s="2486"/>
      <c r="AA75" s="2492"/>
      <c r="AB75" s="2492"/>
      <c r="AC75" s="2492"/>
      <c r="AD75" s="2492"/>
      <c r="AE75" s="2492"/>
      <c r="AF75" s="2492"/>
      <c r="AG75" s="2492"/>
      <c r="AH75" s="2492"/>
      <c r="AI75" s="2492"/>
    </row>
    <row r="76" spans="1:35" s="2230" customFormat="1" ht="24.75" customHeight="1">
      <c r="A76" s="2368" t="s">
        <v>850</v>
      </c>
      <c r="B76" s="2429" t="s">
        <v>851</v>
      </c>
      <c r="C76" s="601">
        <f>IF(F75="购房发票",ROUND(C75*H75*D76,0),0)</f>
        <v>0</v>
      </c>
      <c r="D76" s="2430">
        <v>0.05</v>
      </c>
      <c r="E76" s="3393" t="s">
        <v>852</v>
      </c>
      <c r="F76" s="3394"/>
      <c r="G76" s="3394"/>
      <c r="H76" s="3395"/>
      <c r="I76" s="2487"/>
      <c r="J76" s="2486"/>
      <c r="K76" s="2486"/>
      <c r="L76" s="2486"/>
      <c r="M76" s="2486"/>
      <c r="N76" s="2486"/>
      <c r="O76" s="2486"/>
      <c r="P76" s="2486"/>
      <c r="Q76" s="2486"/>
      <c r="R76" s="2486"/>
      <c r="S76" s="2486"/>
      <c r="T76" s="2486"/>
      <c r="U76" s="2486"/>
      <c r="V76" s="2486"/>
      <c r="W76" s="2486"/>
      <c r="X76" s="2486"/>
      <c r="Y76" s="2486"/>
      <c r="Z76" s="2486"/>
      <c r="AA76" s="2492"/>
      <c r="AB76" s="2492"/>
      <c r="AC76" s="2492"/>
      <c r="AD76" s="2492"/>
      <c r="AE76" s="2492"/>
      <c r="AF76" s="2492"/>
      <c r="AG76" s="2492"/>
      <c r="AH76" s="2492"/>
      <c r="AI76" s="2492"/>
    </row>
    <row r="77" spans="1:35" s="2230" customFormat="1" ht="24.75" customHeight="1">
      <c r="A77" s="2368" t="s">
        <v>853</v>
      </c>
      <c r="B77" s="601" t="s">
        <v>854</v>
      </c>
      <c r="C77" s="601">
        <f>ROUND(IF(G77="个人住宅",0,IF(G77="2016年5月1日前购买",C75*D77,C75*D77/(1+'数据-取费表'!C42))),0)</f>
        <v>26</v>
      </c>
      <c r="D77" s="2432">
        <f>'数据-取费表'!B48+'数据-取费表'!B49</f>
        <v>3.0499999999999999E-2</v>
      </c>
      <c r="E77" s="1959" t="s">
        <v>855</v>
      </c>
      <c r="F77" s="2433"/>
      <c r="G77" s="2434" t="s">
        <v>856</v>
      </c>
      <c r="H77" s="2431" t="str">
        <f>IF(G77="个人买卖住房","免征印花税"," ")</f>
        <v/>
      </c>
      <c r="I77" s="2487"/>
      <c r="J77" s="2486"/>
      <c r="K77" s="2486"/>
      <c r="L77" s="2486"/>
      <c r="M77" s="2486"/>
      <c r="N77" s="2486"/>
      <c r="O77" s="2486"/>
      <c r="P77" s="2486"/>
      <c r="Q77" s="2486"/>
      <c r="R77" s="2486"/>
      <c r="S77" s="2486"/>
      <c r="T77" s="2486"/>
      <c r="U77" s="2486"/>
      <c r="V77" s="2486"/>
      <c r="W77" s="2486"/>
      <c r="X77" s="2486"/>
      <c r="Y77" s="2486"/>
      <c r="Z77" s="2486"/>
      <c r="AA77" s="2492"/>
      <c r="AB77" s="2492"/>
      <c r="AC77" s="2492"/>
      <c r="AD77" s="2492"/>
      <c r="AE77" s="2492"/>
      <c r="AF77" s="2492"/>
      <c r="AG77" s="2492"/>
      <c r="AH77" s="2492"/>
      <c r="AI77" s="2492"/>
    </row>
    <row r="78" spans="1:35" s="2230" customFormat="1" ht="24.75" customHeight="1">
      <c r="A78" s="2368" t="s">
        <v>827</v>
      </c>
      <c r="B78" s="601" t="s">
        <v>857</v>
      </c>
      <c r="C78" s="2435">
        <f ca="1">ROUND(D45*D78/(1+'数据-取费表'!C42),0)</f>
        <v>106</v>
      </c>
      <c r="D78" s="2436">
        <f>'数据-取费表'!B43</f>
        <v>6.0000000000000001E-3</v>
      </c>
      <c r="E78" s="3371" t="s">
        <v>858</v>
      </c>
      <c r="F78" s="3372"/>
      <c r="G78" s="3372"/>
      <c r="H78" s="3373"/>
      <c r="I78" s="2488"/>
      <c r="J78" s="2486"/>
      <c r="K78" s="2486"/>
      <c r="L78" s="2486"/>
      <c r="M78" s="2486"/>
      <c r="N78" s="2486"/>
      <c r="O78" s="2486"/>
      <c r="P78" s="2486"/>
      <c r="Q78" s="2486"/>
      <c r="R78" s="2486"/>
      <c r="S78" s="2486"/>
      <c r="T78" s="2486"/>
      <c r="U78" s="2486"/>
      <c r="V78" s="2486"/>
      <c r="W78" s="2486"/>
      <c r="X78" s="2486"/>
      <c r="Y78" s="2486"/>
      <c r="Z78" s="2486"/>
      <c r="AA78" s="2492"/>
      <c r="AB78" s="2492"/>
      <c r="AC78" s="2492"/>
      <c r="AD78" s="2492"/>
      <c r="AE78" s="2492"/>
      <c r="AF78" s="2492"/>
      <c r="AG78" s="2492"/>
      <c r="AH78" s="2492"/>
      <c r="AI78" s="2492"/>
    </row>
    <row r="79" spans="1:35" s="2230" customFormat="1" ht="13.8">
      <c r="A79" s="2364" t="s">
        <v>835</v>
      </c>
      <c r="B79" s="2408" t="s">
        <v>859</v>
      </c>
      <c r="C79" s="2411">
        <f ca="1">C72-C73</f>
        <v>16731</v>
      </c>
      <c r="D79" s="601" t="s">
        <v>124</v>
      </c>
      <c r="E79" s="1837"/>
      <c r="F79" s="1838"/>
      <c r="G79" s="1838"/>
      <c r="H79" s="2424"/>
      <c r="I79" s="2487"/>
      <c r="J79" s="2486"/>
      <c r="K79" s="2486"/>
      <c r="L79" s="2486"/>
      <c r="M79" s="2486"/>
      <c r="N79" s="2486"/>
      <c r="O79" s="2486"/>
      <c r="P79" s="2486"/>
      <c r="Q79" s="2486"/>
      <c r="R79" s="2486"/>
      <c r="S79" s="2486"/>
      <c r="T79" s="2486"/>
      <c r="U79" s="2486"/>
      <c r="V79" s="2486"/>
      <c r="W79" s="2486"/>
      <c r="X79" s="2486"/>
      <c r="Y79" s="2486"/>
      <c r="Z79" s="2486"/>
      <c r="AA79" s="2492"/>
      <c r="AB79" s="2492"/>
      <c r="AC79" s="2492"/>
      <c r="AD79" s="2492"/>
      <c r="AE79" s="2492"/>
      <c r="AF79" s="2492"/>
      <c r="AG79" s="2492"/>
      <c r="AH79" s="2492"/>
      <c r="AI79" s="2492"/>
    </row>
    <row r="80" spans="1:35" s="2230" customFormat="1" ht="24">
      <c r="A80" s="2364" t="s">
        <v>838</v>
      </c>
      <c r="B80" s="2408" t="s">
        <v>860</v>
      </c>
      <c r="C80" s="2440">
        <f ca="1">IF(C79&lt;=0,0,C79/C73)</f>
        <v>17.248453608247424</v>
      </c>
      <c r="D80" s="601" t="s">
        <v>124</v>
      </c>
      <c r="E80" s="1959" t="str">
        <f ca="1">IF(C80&gt;=200%,"增值额超过扣除项目金额200%",IF(C80&gt;=100%,"增值额超过扣除项目金额100%，未超过200%",IF(C80&gt;=50%,"增值额超过扣除项目金额50%，未超过100%",IF(C80&lt;50%,"增值额未超过扣除项目金额50%"))))</f>
        <v>增值额超过扣除项目金额200%</v>
      </c>
      <c r="F80" s="1838"/>
      <c r="G80" s="1838"/>
      <c r="H80" s="2424"/>
      <c r="I80" s="2487"/>
      <c r="J80" s="2486"/>
      <c r="K80" s="2486"/>
      <c r="L80" s="2486"/>
      <c r="M80" s="2486"/>
      <c r="N80" s="2486"/>
      <c r="O80" s="2486"/>
      <c r="P80" s="2486"/>
      <c r="Q80" s="2486"/>
      <c r="R80" s="2486"/>
      <c r="S80" s="2486"/>
      <c r="T80" s="2486"/>
      <c r="U80" s="2486"/>
      <c r="V80" s="2486"/>
      <c r="W80" s="2486"/>
      <c r="X80" s="2486"/>
      <c r="Y80" s="2486"/>
      <c r="Z80" s="2486"/>
      <c r="AA80" s="2492"/>
      <c r="AB80" s="2492"/>
      <c r="AC80" s="2492"/>
      <c r="AD80" s="2492"/>
      <c r="AE80" s="2492"/>
      <c r="AF80" s="2492"/>
      <c r="AG80" s="2492"/>
      <c r="AH80" s="2492"/>
      <c r="AI80" s="2492"/>
    </row>
    <row r="81" spans="1:35" s="2230" customFormat="1" ht="24">
      <c r="A81" s="2412" t="s">
        <v>861</v>
      </c>
      <c r="B81" s="2413" t="s">
        <v>862</v>
      </c>
      <c r="C81" s="2441">
        <f ca="1">ROUND(IF(C79&lt;=0,0,IF(C80&gt;=200%,C79*60%-C73*35%,IF(C80&gt;=100%,C79*50%-C73*15%,IF(C80&gt;=50%,C79*40%-C73*5%,IF(C80&lt;50%,C79*30%,0))))),0)</f>
        <v>9699</v>
      </c>
      <c r="D81" s="2442" t="s">
        <v>124</v>
      </c>
      <c r="E81" s="2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4"/>
      <c r="G81" s="2444"/>
      <c r="H81" s="2445"/>
      <c r="I81" s="2487"/>
      <c r="J81" s="2486"/>
      <c r="K81" s="2486"/>
      <c r="L81" s="2486"/>
      <c r="M81" s="2486"/>
      <c r="N81" s="2486"/>
      <c r="O81" s="2486"/>
      <c r="P81" s="2486"/>
      <c r="Q81" s="2486"/>
      <c r="R81" s="2486"/>
      <c r="S81" s="2486"/>
      <c r="T81" s="2486"/>
      <c r="U81" s="2486"/>
      <c r="V81" s="2486"/>
      <c r="W81" s="2486"/>
      <c r="X81" s="2486"/>
      <c r="Y81" s="2486"/>
      <c r="Z81" s="2486"/>
      <c r="AA81" s="2492"/>
      <c r="AB81" s="2492"/>
      <c r="AC81" s="2492"/>
      <c r="AD81" s="2492"/>
      <c r="AE81" s="2492"/>
      <c r="AF81" s="2492"/>
      <c r="AG81" s="2492"/>
      <c r="AH81" s="2492"/>
      <c r="AI81" s="2492"/>
    </row>
    <row r="82" spans="1:35" s="2230" customFormat="1" ht="7.5" customHeight="1">
      <c r="A82" s="2446"/>
      <c r="B82" s="2447"/>
      <c r="C82" s="736"/>
      <c r="D82" s="736"/>
      <c r="E82" s="2447"/>
      <c r="F82" s="2447"/>
      <c r="G82" s="2447"/>
      <c r="H82" s="2448"/>
      <c r="I82" s="2488"/>
      <c r="J82" s="2486"/>
      <c r="K82" s="2486"/>
      <c r="L82" s="2486"/>
      <c r="M82" s="2486"/>
      <c r="N82" s="2486"/>
      <c r="O82" s="2486"/>
      <c r="P82" s="2486"/>
      <c r="Q82" s="2486"/>
      <c r="R82" s="2486"/>
      <c r="S82" s="2486"/>
      <c r="T82" s="2486"/>
      <c r="U82" s="2486"/>
      <c r="V82" s="2486"/>
      <c r="W82" s="2486"/>
      <c r="X82" s="2486"/>
      <c r="Y82" s="2486"/>
      <c r="Z82" s="2486"/>
      <c r="AA82" s="2492"/>
      <c r="AB82" s="2492"/>
      <c r="AC82" s="2492"/>
      <c r="AD82" s="2492"/>
      <c r="AE82" s="2492"/>
      <c r="AF82" s="2492"/>
      <c r="AG82" s="2492"/>
      <c r="AH82" s="2492"/>
      <c r="AI82" s="2492"/>
    </row>
    <row r="83" spans="1:35" s="2230" customFormat="1" ht="13.8">
      <c r="A83" s="3389" t="s">
        <v>863</v>
      </c>
      <c r="B83" s="3390"/>
      <c r="C83" s="3390"/>
      <c r="D83" s="3390"/>
      <c r="E83" s="3390"/>
      <c r="F83" s="3390"/>
      <c r="G83" s="3390"/>
      <c r="H83" s="3390"/>
      <c r="I83" s="839"/>
      <c r="J83" s="2486"/>
      <c r="K83" s="2486"/>
      <c r="L83" s="2486"/>
      <c r="M83" s="2486"/>
      <c r="N83" s="2486"/>
      <c r="O83" s="2486"/>
      <c r="P83" s="2486"/>
      <c r="Q83" s="2486"/>
      <c r="R83" s="2486"/>
      <c r="S83" s="2486"/>
      <c r="T83" s="2486"/>
      <c r="U83" s="2486"/>
      <c r="V83" s="2486"/>
      <c r="W83" s="2486"/>
      <c r="X83" s="2486"/>
      <c r="Y83" s="2486"/>
      <c r="Z83" s="2486"/>
      <c r="AA83" s="2492"/>
      <c r="AB83" s="2492"/>
      <c r="AC83" s="2492"/>
      <c r="AD83" s="2492"/>
      <c r="AE83" s="2492"/>
      <c r="AF83" s="2492"/>
      <c r="AG83" s="2492"/>
      <c r="AH83" s="2492"/>
      <c r="AI83" s="2492"/>
    </row>
    <row r="84" spans="1:35" s="2230" customFormat="1" ht="13.8">
      <c r="A84" s="3391" t="s">
        <v>817</v>
      </c>
      <c r="B84" s="3392"/>
      <c r="C84" s="614"/>
      <c r="D84" s="614" t="s">
        <v>818</v>
      </c>
      <c r="E84" s="2421" t="s">
        <v>772</v>
      </c>
      <c r="F84" s="2422"/>
      <c r="G84" s="2422"/>
      <c r="H84" s="2449"/>
      <c r="I84" s="839"/>
      <c r="J84" s="2486"/>
      <c r="K84" s="2486"/>
      <c r="L84" s="2486"/>
      <c r="M84" s="2486"/>
      <c r="N84" s="2486"/>
      <c r="O84" s="2486"/>
      <c r="P84" s="2486"/>
      <c r="Q84" s="2486"/>
      <c r="R84" s="2486"/>
      <c r="S84" s="2486"/>
      <c r="T84" s="2486"/>
      <c r="U84" s="2486"/>
      <c r="V84" s="2486"/>
      <c r="W84" s="2486"/>
      <c r="X84" s="2486"/>
      <c r="Y84" s="2486"/>
      <c r="Z84" s="2486"/>
      <c r="AA84" s="2492"/>
      <c r="AB84" s="2492"/>
      <c r="AC84" s="2492"/>
      <c r="AD84" s="2492"/>
      <c r="AE84" s="2492"/>
      <c r="AF84" s="2492"/>
      <c r="AG84" s="2492"/>
      <c r="AH84" s="2492"/>
      <c r="AI84" s="2492"/>
    </row>
    <row r="85" spans="1:35" s="2230" customFormat="1" ht="13.8">
      <c r="A85" s="2364" t="s">
        <v>819</v>
      </c>
      <c r="B85" s="2408" t="s">
        <v>843</v>
      </c>
      <c r="C85" s="2411">
        <f ca="1">ROUND(D45/(1+'数据-取费表'!C42),0)</f>
        <v>17701</v>
      </c>
      <c r="D85" s="601" t="s">
        <v>124</v>
      </c>
      <c r="E85" s="1837"/>
      <c r="F85" s="1838"/>
      <c r="G85" s="1838"/>
      <c r="H85" s="2450"/>
      <c r="I85" s="839"/>
      <c r="J85" s="2486"/>
      <c r="K85" s="2486"/>
      <c r="L85" s="2486"/>
      <c r="M85" s="2486"/>
      <c r="N85" s="2486"/>
      <c r="O85" s="2486"/>
      <c r="P85" s="2486"/>
      <c r="Q85" s="2486"/>
      <c r="R85" s="2486"/>
      <c r="S85" s="2486"/>
      <c r="T85" s="2486"/>
      <c r="U85" s="2486"/>
      <c r="V85" s="2486"/>
      <c r="W85" s="2486"/>
      <c r="X85" s="2486"/>
      <c r="Y85" s="2486"/>
      <c r="Z85" s="2486"/>
      <c r="AA85" s="2492"/>
      <c r="AB85" s="2492"/>
      <c r="AC85" s="2492"/>
      <c r="AD85" s="2492"/>
      <c r="AE85" s="2492"/>
      <c r="AF85" s="2492"/>
      <c r="AG85" s="2492"/>
      <c r="AH85" s="2492"/>
      <c r="AI85" s="2492"/>
    </row>
    <row r="86" spans="1:35" s="2230" customFormat="1" ht="13.8">
      <c r="A86" s="2364" t="s">
        <v>830</v>
      </c>
      <c r="B86" s="2333" t="s">
        <v>844</v>
      </c>
      <c r="C86" s="2411">
        <f ca="1">IF(H88="仅含出让金",C87+C90+C91+C92+C93+C94,C87+C91+C92+C93+C94)</f>
        <v>106</v>
      </c>
      <c r="D86" s="2451"/>
      <c r="E86" s="1837"/>
      <c r="F86" s="1838"/>
      <c r="G86" s="1838"/>
      <c r="H86" s="2450"/>
      <c r="I86" s="839"/>
      <c r="J86" s="2486"/>
      <c r="K86" s="2486"/>
      <c r="L86" s="2486"/>
      <c r="M86" s="2486"/>
      <c r="N86" s="2486"/>
      <c r="O86" s="2486"/>
      <c r="P86" s="2486"/>
      <c r="Q86" s="2486"/>
      <c r="R86" s="2486"/>
      <c r="S86" s="2486"/>
      <c r="T86" s="2486"/>
      <c r="U86" s="2486"/>
      <c r="V86" s="2486"/>
      <c r="W86" s="2486"/>
      <c r="X86" s="2486"/>
      <c r="Y86" s="2486"/>
      <c r="Z86" s="2486"/>
      <c r="AA86" s="2492"/>
      <c r="AB86" s="2492"/>
      <c r="AC86" s="2492"/>
      <c r="AD86" s="2492"/>
      <c r="AE86" s="2492"/>
      <c r="AF86" s="2492"/>
      <c r="AG86" s="2492"/>
      <c r="AH86" s="2492"/>
      <c r="AI86" s="2492"/>
    </row>
    <row r="87" spans="1:35" s="2230" customFormat="1" ht="13.8">
      <c r="A87" s="2368" t="s">
        <v>823</v>
      </c>
      <c r="B87" s="601" t="s">
        <v>864</v>
      </c>
      <c r="C87" s="2435">
        <f>C88+C89</f>
        <v>0</v>
      </c>
      <c r="D87" s="2436"/>
      <c r="E87" s="2437"/>
      <c r="F87" s="2438"/>
      <c r="G87" s="2438"/>
      <c r="H87" s="2439"/>
      <c r="I87" s="839"/>
      <c r="J87" s="2486"/>
      <c r="K87" s="2486"/>
      <c r="L87" s="2486"/>
      <c r="M87" s="2486"/>
      <c r="N87" s="2486"/>
      <c r="O87" s="2486"/>
      <c r="P87" s="2486"/>
      <c r="Q87" s="2486"/>
      <c r="R87" s="2486"/>
      <c r="S87" s="2486"/>
      <c r="T87" s="2486"/>
      <c r="U87" s="2486"/>
      <c r="V87" s="2486"/>
      <c r="W87" s="2486"/>
      <c r="X87" s="2486"/>
      <c r="Y87" s="2486"/>
      <c r="Z87" s="2486"/>
      <c r="AA87" s="2492"/>
      <c r="AB87" s="2492"/>
      <c r="AC87" s="2492"/>
      <c r="AD87" s="2492"/>
      <c r="AE87" s="2492"/>
      <c r="AF87" s="2492"/>
      <c r="AG87" s="2492"/>
      <c r="AH87" s="2492"/>
      <c r="AI87" s="2492"/>
    </row>
    <row r="88" spans="1:35" s="2230" customFormat="1" ht="14.4">
      <c r="A88" s="2368" t="s">
        <v>846</v>
      </c>
      <c r="B88" s="601" t="s">
        <v>865</v>
      </c>
      <c r="C88" s="2452"/>
      <c r="D88" s="2436"/>
      <c r="E88" s="2453" t="s">
        <v>866</v>
      </c>
      <c r="F88" s="2438"/>
      <c r="G88" s="2454" t="s">
        <v>867</v>
      </c>
      <c r="H88" s="2455"/>
      <c r="I88" s="839"/>
      <c r="J88" s="2489" t="s">
        <v>868</v>
      </c>
      <c r="K88" s="2486"/>
      <c r="L88" s="2486"/>
      <c r="M88" s="2486"/>
      <c r="N88" s="2486"/>
      <c r="O88" s="2486"/>
      <c r="P88" s="2486"/>
      <c r="Q88" s="2486"/>
      <c r="R88" s="2486"/>
      <c r="S88" s="2486"/>
      <c r="T88" s="2486"/>
      <c r="U88" s="2486"/>
      <c r="V88" s="2486"/>
      <c r="W88" s="2486"/>
      <c r="X88" s="2486"/>
      <c r="Y88" s="2486"/>
      <c r="Z88" s="2486"/>
      <c r="AA88" s="2492"/>
      <c r="AB88" s="2492"/>
      <c r="AC88" s="2492"/>
      <c r="AD88" s="2492"/>
      <c r="AE88" s="2492"/>
      <c r="AF88" s="2492"/>
      <c r="AG88" s="2492"/>
      <c r="AH88" s="2492"/>
      <c r="AI88" s="2492"/>
    </row>
    <row r="89" spans="1:35" s="2230" customFormat="1" ht="13.8">
      <c r="A89" s="2368" t="s">
        <v>850</v>
      </c>
      <c r="B89" s="601" t="s">
        <v>854</v>
      </c>
      <c r="C89" s="2435">
        <f>ROUND(C88*D89,0)</f>
        <v>0</v>
      </c>
      <c r="D89" s="2436">
        <f>'数据-取费表'!B48+'数据-取费表'!B49</f>
        <v>3.0499999999999999E-2</v>
      </c>
      <c r="E89" s="2453" t="s">
        <v>869</v>
      </c>
      <c r="F89" s="2438"/>
      <c r="G89" s="2438"/>
      <c r="H89" s="2439"/>
      <c r="I89" s="839"/>
      <c r="J89" s="2486"/>
      <c r="K89" s="2486"/>
      <c r="L89" s="2486"/>
      <c r="M89" s="2486"/>
      <c r="N89" s="2486"/>
      <c r="O89" s="2486"/>
      <c r="P89" s="2486"/>
      <c r="Q89" s="2486"/>
      <c r="R89" s="2486"/>
      <c r="S89" s="2486"/>
      <c r="T89" s="2486"/>
      <c r="U89" s="2486"/>
      <c r="V89" s="2486"/>
      <c r="W89" s="2486"/>
      <c r="X89" s="2486"/>
      <c r="Y89" s="2486"/>
      <c r="Z89" s="2486"/>
      <c r="AA89" s="2492"/>
      <c r="AB89" s="2492"/>
      <c r="AC89" s="2492"/>
      <c r="AD89" s="2492"/>
      <c r="AE89" s="2492"/>
      <c r="AF89" s="2492"/>
      <c r="AG89" s="2492"/>
      <c r="AH89" s="2492"/>
      <c r="AI89" s="2492"/>
    </row>
    <row r="90" spans="1:35" s="2230" customFormat="1" ht="14.4">
      <c r="A90" s="2368" t="s">
        <v>827</v>
      </c>
      <c r="B90" s="601" t="s">
        <v>870</v>
      </c>
      <c r="C90" s="2452"/>
      <c r="D90" s="2436"/>
      <c r="E90" s="2453" t="str">
        <f>IF(H88="-","土地取得成本中已包含该笔费用"," ")</f>
        <v/>
      </c>
      <c r="F90" s="2438"/>
      <c r="G90" s="3409" t="s">
        <v>871</v>
      </c>
      <c r="H90" s="3410"/>
      <c r="I90" s="839"/>
      <c r="J90" s="2489" t="s">
        <v>872</v>
      </c>
      <c r="K90" s="2486"/>
      <c r="L90" s="2486"/>
      <c r="M90" s="2486"/>
      <c r="N90" s="2486"/>
      <c r="O90" s="2486"/>
      <c r="P90" s="2486"/>
      <c r="Q90" s="2486"/>
      <c r="R90" s="2486"/>
      <c r="S90" s="2486"/>
      <c r="T90" s="2486"/>
      <c r="U90" s="2486"/>
      <c r="V90" s="2486"/>
      <c r="W90" s="2486"/>
      <c r="X90" s="2486"/>
      <c r="Y90" s="2486"/>
      <c r="Z90" s="2486"/>
      <c r="AA90" s="2492"/>
      <c r="AB90" s="2492"/>
      <c r="AC90" s="2492"/>
      <c r="AD90" s="2492"/>
      <c r="AE90" s="2492"/>
      <c r="AF90" s="2492"/>
      <c r="AG90" s="2492"/>
      <c r="AH90" s="2492"/>
      <c r="AI90" s="2492"/>
    </row>
    <row r="91" spans="1:35" s="2230" customFormat="1" ht="27.75" customHeight="1">
      <c r="A91" s="2368" t="s">
        <v>873</v>
      </c>
      <c r="B91" s="601" t="s">
        <v>874</v>
      </c>
      <c r="C91" s="2435">
        <f>IF(H91="——",成本法!C33,I91)</f>
        <v>0</v>
      </c>
      <c r="D91" s="2436"/>
      <c r="E91" s="3371" t="s">
        <v>875</v>
      </c>
      <c r="F91" s="3372"/>
      <c r="G91" s="3372"/>
      <c r="H91" s="2456"/>
      <c r="I91" s="2490"/>
      <c r="J91" s="2486"/>
      <c r="K91" s="2486"/>
      <c r="L91" s="2486"/>
      <c r="M91" s="2486"/>
      <c r="N91" s="2486"/>
      <c r="O91" s="2486"/>
      <c r="P91" s="2486"/>
      <c r="Q91" s="2486"/>
      <c r="R91" s="2486"/>
      <c r="S91" s="2486"/>
      <c r="T91" s="2486"/>
      <c r="U91" s="2486"/>
      <c r="V91" s="2486"/>
      <c r="W91" s="2486"/>
      <c r="X91" s="2486"/>
      <c r="Y91" s="2486"/>
      <c r="Z91" s="2486"/>
      <c r="AA91" s="2492"/>
      <c r="AB91" s="2492"/>
      <c r="AC91" s="2492"/>
      <c r="AD91" s="2492"/>
      <c r="AE91" s="2492"/>
      <c r="AF91" s="2492"/>
      <c r="AG91" s="2492"/>
      <c r="AH91" s="2492"/>
      <c r="AI91" s="2492"/>
    </row>
    <row r="92" spans="1:35" s="2230" customFormat="1" ht="25.5" customHeight="1">
      <c r="A92" s="2368" t="s">
        <v>876</v>
      </c>
      <c r="B92" s="601" t="s">
        <v>877</v>
      </c>
      <c r="C92" s="2435">
        <f>ROUND((C87+C90+C91)*D92,0)</f>
        <v>0</v>
      </c>
      <c r="D92" s="2457"/>
      <c r="E92" s="3371" t="s">
        <v>878</v>
      </c>
      <c r="F92" s="3372"/>
      <c r="G92" s="3372"/>
      <c r="H92" s="3373"/>
      <c r="I92" s="839"/>
      <c r="J92" s="2491" t="s">
        <v>879</v>
      </c>
      <c r="K92" s="2486"/>
      <c r="L92" s="2486"/>
      <c r="M92" s="2486"/>
      <c r="N92" s="2486"/>
      <c r="O92" s="2486"/>
      <c r="P92" s="2486"/>
      <c r="Q92" s="2486"/>
      <c r="R92" s="2486"/>
      <c r="S92" s="2486"/>
      <c r="T92" s="2486"/>
      <c r="U92" s="2486"/>
      <c r="V92" s="2486"/>
      <c r="W92" s="2486"/>
      <c r="X92" s="2486"/>
      <c r="Y92" s="2486"/>
      <c r="Z92" s="2486"/>
      <c r="AA92" s="2492"/>
      <c r="AB92" s="2492"/>
      <c r="AC92" s="2492"/>
      <c r="AD92" s="2492"/>
      <c r="AE92" s="2492"/>
      <c r="AF92" s="2492"/>
      <c r="AG92" s="2492"/>
      <c r="AH92" s="2492"/>
      <c r="AI92" s="2492"/>
    </row>
    <row r="93" spans="1:35" s="2230" customFormat="1" ht="25.5" customHeight="1">
      <c r="A93" s="2368" t="s">
        <v>880</v>
      </c>
      <c r="B93" s="601" t="s">
        <v>857</v>
      </c>
      <c r="C93" s="2435">
        <f ca="1">ROUND(D45*D93/(1+'数据-取费表'!C42),0)</f>
        <v>106</v>
      </c>
      <c r="D93" s="2436">
        <f>'数据-取费表'!B43</f>
        <v>6.0000000000000001E-3</v>
      </c>
      <c r="E93" s="3371" t="s">
        <v>858</v>
      </c>
      <c r="F93" s="3372"/>
      <c r="G93" s="3372"/>
      <c r="H93" s="3373"/>
      <c r="I93" s="839"/>
      <c r="J93" s="2486"/>
      <c r="K93" s="2486">
        <v>2000</v>
      </c>
      <c r="L93" s="2486">
        <f ca="1">G19</f>
        <v>18586</v>
      </c>
      <c r="M93" s="2486">
        <v>25666</v>
      </c>
      <c r="N93" s="2486"/>
      <c r="O93" s="2486"/>
      <c r="P93" s="2486"/>
      <c r="Q93" s="2486"/>
      <c r="R93" s="2486"/>
      <c r="S93" s="2486"/>
      <c r="T93" s="2486"/>
      <c r="U93" s="2486"/>
      <c r="V93" s="2486"/>
      <c r="W93" s="2486"/>
      <c r="X93" s="2486"/>
      <c r="Y93" s="2486"/>
      <c r="Z93" s="2486"/>
      <c r="AA93" s="2492"/>
      <c r="AB93" s="2492"/>
      <c r="AC93" s="2492"/>
      <c r="AD93" s="2492"/>
      <c r="AE93" s="2492"/>
      <c r="AF93" s="2492"/>
      <c r="AG93" s="2492"/>
      <c r="AH93" s="2492"/>
      <c r="AI93" s="2492"/>
    </row>
    <row r="94" spans="1:35" s="2230" customFormat="1" ht="36.75" customHeight="1">
      <c r="A94" s="2368" t="s">
        <v>881</v>
      </c>
      <c r="B94" s="601" t="s">
        <v>882</v>
      </c>
      <c r="C94" s="2452">
        <f>ROUND((C87+C90+C91)*D94,0)</f>
        <v>0</v>
      </c>
      <c r="D94" s="2436">
        <v>0.2</v>
      </c>
      <c r="E94" s="3374" t="s">
        <v>883</v>
      </c>
      <c r="F94" s="3375"/>
      <c r="G94" s="3375"/>
      <c r="H94" s="3376"/>
      <c r="I94" s="839"/>
      <c r="J94" s="2486"/>
      <c r="K94" s="2486"/>
      <c r="L94" s="2486">
        <f ca="1">ROUND(L93/(L93+M93)*K93,0)</f>
        <v>840</v>
      </c>
      <c r="M94" s="2486">
        <f ca="1">K93-L94</f>
        <v>1160</v>
      </c>
      <c r="N94" s="2486"/>
      <c r="O94" s="2486"/>
      <c r="P94" s="2486"/>
      <c r="Q94" s="2486"/>
      <c r="R94" s="2486"/>
      <c r="S94" s="2486"/>
      <c r="T94" s="2486"/>
      <c r="U94" s="2486"/>
      <c r="V94" s="2486"/>
      <c r="W94" s="2486"/>
      <c r="X94" s="2486"/>
      <c r="Y94" s="2486"/>
      <c r="Z94" s="2486"/>
      <c r="AA94" s="2492"/>
      <c r="AB94" s="2492"/>
      <c r="AC94" s="2492"/>
      <c r="AD94" s="2492"/>
      <c r="AE94" s="2492"/>
      <c r="AF94" s="2492"/>
      <c r="AG94" s="2492"/>
      <c r="AH94" s="2492"/>
      <c r="AI94" s="2492"/>
    </row>
    <row r="95" spans="1:35" s="2230" customFormat="1" ht="14.4">
      <c r="A95" s="2364" t="s">
        <v>835</v>
      </c>
      <c r="B95" s="2408" t="s">
        <v>859</v>
      </c>
      <c r="C95" s="2411">
        <f ca="1">ROUND(C85-C86,0)</f>
        <v>17595</v>
      </c>
      <c r="D95" s="601" t="s">
        <v>124</v>
      </c>
      <c r="E95" s="1837"/>
      <c r="F95" s="1838"/>
      <c r="G95" s="1838"/>
      <c r="H95" s="2450"/>
      <c r="I95" s="839"/>
      <c r="J95" s="2486"/>
      <c r="K95" s="3258" t="s">
        <v>2732</v>
      </c>
      <c r="L95" s="2486">
        <f ca="1">N59-L96</f>
        <v>6744</v>
      </c>
      <c r="M95" s="2486"/>
      <c r="N95" s="2486"/>
      <c r="O95" s="2486"/>
      <c r="P95" s="2486"/>
      <c r="Q95" s="2486"/>
      <c r="R95" s="2486"/>
      <c r="S95" s="2486"/>
      <c r="T95" s="2486"/>
      <c r="U95" s="2486"/>
      <c r="V95" s="2486"/>
      <c r="W95" s="2486"/>
      <c r="X95" s="2486"/>
      <c r="Y95" s="2486"/>
      <c r="Z95" s="2486"/>
      <c r="AA95" s="2492"/>
      <c r="AB95" s="2492"/>
      <c r="AC95" s="2492"/>
      <c r="AD95" s="2492"/>
      <c r="AE95" s="2492"/>
      <c r="AF95" s="2492"/>
      <c r="AG95" s="2492"/>
      <c r="AH95" s="2492"/>
      <c r="AI95" s="2492"/>
    </row>
    <row r="96" spans="1:35" s="2230" customFormat="1" ht="24">
      <c r="A96" s="2364" t="s">
        <v>838</v>
      </c>
      <c r="B96" s="2408" t="s">
        <v>860</v>
      </c>
      <c r="C96" s="2440">
        <f ca="1">IF(C95&lt;=0,0,C95/C86)</f>
        <v>165.99056603773585</v>
      </c>
      <c r="D96" s="601"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0"/>
      <c r="I96" s="839"/>
      <c r="J96" s="2486"/>
      <c r="K96" s="3258" t="s">
        <v>2733</v>
      </c>
      <c r="L96" s="2486">
        <f ca="1">ROUND(N59*D35,0)</f>
        <v>1144</v>
      </c>
      <c r="M96" s="2486"/>
      <c r="N96" s="2486"/>
      <c r="O96" s="2486"/>
      <c r="P96" s="2486"/>
      <c r="Q96" s="2486"/>
      <c r="R96" s="2486"/>
      <c r="S96" s="2486"/>
      <c r="T96" s="2486"/>
      <c r="U96" s="2486"/>
      <c r="V96" s="2486"/>
      <c r="W96" s="2486"/>
      <c r="X96" s="2486"/>
      <c r="Y96" s="2486"/>
      <c r="Z96" s="2486"/>
      <c r="AA96" s="2492"/>
      <c r="AB96" s="2492"/>
      <c r="AC96" s="2492"/>
      <c r="AD96" s="2492"/>
      <c r="AE96" s="2492"/>
      <c r="AF96" s="2492"/>
      <c r="AG96" s="2492"/>
      <c r="AH96" s="2492"/>
      <c r="AI96" s="2492"/>
    </row>
    <row r="97" spans="1:35" s="2230" customFormat="1" ht="24">
      <c r="A97" s="2412" t="s">
        <v>861</v>
      </c>
      <c r="B97" s="2413" t="s">
        <v>862</v>
      </c>
      <c r="C97" s="2441">
        <f ca="1">ROUND(IF(C95&lt;=0,0,IF(C96&gt;=200%,C95*60%-C86*35%,IF(C96&gt;=100%,C95*50%-C86*15%,IF(C96&gt;=50%,C95*40%-C86*5%,IF(C96&lt;50%,C95*30%,0))))),0)</f>
        <v>10520</v>
      </c>
      <c r="D97" s="2442" t="s">
        <v>124</v>
      </c>
      <c r="E97" s="2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4"/>
      <c r="G97" s="2444"/>
      <c r="H97" s="2458"/>
      <c r="I97" s="839"/>
      <c r="J97" s="2486"/>
      <c r="K97" s="3258" t="s">
        <v>2734</v>
      </c>
      <c r="L97" s="2486">
        <f ca="1">N61-L98</f>
        <v>11512</v>
      </c>
      <c r="M97" s="2486"/>
      <c r="N97" s="2486"/>
      <c r="O97" s="2486"/>
      <c r="P97" s="2486"/>
      <c r="Q97" s="2486"/>
      <c r="R97" s="2486"/>
      <c r="S97" s="2486"/>
      <c r="T97" s="2486"/>
      <c r="U97" s="2486"/>
      <c r="V97" s="2486"/>
      <c r="W97" s="2486"/>
      <c r="X97" s="2486"/>
      <c r="Y97" s="2486"/>
      <c r="Z97" s="2486"/>
      <c r="AA97" s="2492"/>
      <c r="AB97" s="2492"/>
      <c r="AC97" s="2492"/>
      <c r="AD97" s="2492"/>
      <c r="AE97" s="2492"/>
      <c r="AF97" s="2492"/>
      <c r="AG97" s="2492"/>
      <c r="AH97" s="2492"/>
      <c r="AI97" s="2492"/>
    </row>
    <row r="98" spans="1:35" ht="21.75" customHeight="1">
      <c r="A98" s="2359"/>
      <c r="B98" s="2234"/>
      <c r="C98" s="2234"/>
      <c r="D98" s="2234"/>
      <c r="E98" s="2360"/>
      <c r="F98" s="2360"/>
      <c r="G98" s="2360"/>
      <c r="H98" s="2320"/>
      <c r="I98" s="282"/>
      <c r="K98" s="3259" t="s">
        <v>2735</v>
      </c>
      <c r="L98" s="239">
        <f ca="1">ROUND(L96*10000/B118,0)</f>
        <v>1953</v>
      </c>
    </row>
    <row r="99" spans="1:35" ht="21.75" customHeight="1">
      <c r="A99" s="2322" t="s">
        <v>884</v>
      </c>
      <c r="B99" s="2234"/>
      <c r="C99" s="2234"/>
      <c r="D99" s="2234"/>
      <c r="E99" s="2360"/>
      <c r="F99" s="2360"/>
      <c r="G99" s="2360"/>
      <c r="H99" s="2320"/>
      <c r="I99" s="282"/>
    </row>
    <row r="100" spans="1:35" ht="18.75" customHeight="1">
      <c r="A100" s="3349" t="s">
        <v>885</v>
      </c>
      <c r="B100" s="3350"/>
      <c r="C100" s="3350"/>
      <c r="D100" s="3377"/>
      <c r="E100" s="3350" t="s">
        <v>886</v>
      </c>
      <c r="F100" s="3350"/>
      <c r="G100" s="3350"/>
      <c r="H100" s="3377"/>
      <c r="I100" s="282"/>
    </row>
    <row r="101" spans="1:35" ht="18.75" customHeight="1">
      <c r="A101" s="3378" t="s">
        <v>887</v>
      </c>
      <c r="B101" s="3379"/>
      <c r="C101" s="2460" t="str">
        <f>C4</f>
        <v>比较法-办公</v>
      </c>
      <c r="D101" s="2461" t="str">
        <f>D4</f>
        <v>收益法</v>
      </c>
      <c r="E101" s="3402" t="s">
        <v>888</v>
      </c>
      <c r="F101" s="3397"/>
      <c r="G101" s="2463" t="s">
        <v>889</v>
      </c>
      <c r="H101" s="2464">
        <f ca="1">H118</f>
        <v>18586</v>
      </c>
      <c r="I101" s="282"/>
    </row>
    <row r="102" spans="1:35" ht="18.75" customHeight="1">
      <c r="A102" s="3362" t="s">
        <v>890</v>
      </c>
      <c r="B102" s="2465" t="s">
        <v>889</v>
      </c>
      <c r="C102" s="2460">
        <f ca="1">C19</f>
        <v>20581</v>
      </c>
      <c r="D102" s="2461">
        <f ca="1">D19</f>
        <v>16591</v>
      </c>
      <c r="E102" s="3402"/>
      <c r="F102" s="3397"/>
      <c r="G102" s="2463" t="s">
        <v>99</v>
      </c>
      <c r="H102" s="2349">
        <f ca="1">I118</f>
        <v>31727</v>
      </c>
      <c r="I102" s="282"/>
    </row>
    <row r="103" spans="1:35" ht="42.75" customHeight="1">
      <c r="A103" s="3362"/>
      <c r="B103" s="2465" t="s">
        <v>99</v>
      </c>
      <c r="C103" s="2466">
        <f ca="1">C20</f>
        <v>35133</v>
      </c>
      <c r="D103" s="2467">
        <f ca="1">D20</f>
        <v>28322</v>
      </c>
      <c r="E103" s="3380" t="s">
        <v>891</v>
      </c>
      <c r="F103" s="3381"/>
      <c r="G103" s="2468" t="s">
        <v>102</v>
      </c>
      <c r="H103" s="2464">
        <f>IF(D36="正常操作",H104+H105+H106,H105+H106)</f>
        <v>0</v>
      </c>
      <c r="I103" s="282"/>
    </row>
    <row r="104" spans="1:35" ht="18.75" customHeight="1">
      <c r="A104" s="3362" t="s">
        <v>892</v>
      </c>
      <c r="B104" s="2469" t="s">
        <v>889</v>
      </c>
      <c r="C104" s="2470">
        <f ca="1">H118</f>
        <v>18586</v>
      </c>
      <c r="D104" s="2471"/>
      <c r="E104" s="2305" t="s">
        <v>893</v>
      </c>
      <c r="F104" s="2472"/>
      <c r="G104" s="2468" t="s">
        <v>102</v>
      </c>
      <c r="H104" s="2473">
        <f>IF(D36="同一抵押权人同一抵押物续贷",C36&amp;"（续贷，未扣减，详见特别提示）",C36)</f>
        <v>0</v>
      </c>
      <c r="I104" s="282"/>
    </row>
    <row r="105" spans="1:35" ht="18.75" customHeight="1">
      <c r="A105" s="3363"/>
      <c r="B105" s="2474" t="s">
        <v>99</v>
      </c>
      <c r="C105" s="2475">
        <f ca="1">I118</f>
        <v>31727</v>
      </c>
      <c r="D105" s="2476"/>
      <c r="E105" s="2305" t="s">
        <v>894</v>
      </c>
      <c r="F105" s="2472"/>
      <c r="G105" s="2468" t="s">
        <v>102</v>
      </c>
      <c r="H105" s="2477">
        <f>C37</f>
        <v>0</v>
      </c>
      <c r="I105" s="282"/>
    </row>
    <row r="106" spans="1:35" ht="18.75" customHeight="1">
      <c r="A106" s="2234" t="s">
        <v>895</v>
      </c>
      <c r="B106" s="2234"/>
      <c r="C106" s="2234"/>
      <c r="D106" s="2234"/>
      <c r="E106" s="2478" t="s">
        <v>896</v>
      </c>
      <c r="F106" s="2472"/>
      <c r="G106" s="2468" t="s">
        <v>102</v>
      </c>
      <c r="H106" s="2477">
        <f>C38</f>
        <v>0</v>
      </c>
      <c r="I106" s="282"/>
    </row>
    <row r="107" spans="1:35" ht="18.75" customHeight="1">
      <c r="A107" s="282"/>
      <c r="B107" s="282"/>
      <c r="C107" s="282"/>
      <c r="D107" s="282"/>
      <c r="E107" s="3396" t="str">
        <f>IF(项目基本情况!E8="已注销","——","3.房地产抵押价值")</f>
        <v>3.房地产抵押价值</v>
      </c>
      <c r="F107" s="3397"/>
      <c r="G107" s="2463" t="s">
        <v>889</v>
      </c>
      <c r="H107" s="2464">
        <f ca="1">IF(E107="——","——",H101-H103)</f>
        <v>18586</v>
      </c>
      <c r="I107" s="282"/>
    </row>
    <row r="108" spans="1:35" ht="18.75" customHeight="1">
      <c r="A108" s="282"/>
      <c r="B108" s="282"/>
      <c r="C108" s="282"/>
      <c r="D108" s="282"/>
      <c r="E108" s="3396"/>
      <c r="F108" s="3397"/>
      <c r="G108" s="2463" t="s">
        <v>99</v>
      </c>
      <c r="H108" s="2349">
        <f ca="1">ROUND(H107*10000/'数据-汇总表'!E3,0)</f>
        <v>31727</v>
      </c>
      <c r="I108" s="282"/>
    </row>
    <row r="109" spans="1:35" ht="18.75" customHeight="1">
      <c r="A109" s="282"/>
      <c r="B109" s="282"/>
      <c r="C109" s="282"/>
      <c r="D109" s="282"/>
      <c r="E109" s="3396" t="str">
        <f>IF(项目基本情况!E8="已注销及未注销","4.抵押担保权已注销时的房地产抵押价值",IF(项目基本情况!E8="已注销","3.抵押担保权已注销时的房地产抵押价值","——"))</f>
        <v>——</v>
      </c>
      <c r="F109" s="3397"/>
      <c r="G109" s="2463" t="s">
        <v>889</v>
      </c>
      <c r="H109" s="2479" t="str">
        <f>IF(E109="——","——",H101-H105-H106)</f>
        <v>——</v>
      </c>
      <c r="I109" s="282"/>
    </row>
    <row r="110" spans="1:35" ht="18.75" customHeight="1">
      <c r="A110" s="282"/>
      <c r="B110" s="282"/>
      <c r="C110" s="282"/>
      <c r="D110" s="282"/>
      <c r="E110" s="3396"/>
      <c r="F110" s="3397"/>
      <c r="G110" s="2463" t="s">
        <v>99</v>
      </c>
      <c r="H110" s="2349" t="str">
        <f>IF(H109="——","——",ROUND(H109*10000/'数据-汇总表'!E3,0))</f>
        <v>——</v>
      </c>
      <c r="I110" s="282"/>
    </row>
    <row r="111" spans="1:35" ht="18.75" customHeight="1">
      <c r="A111" s="282"/>
      <c r="B111" s="282"/>
      <c r="C111" s="282"/>
      <c r="D111" s="282"/>
      <c r="E111" s="3398" t="str">
        <f>IF(项目基本情况!E9="抵押净值",IF(OR(项目基本情况!E8="已注销",项目基本情况!E8="房地产抵押价值"),"4.抵押净值","5.抵押净值"),"——")</f>
        <v>4.抵押净值</v>
      </c>
      <c r="F111" s="3399"/>
      <c r="G111" s="2463" t="s">
        <v>889</v>
      </c>
      <c r="H111" s="2464">
        <f ca="1">IF(E111="——","——",N59)</f>
        <v>7888</v>
      </c>
      <c r="I111" s="282"/>
    </row>
    <row r="112" spans="1:35" ht="18.75" customHeight="1">
      <c r="A112" s="282"/>
      <c r="B112" s="282"/>
      <c r="C112" s="282"/>
      <c r="D112" s="282"/>
      <c r="E112" s="3400"/>
      <c r="F112" s="3401"/>
      <c r="G112" s="2480" t="s">
        <v>99</v>
      </c>
      <c r="H112" s="2481">
        <f ca="1">IF(E111="——","——",N61)</f>
        <v>13465</v>
      </c>
      <c r="I112" s="282"/>
    </row>
    <row r="113" spans="1:27" ht="18.75" customHeight="1">
      <c r="A113" s="282"/>
      <c r="B113" s="282"/>
      <c r="C113" s="282"/>
      <c r="D113" s="282"/>
      <c r="E113" s="3382" t="s">
        <v>895</v>
      </c>
      <c r="F113" s="3382"/>
      <c r="G113" s="3382"/>
      <c r="H113" s="3382"/>
      <c r="I113" s="282"/>
    </row>
    <row r="114" spans="1:27" ht="3.75" customHeight="1">
      <c r="A114" s="2234"/>
      <c r="B114" s="2234"/>
      <c r="C114" s="2234"/>
      <c r="D114" s="2234"/>
      <c r="E114" s="2359"/>
      <c r="F114" s="2359"/>
      <c r="G114" s="2359"/>
      <c r="H114" s="2359"/>
      <c r="I114" s="2234"/>
    </row>
    <row r="115" spans="1:27" ht="18.75" customHeight="1">
      <c r="A115" s="3383" t="s">
        <v>897</v>
      </c>
      <c r="B115" s="3384"/>
      <c r="C115" s="3384"/>
      <c r="D115" s="3384"/>
      <c r="E115" s="3384"/>
      <c r="F115" s="3384"/>
      <c r="G115" s="3384"/>
      <c r="H115" s="3384"/>
      <c r="I115" s="3385"/>
    </row>
    <row r="116" spans="1:27" ht="27" customHeight="1">
      <c r="A116" s="3356" t="s">
        <v>898</v>
      </c>
      <c r="B116" s="3365" t="s">
        <v>899</v>
      </c>
      <c r="C116" s="3365" t="s">
        <v>900</v>
      </c>
      <c r="D116" s="3386" t="s">
        <v>901</v>
      </c>
      <c r="E116" s="3387"/>
      <c r="F116" s="3388" t="s">
        <v>902</v>
      </c>
      <c r="G116" s="3388"/>
      <c r="H116" s="3356" t="s">
        <v>903</v>
      </c>
      <c r="I116" s="3356"/>
    </row>
    <row r="117" spans="1:27" ht="18.75" customHeight="1">
      <c r="A117" s="3356"/>
      <c r="B117" s="3366"/>
      <c r="C117" s="3366"/>
      <c r="D117" s="2244" t="s">
        <v>904</v>
      </c>
      <c r="E117" s="2244" t="s">
        <v>730</v>
      </c>
      <c r="F117" s="2244" t="s">
        <v>904</v>
      </c>
      <c r="G117" s="2244" t="s">
        <v>730</v>
      </c>
      <c r="H117" s="2244" t="s">
        <v>904</v>
      </c>
      <c r="I117" s="2244" t="s">
        <v>730</v>
      </c>
    </row>
    <row r="118" spans="1:27" ht="24.75" customHeight="1">
      <c r="A118" s="2482" t="str">
        <f>项目基本情况!S2</f>
        <v>北京市房地产</v>
      </c>
      <c r="B118" s="2244">
        <f>M18</f>
        <v>5858.09</v>
      </c>
      <c r="C118" s="2244">
        <f>M19</f>
        <v>756.32</v>
      </c>
      <c r="D118" s="2244">
        <f ca="1">ROUND(IF(D32="总价",C34,E118*B118/10000),0)</f>
        <v>15891</v>
      </c>
      <c r="E118" s="2244">
        <f ca="1">ROUND(IF(C33="自定义",IF(D32="楼面单价",C34,D118*10000/B118),I118-G118),0)</f>
        <v>27127</v>
      </c>
      <c r="F118" s="2244">
        <f ca="1">ROUND(IF(D32="总价",C35,G118*B118/10000),0)</f>
        <v>2695</v>
      </c>
      <c r="G118" s="2244">
        <f ca="1">ROUND(IF(D32="楼面单价",C35,F118*10000/B118),0)</f>
        <v>4600</v>
      </c>
      <c r="H118" s="2244">
        <f ca="1">ROUND(IF(D32="总价",C32,I118*B118/10000),0)</f>
        <v>18586</v>
      </c>
      <c r="I118" s="2244">
        <f ca="1">ROUND(IF(D32="楼面单价",C32,H118*10000/B118),0)</f>
        <v>31727</v>
      </c>
    </row>
    <row r="119" spans="1:27" ht="18.75" customHeight="1">
      <c r="A119" s="3356" t="s">
        <v>905</v>
      </c>
      <c r="B119" s="3356"/>
      <c r="C119" s="3356"/>
      <c r="D119" s="3368" t="str">
        <f ca="1">NUMBERSTRING(INT(D118*10000),2)&amp;"元整"</f>
        <v>壹亿伍仟捌佰玖拾壹万元整</v>
      </c>
      <c r="E119" s="3370"/>
      <c r="F119" s="3368" t="str">
        <f ca="1">NUMBERSTRING(INT(F118*10000),2)&amp;"元整"</f>
        <v>贰仟陆佰玖拾伍万元整</v>
      </c>
      <c r="G119" s="3370"/>
      <c r="H119" s="3368" t="str">
        <f ca="1">NUMBERSTRING(INT(H118*10000),2)&amp;"元整"</f>
        <v>壹亿捌仟伍佰捌拾陆万元整</v>
      </c>
      <c r="I119" s="3370"/>
    </row>
    <row r="120" spans="1:27" ht="18.75" customHeight="1">
      <c r="A120" s="3403" t="str">
        <f>IF(项目基本情况!B9="房地产市场价值","",MID(E103,3,LEN(E103)-2))</f>
        <v>估价师知悉的法定优先受偿款</v>
      </c>
      <c r="B120" s="3404"/>
      <c r="C120" s="3405"/>
      <c r="D120" s="3403">
        <f>H103</f>
        <v>0</v>
      </c>
      <c r="E120" s="3404"/>
      <c r="F120" s="3404"/>
      <c r="G120" s="3404"/>
      <c r="H120" s="3404"/>
      <c r="I120" s="3405"/>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406" t="s">
        <v>905</v>
      </c>
      <c r="B121" s="3407"/>
      <c r="C121" s="3408"/>
      <c r="D121" s="3368" t="str">
        <f>IF(D120=0,"零元整",NUMBERSTRING(INT(D120*10000),2)&amp;"元整")</f>
        <v>零元整</v>
      </c>
      <c r="E121" s="3369"/>
      <c r="F121" s="3369"/>
      <c r="G121" s="3369"/>
      <c r="H121" s="3369"/>
      <c r="I121" s="3370"/>
      <c r="AA121" s="239"/>
    </row>
    <row r="122" spans="1:27" ht="18.75" customHeight="1">
      <c r="A122" s="3399" t="str">
        <f>IF(项目基本情况!B9="房地产市场价值","",MID(E107,3,LEN(E107)-2))</f>
        <v>房地产抵押价值</v>
      </c>
      <c r="B122" s="3399"/>
      <c r="C122" s="3399"/>
      <c r="D122" s="3403">
        <f ca="1">H107</f>
        <v>18586</v>
      </c>
      <c r="E122" s="3404"/>
      <c r="F122" s="3404"/>
      <c r="G122" s="3404"/>
      <c r="H122" s="3404"/>
      <c r="I122" s="3405"/>
      <c r="AA122" s="239"/>
    </row>
    <row r="123" spans="1:27" ht="18.75" customHeight="1">
      <c r="A123" s="3356" t="s">
        <v>905</v>
      </c>
      <c r="B123" s="3356"/>
      <c r="C123" s="3356"/>
      <c r="D123" s="3368" t="str">
        <f ca="1">NUMBERSTRING(INT(D122*10000),2)&amp;"元整"</f>
        <v>壹亿捌仟伍佰捌拾陆万元整</v>
      </c>
      <c r="E123" s="3369"/>
      <c r="F123" s="3369"/>
      <c r="G123" s="3369"/>
      <c r="H123" s="3369"/>
      <c r="I123" s="3370"/>
      <c r="AA123" s="239"/>
    </row>
    <row r="124" spans="1:27" ht="18.75" customHeight="1">
      <c r="A124" s="3399" t="str">
        <f>IF(项目基本情况!B9="房地产市场价值","",MID(E109,3,LEN(E109)-2))</f>
        <v/>
      </c>
      <c r="B124" s="3399"/>
      <c r="C124" s="3399"/>
      <c r="D124" s="3403" t="str">
        <f>H109</f>
        <v>——</v>
      </c>
      <c r="E124" s="3404"/>
      <c r="F124" s="3404"/>
      <c r="G124" s="3404"/>
      <c r="H124" s="3404"/>
      <c r="I124" s="3405"/>
      <c r="AA124" s="239"/>
    </row>
    <row r="125" spans="1:27" ht="18.75" customHeight="1">
      <c r="A125" s="3356" t="s">
        <v>905</v>
      </c>
      <c r="B125" s="3356"/>
      <c r="C125" s="3356"/>
      <c r="D125" s="3368" t="e">
        <f>NUMBERSTRING(INT(D124*10000),2)&amp;"元整"</f>
        <v>#VALUE!</v>
      </c>
      <c r="E125" s="3369"/>
      <c r="F125" s="3369"/>
      <c r="G125" s="3369"/>
      <c r="H125" s="3369"/>
      <c r="I125" s="3370"/>
      <c r="AA125" s="239"/>
    </row>
    <row r="126" spans="1:27" ht="18.75" customHeight="1">
      <c r="A126" s="3399" t="str">
        <f>IF(项目基本情况!B9="房地产市场价值","",MID(E111,3,LEN(E111)-2))</f>
        <v>抵押净值</v>
      </c>
      <c r="B126" s="3399"/>
      <c r="C126" s="3399"/>
      <c r="D126" s="3403">
        <f ca="1">H111</f>
        <v>7888</v>
      </c>
      <c r="E126" s="3404"/>
      <c r="F126" s="3404"/>
      <c r="G126" s="3404"/>
      <c r="H126" s="3404"/>
      <c r="I126" s="3405"/>
      <c r="AA126" s="239"/>
    </row>
    <row r="127" spans="1:27" ht="18.75" customHeight="1">
      <c r="A127" s="3356" t="s">
        <v>905</v>
      </c>
      <c r="B127" s="3356"/>
      <c r="C127" s="3356"/>
      <c r="D127" s="3368" t="str">
        <f ca="1">NUMBERSTRING(INT(D126*10000),2)&amp;"元整"</f>
        <v>柒仟捌佰捌拾捌万元整</v>
      </c>
      <c r="E127" s="3369"/>
      <c r="F127" s="3369"/>
      <c r="G127" s="3369"/>
      <c r="H127" s="3369"/>
      <c r="I127" s="3370"/>
      <c r="AA127" s="239"/>
    </row>
    <row r="128" spans="1:27" ht="21.75" customHeight="1">
      <c r="A128" s="3355" t="s">
        <v>113</v>
      </c>
      <c r="B128" s="3355"/>
      <c r="C128" s="3355"/>
      <c r="D128" s="3355"/>
      <c r="E128" s="3355"/>
      <c r="F128" s="3355"/>
      <c r="G128" s="3355"/>
      <c r="H128" s="3355"/>
      <c r="I128" s="3355"/>
      <c r="AA128" s="239"/>
    </row>
    <row r="129" spans="1:35" ht="21.75" customHeight="1">
      <c r="A129" s="2493" t="s">
        <v>906</v>
      </c>
      <c r="B129" s="2494"/>
      <c r="C129" s="2495" t="s">
        <v>907</v>
      </c>
      <c r="D129" s="2496"/>
      <c r="E129" s="2496"/>
      <c r="F129" s="2496"/>
      <c r="G129" s="2496"/>
      <c r="H129" s="2497"/>
      <c r="I129" s="2512"/>
      <c r="AA129" s="239"/>
    </row>
    <row r="130" spans="1:35" ht="21.75" customHeight="1">
      <c r="A130" s="2498">
        <v>1</v>
      </c>
      <c r="B130" s="2499"/>
      <c r="C130" s="2499"/>
      <c r="D130" s="2500"/>
      <c r="E130" s="2500"/>
      <c r="F130" s="2500"/>
      <c r="G130" s="2500"/>
      <c r="H130" s="2501"/>
      <c r="I130" s="2513"/>
      <c r="AA130" s="239"/>
    </row>
    <row r="131" spans="1:35" ht="21.75" customHeight="1">
      <c r="A131" s="2498">
        <v>2</v>
      </c>
      <c r="B131" s="2499"/>
      <c r="C131" s="2499"/>
      <c r="D131" s="2500"/>
      <c r="E131" s="2500"/>
      <c r="F131" s="2500"/>
      <c r="G131" s="2500"/>
      <c r="H131" s="2501"/>
      <c r="I131" s="2513"/>
      <c r="AA131" s="239"/>
    </row>
    <row r="132" spans="1:35" ht="21.75" customHeight="1">
      <c r="A132" s="2498">
        <v>3</v>
      </c>
      <c r="B132" s="2499"/>
      <c r="C132" s="2499"/>
      <c r="D132" s="2500"/>
      <c r="E132" s="2500"/>
      <c r="F132" s="2500"/>
      <c r="G132" s="2500"/>
      <c r="H132" s="2501"/>
      <c r="I132" s="2513"/>
      <c r="AA132" s="239"/>
    </row>
    <row r="133" spans="1:35" ht="21.75" customHeight="1">
      <c r="A133" s="2502"/>
      <c r="B133" s="2503"/>
      <c r="C133" s="2503"/>
      <c r="D133" s="2504"/>
      <c r="E133" s="2504"/>
      <c r="F133" s="2504"/>
      <c r="G133" s="2504"/>
      <c r="H133" s="2505"/>
      <c r="I133" s="2514"/>
    </row>
    <row r="134" spans="1:35" ht="21.75" customHeight="1">
      <c r="A134" s="2499"/>
      <c r="B134" s="2499"/>
      <c r="C134" s="2499"/>
      <c r="D134" s="2500"/>
      <c r="E134" s="2500"/>
      <c r="F134" s="2500"/>
      <c r="G134" s="2500"/>
      <c r="H134" s="2501"/>
      <c r="I134" s="239"/>
    </row>
    <row r="135" spans="1:35" ht="21.75" customHeight="1">
      <c r="A135" s="239"/>
      <c r="B135" s="239"/>
      <c r="C135" s="239"/>
      <c r="D135" s="239"/>
      <c r="E135" s="239"/>
      <c r="F135" s="2506" t="s">
        <v>908</v>
      </c>
      <c r="G135" s="2507"/>
      <c r="H135" s="2507"/>
      <c r="I135" s="2515" t="s">
        <v>909</v>
      </c>
    </row>
    <row r="136" spans="1:35" ht="21.75" customHeight="1">
      <c r="A136" s="239"/>
      <c r="B136" s="2508" t="s">
        <v>910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07"/>
      <c r="C138" s="2507"/>
      <c r="D138" s="2507"/>
      <c r="E138" s="2507"/>
      <c r="F138" s="2507"/>
      <c r="G138" s="2507"/>
      <c r="H138" s="2507"/>
      <c r="I138" s="2515" t="s">
        <v>911</v>
      </c>
    </row>
    <row r="139" spans="1:35" ht="21.75" customHeight="1">
      <c r="A139" s="239"/>
      <c r="B139" s="2508" t="s">
        <v>912</v>
      </c>
      <c r="C139" s="239"/>
      <c r="D139" s="239"/>
      <c r="E139" s="239"/>
      <c r="F139" s="239"/>
      <c r="G139" s="239"/>
      <c r="H139" s="239"/>
      <c r="I139" s="239"/>
    </row>
    <row r="140" spans="1:35" ht="21.75" customHeight="1">
      <c r="A140" s="239"/>
      <c r="B140" s="2508"/>
      <c r="C140" s="239"/>
      <c r="D140" s="239"/>
      <c r="E140" s="239"/>
      <c r="F140" s="239"/>
      <c r="G140" s="239"/>
      <c r="H140" s="239"/>
      <c r="I140" s="239"/>
    </row>
    <row r="141" spans="1:35" ht="21.75" customHeight="1">
      <c r="A141" s="239"/>
      <c r="B141" s="2507"/>
      <c r="C141" s="2507"/>
      <c r="D141" s="2507"/>
      <c r="E141" s="2507"/>
      <c r="F141" s="2507"/>
      <c r="G141" s="2507"/>
      <c r="H141" s="2507"/>
      <c r="I141" s="2515" t="s">
        <v>911</v>
      </c>
    </row>
    <row r="142" spans="1:35" ht="21.75" customHeight="1">
      <c r="A142" s="239"/>
      <c r="B142" s="2508"/>
      <c r="C142" s="2509"/>
      <c r="D142" s="2510"/>
      <c r="E142" s="2510"/>
      <c r="F142" s="2511"/>
      <c r="G142" s="239"/>
      <c r="H142" s="239"/>
      <c r="I142" s="239"/>
    </row>
    <row r="143" spans="1:35" s="236" customFormat="1" ht="21.75" customHeight="1">
      <c r="A143" s="239"/>
      <c r="B143" s="2508"/>
      <c r="C143" s="2509"/>
      <c r="D143" s="2510"/>
      <c r="E143" s="2510"/>
      <c r="F143" s="251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3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3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3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3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3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3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3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3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3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3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3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3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3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3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3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3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3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3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3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3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3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3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3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3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3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3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3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3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3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3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3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3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3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3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3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3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3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3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3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3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3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3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3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3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3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3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3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3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3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3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3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3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3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3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3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3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3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3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3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3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3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3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3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3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3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3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3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3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3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3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3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3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3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3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3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3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3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3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3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3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3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3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3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3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3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3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3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3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3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3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3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3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3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3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3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3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3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3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3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3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3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3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3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3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L35" sqref="L35"/>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913</v>
      </c>
      <c r="B1" s="1419" t="s">
        <v>914</v>
      </c>
      <c r="C1" s="1286" t="s">
        <v>915</v>
      </c>
      <c r="D1" s="1287" t="s">
        <v>452</v>
      </c>
      <c r="E1" s="1288"/>
      <c r="F1" s="1289" t="s">
        <v>916</v>
      </c>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f>IF(C2="——",ROUND(C50*D3/10000,0),ROUND(C50*D3/10000,0)-D2)</f>
        <v>20581</v>
      </c>
      <c r="C2" s="1293" t="s">
        <v>124</v>
      </c>
      <c r="D2" s="1464" t="e">
        <f ca="1">SUMIF(INDIRECT("'"&amp;F2&amp;"'"&amp;"!A:A"),"承租人权益价值",INDIRECT("'"&amp;F2&amp;"'"&amp;"!c:c"))</f>
        <v>#REF!</v>
      </c>
      <c r="E2" s="1294" t="s">
        <v>919</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f>IF(C2="——",C50,ROUND(B2*10000/D3,0))</f>
        <v>35133</v>
      </c>
      <c r="C3" s="1296" t="s">
        <v>921</v>
      </c>
      <c r="D3" s="1297">
        <f>IF(D1="",'数据-汇总表'!E3,SUMIF('数据-汇总表'!$C19:$C33,D1,'数据-汇总表'!$E19:$E33))</f>
        <v>5858.09</v>
      </c>
      <c r="E3" s="1465"/>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922</v>
      </c>
      <c r="B4" s="925"/>
      <c r="C4" s="3495" t="s">
        <v>923</v>
      </c>
      <c r="D4" s="3496"/>
      <c r="E4" s="3497" t="s">
        <v>924</v>
      </c>
      <c r="F4" s="3498"/>
      <c r="G4" s="3495" t="s">
        <v>925</v>
      </c>
      <c r="H4" s="3496"/>
      <c r="I4" s="3495" t="s">
        <v>926</v>
      </c>
      <c r="J4" s="3496"/>
      <c r="K4" s="1071" t="s">
        <v>927</v>
      </c>
      <c r="L4" s="1072"/>
      <c r="M4" s="1073"/>
      <c r="N4" s="1073"/>
      <c r="O4" s="1073"/>
      <c r="P4" s="3458" t="s">
        <v>928</v>
      </c>
      <c r="Q4" s="3459"/>
      <c r="R4" s="3464" t="s">
        <v>924</v>
      </c>
      <c r="S4" s="3465"/>
      <c r="T4" s="3464" t="s">
        <v>925</v>
      </c>
      <c r="U4" s="3465"/>
      <c r="V4" s="3470" t="s">
        <v>926</v>
      </c>
      <c r="W4" s="3470"/>
      <c r="X4" s="2220"/>
      <c r="Y4" s="3464" t="s">
        <v>928</v>
      </c>
      <c r="Z4" s="3465"/>
      <c r="AA4" s="3452" t="s">
        <v>924</v>
      </c>
      <c r="AB4" s="3452" t="s">
        <v>925</v>
      </c>
      <c r="AC4" s="3455" t="s">
        <v>926</v>
      </c>
    </row>
    <row r="5" spans="1:29">
      <c r="A5" s="926"/>
      <c r="B5" s="927"/>
      <c r="C5" s="3499" t="s">
        <v>929</v>
      </c>
      <c r="D5" s="3500"/>
      <c r="E5" s="3501" t="s">
        <v>930</v>
      </c>
      <c r="F5" s="3502"/>
      <c r="G5" s="3503" t="s">
        <v>931</v>
      </c>
      <c r="H5" s="3500"/>
      <c r="I5" s="3503" t="s">
        <v>2742</v>
      </c>
      <c r="J5" s="3500"/>
      <c r="K5" s="1071"/>
      <c r="L5" s="1072"/>
      <c r="M5" s="1073"/>
      <c r="N5" s="1073"/>
      <c r="O5" s="1073"/>
      <c r="P5" s="3460"/>
      <c r="Q5" s="3461"/>
      <c r="R5" s="3466"/>
      <c r="S5" s="3467"/>
      <c r="T5" s="3466"/>
      <c r="U5" s="3467"/>
      <c r="V5" s="3471"/>
      <c r="W5" s="3471"/>
      <c r="X5" s="1115"/>
      <c r="Y5" s="3466"/>
      <c r="Z5" s="3467"/>
      <c r="AA5" s="3453"/>
      <c r="AB5" s="3453"/>
      <c r="AC5" s="3456"/>
    </row>
    <row r="6" spans="1:29" ht="14.4">
      <c r="A6" s="928"/>
      <c r="B6" s="929"/>
      <c r="C6" s="3490" t="s">
        <v>933</v>
      </c>
      <c r="D6" s="3491"/>
      <c r="E6" s="3492" t="s">
        <v>933</v>
      </c>
      <c r="F6" s="3493"/>
      <c r="G6" s="3490" t="s">
        <v>933</v>
      </c>
      <c r="H6" s="3491"/>
      <c r="I6" s="3490" t="s">
        <v>933</v>
      </c>
      <c r="J6" s="3491"/>
      <c r="K6" s="1071" t="s">
        <v>934</v>
      </c>
      <c r="L6" s="1072"/>
      <c r="M6" s="1073"/>
      <c r="N6" s="1073"/>
      <c r="O6" s="1073"/>
      <c r="P6" s="3462"/>
      <c r="Q6" s="3463"/>
      <c r="R6" s="3466"/>
      <c r="S6" s="3467"/>
      <c r="T6" s="3468"/>
      <c r="U6" s="3469"/>
      <c r="V6" s="3471"/>
      <c r="W6" s="3471"/>
      <c r="X6" s="1115"/>
      <c r="Y6" s="3468"/>
      <c r="Z6" s="3469"/>
      <c r="AA6" s="3454"/>
      <c r="AB6" s="3454"/>
      <c r="AC6" s="3457"/>
    </row>
    <row r="7" spans="1:29" s="905" customFormat="1" ht="14.4">
      <c r="A7" s="930" t="s">
        <v>935</v>
      </c>
      <c r="B7" s="931"/>
      <c r="C7" s="932">
        <f>'数据-取费表'!B2</f>
        <v>44770</v>
      </c>
      <c r="D7" s="933">
        <v>100</v>
      </c>
      <c r="E7" s="934">
        <v>44762</v>
      </c>
      <c r="F7" s="935">
        <f>SUMIF(59:59,YEAR(E7)&amp;"-"&amp;MONTH(E7),60:60)</f>
        <v>100</v>
      </c>
      <c r="G7" s="934">
        <f>C7</f>
        <v>44770</v>
      </c>
      <c r="H7" s="933">
        <f>SUMIF(59:59,YEAR(G7)&amp;"-"&amp;MONTH(G7),60:60)</f>
        <v>100</v>
      </c>
      <c r="I7" s="934">
        <v>44769</v>
      </c>
      <c r="J7" s="933">
        <f>SUMIF(59:59,YEAR(I7)&amp;"-"&amp;MONTH(I7),60:60)</f>
        <v>100</v>
      </c>
      <c r="K7" s="1074"/>
      <c r="L7" s="1075"/>
      <c r="M7" s="1076"/>
      <c r="N7" s="1076"/>
      <c r="O7" s="1076"/>
      <c r="P7" s="3480" t="s">
        <v>936</v>
      </c>
      <c r="Q7" s="3494"/>
      <c r="R7" s="1116" t="s">
        <v>937</v>
      </c>
      <c r="S7" s="1117">
        <f t="shared" ref="S7:S15" si="0">F7</f>
        <v>100</v>
      </c>
      <c r="T7" s="1116" t="s">
        <v>937</v>
      </c>
      <c r="U7" s="1117">
        <f t="shared" ref="U7:U15" si="1">H7</f>
        <v>100</v>
      </c>
      <c r="V7" s="1116" t="s">
        <v>937</v>
      </c>
      <c r="W7" s="1117">
        <f t="shared" ref="W7:W15" si="2">J7</f>
        <v>100</v>
      </c>
      <c r="X7" s="1118"/>
      <c r="Y7" s="3478" t="s">
        <v>936</v>
      </c>
      <c r="Z7" s="3479"/>
      <c r="AA7" s="1130">
        <f>D7/F7</f>
        <v>1</v>
      </c>
      <c r="AB7" s="1130">
        <f>D7/H7</f>
        <v>1</v>
      </c>
      <c r="AC7" s="2221">
        <f>D7/J7</f>
        <v>1</v>
      </c>
    </row>
    <row r="8" spans="1:29" s="905" customFormat="1" ht="14.4">
      <c r="A8" s="930" t="s">
        <v>938</v>
      </c>
      <c r="B8" s="931"/>
      <c r="C8" s="937" t="s">
        <v>939</v>
      </c>
      <c r="D8" s="933">
        <v>100</v>
      </c>
      <c r="E8" s="937" t="s">
        <v>940</v>
      </c>
      <c r="F8" s="935">
        <f>SUMIF(62:62,E8,63:63)-SUMIF(62:62,C8,63:63)+100</f>
        <v>100</v>
      </c>
      <c r="G8" s="937" t="s">
        <v>940</v>
      </c>
      <c r="H8" s="933">
        <f>SUMIF(62:62,G8,63:63)-SUMIF(62:62,C8,63:63)+100</f>
        <v>100</v>
      </c>
      <c r="I8" s="937" t="s">
        <v>940</v>
      </c>
      <c r="J8" s="933">
        <f>SUMIF(62:62,I8,63:63)-SUMIF(62:62,C8,63:63)+100</f>
        <v>100</v>
      </c>
      <c r="K8" s="1074"/>
      <c r="L8" s="1075"/>
      <c r="M8" s="1076"/>
      <c r="N8" s="1076"/>
      <c r="O8" s="1076"/>
      <c r="P8" s="3480" t="s">
        <v>941</v>
      </c>
      <c r="Q8" s="3479"/>
      <c r="R8" s="1116" t="s">
        <v>937</v>
      </c>
      <c r="S8" s="1117">
        <f t="shared" si="0"/>
        <v>100</v>
      </c>
      <c r="T8" s="1116" t="s">
        <v>937</v>
      </c>
      <c r="U8" s="1117">
        <f t="shared" si="1"/>
        <v>100</v>
      </c>
      <c r="V8" s="1116" t="s">
        <v>937</v>
      </c>
      <c r="W8" s="1117">
        <f t="shared" si="2"/>
        <v>100</v>
      </c>
      <c r="X8" s="1118"/>
      <c r="Y8" s="3478" t="s">
        <v>941</v>
      </c>
      <c r="Z8" s="3479"/>
      <c r="AA8" s="1130">
        <f t="shared" ref="AA8:AA47" si="3">D8/F8</f>
        <v>1</v>
      </c>
      <c r="AB8" s="1130">
        <f t="shared" ref="AB8:AB47" si="4">D8/H8</f>
        <v>1</v>
      </c>
      <c r="AC8" s="2221">
        <f t="shared" ref="AC8:AC47" si="5">D8/J8</f>
        <v>1</v>
      </c>
    </row>
    <row r="9" spans="1:29" s="905" customFormat="1" ht="14.4">
      <c r="A9" s="938" t="s">
        <v>942</v>
      </c>
      <c r="B9" s="939" t="s">
        <v>943</v>
      </c>
      <c r="C9" s="2213" t="s">
        <v>944</v>
      </c>
      <c r="D9" s="941">
        <v>100</v>
      </c>
      <c r="E9" s="1299" t="s">
        <v>452</v>
      </c>
      <c r="F9" s="941">
        <f>SUMIF(64:64,E9,65:65)-SUMIF(64:64,C9,65:65)+100</f>
        <v>100</v>
      </c>
      <c r="G9" s="1299" t="s">
        <v>452</v>
      </c>
      <c r="H9" s="941">
        <f>SUMIF(64:64,G9,65:65)-SUMIF(64:64,C9,65:65)+100</f>
        <v>100</v>
      </c>
      <c r="I9" s="1299" t="s">
        <v>452</v>
      </c>
      <c r="J9" s="941">
        <f>SUMIF(64:64,I9,65:65)-SUMIF(64:64,C9,65:65)+100</f>
        <v>100</v>
      </c>
      <c r="K9" s="1074"/>
      <c r="L9" s="1075"/>
      <c r="M9" s="1076"/>
      <c r="N9" s="1076"/>
      <c r="O9" s="1076"/>
      <c r="P9" s="3472" t="s">
        <v>945</v>
      </c>
      <c r="Q9" s="1120" t="str">
        <f t="shared" ref="Q9:Q15" si="6">B9</f>
        <v>用途</v>
      </c>
      <c r="R9" s="1116" t="s">
        <v>937</v>
      </c>
      <c r="S9" s="1117">
        <f t="shared" si="0"/>
        <v>100</v>
      </c>
      <c r="T9" s="1116" t="s">
        <v>937</v>
      </c>
      <c r="U9" s="1117">
        <f t="shared" si="1"/>
        <v>100</v>
      </c>
      <c r="V9" s="1116" t="s">
        <v>937</v>
      </c>
      <c r="W9" s="1117">
        <f t="shared" si="2"/>
        <v>100</v>
      </c>
      <c r="X9" s="1118"/>
      <c r="Y9" s="3364" t="s">
        <v>946</v>
      </c>
      <c r="Z9" s="1131" t="str">
        <f t="shared" ref="Z9:Z15" si="7">Q9</f>
        <v>用途</v>
      </c>
      <c r="AA9" s="1130">
        <f t="shared" si="3"/>
        <v>1</v>
      </c>
      <c r="AB9" s="1130">
        <f t="shared" si="4"/>
        <v>1</v>
      </c>
      <c r="AC9" s="2221">
        <f t="shared" si="5"/>
        <v>1</v>
      </c>
    </row>
    <row r="10" spans="1:29" s="906" customFormat="1" ht="28.8">
      <c r="A10" s="942"/>
      <c r="B10" s="943" t="s">
        <v>947</v>
      </c>
      <c r="C10" s="1301" t="s">
        <v>948</v>
      </c>
      <c r="D10" s="945">
        <v>100</v>
      </c>
      <c r="E10" s="1301" t="s">
        <v>949</v>
      </c>
      <c r="F10" s="945">
        <f>SUMIF(66:66,E10,67:67)-SUMIF(66:66,C10,67:67)+100</f>
        <v>102</v>
      </c>
      <c r="G10" s="1370" t="s">
        <v>949</v>
      </c>
      <c r="H10" s="945">
        <f>SUMIF(66:66,G10,67:67)-SUMIF(66:66,C10,67:67)+100</f>
        <v>102</v>
      </c>
      <c r="I10" s="1301" t="s">
        <v>949</v>
      </c>
      <c r="J10" s="945">
        <f>SUMIF(66:66,I10,67:67)-SUMIF(66:66,C10,67:67)+100</f>
        <v>102</v>
      </c>
      <c r="K10" s="1091">
        <v>2</v>
      </c>
      <c r="L10" s="1079"/>
      <c r="M10" s="1080"/>
      <c r="N10" s="1080"/>
      <c r="O10" s="1080"/>
      <c r="P10" s="3472"/>
      <c r="Q10" s="1120" t="str">
        <f t="shared" si="6"/>
        <v>土地使用年限（年）</v>
      </c>
      <c r="R10" s="1116" t="s">
        <v>937</v>
      </c>
      <c r="S10" s="1117">
        <f t="shared" si="0"/>
        <v>102</v>
      </c>
      <c r="T10" s="1116" t="s">
        <v>937</v>
      </c>
      <c r="U10" s="1117">
        <f t="shared" si="1"/>
        <v>102</v>
      </c>
      <c r="V10" s="1116" t="s">
        <v>937</v>
      </c>
      <c r="W10" s="1117">
        <f t="shared" si="2"/>
        <v>102</v>
      </c>
      <c r="X10" s="1118"/>
      <c r="Y10" s="3364"/>
      <c r="Z10" s="1131" t="str">
        <f t="shared" si="7"/>
        <v>土地使用年限（年）</v>
      </c>
      <c r="AA10" s="1130">
        <f t="shared" si="3"/>
        <v>0.98039215686274495</v>
      </c>
      <c r="AB10" s="1130">
        <f t="shared" si="4"/>
        <v>0.98039215686274495</v>
      </c>
      <c r="AC10" s="2221">
        <f t="shared" si="5"/>
        <v>0.98039215686274495</v>
      </c>
    </row>
    <row r="11" spans="1:29" ht="15">
      <c r="A11" s="946"/>
      <c r="B11" s="943" t="s">
        <v>950</v>
      </c>
      <c r="C11" s="947"/>
      <c r="D11" s="945">
        <v>100</v>
      </c>
      <c r="E11" s="947"/>
      <c r="F11" s="945">
        <f>LOOKUP(E11,69:69,70:70)-LOOKUP(C11,69:69,70:70)+100</f>
        <v>100</v>
      </c>
      <c r="G11" s="948"/>
      <c r="H11" s="945">
        <f>LOOKUP(G11,69:69,70:70)-LOOKUP(C11,69:69,70:70)+100</f>
        <v>100</v>
      </c>
      <c r="I11" s="947"/>
      <c r="J11" s="945">
        <f>LOOKUP(I11,69:69,70:70)-LOOKUP(C11,69:69,70:70)+100</f>
        <v>100</v>
      </c>
      <c r="K11" s="1091"/>
      <c r="L11" s="1083"/>
      <c r="M11" s="1073"/>
      <c r="N11" s="1073"/>
      <c r="O11" s="1073"/>
      <c r="P11" s="3472"/>
      <c r="Q11" s="1120" t="str">
        <f t="shared" si="6"/>
        <v>容积率</v>
      </c>
      <c r="R11" s="1116" t="s">
        <v>937</v>
      </c>
      <c r="S11" s="1117">
        <f t="shared" si="0"/>
        <v>100</v>
      </c>
      <c r="T11" s="1116" t="s">
        <v>937</v>
      </c>
      <c r="U11" s="1117">
        <f t="shared" si="1"/>
        <v>100</v>
      </c>
      <c r="V11" s="1116" t="s">
        <v>937</v>
      </c>
      <c r="W11" s="1117">
        <f t="shared" si="2"/>
        <v>100</v>
      </c>
      <c r="X11" s="1118"/>
      <c r="Y11" s="3364"/>
      <c r="Z11" s="1131" t="str">
        <f t="shared" si="7"/>
        <v>容积率</v>
      </c>
      <c r="AA11" s="1130">
        <f t="shared" si="3"/>
        <v>1</v>
      </c>
      <c r="AB11" s="1130">
        <f t="shared" si="4"/>
        <v>1</v>
      </c>
      <c r="AC11" s="2221">
        <f t="shared" si="5"/>
        <v>1</v>
      </c>
    </row>
    <row r="12" spans="1:29" s="905" customFormat="1" ht="15">
      <c r="A12" s="949"/>
      <c r="B12" s="950">
        <v>111</v>
      </c>
      <c r="C12" s="944"/>
      <c r="D12" s="951">
        <v>100</v>
      </c>
      <c r="E12" s="944"/>
      <c r="F12" s="945">
        <f>SUMIF(71:71,E12,72:72)-SUMIF(71:71,C12,72:72)+100</f>
        <v>100</v>
      </c>
      <c r="G12" s="2214"/>
      <c r="H12" s="945">
        <f>SUMIF(71:71,G12,72:72)-SUMIF(71:71,C12,72:72)+100</f>
        <v>100</v>
      </c>
      <c r="I12" s="944"/>
      <c r="J12" s="945">
        <f>SUMIF(71:71,I12,72:72)-SUMIF(71:71,C12,72:72)+100</f>
        <v>100</v>
      </c>
      <c r="K12" s="1090"/>
      <c r="L12" s="1075"/>
      <c r="M12" s="1076"/>
      <c r="N12" s="1076"/>
      <c r="O12" s="1076"/>
      <c r="P12" s="3472"/>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2221">
        <f t="shared" si="5"/>
        <v>1</v>
      </c>
    </row>
    <row r="13" spans="1:29" ht="15">
      <c r="A13" s="946"/>
      <c r="B13" s="950">
        <v>111</v>
      </c>
      <c r="C13" s="954"/>
      <c r="D13" s="955">
        <v>100</v>
      </c>
      <c r="E13" s="944"/>
      <c r="F13" s="945">
        <f>SUMIF(73:73,E13,74:74)-SUMIF(73:73,C13,74:74)+100</f>
        <v>100</v>
      </c>
      <c r="G13" s="2214"/>
      <c r="H13" s="955">
        <f>SUMIF(73:73,G13,74:74)-SUMIF(73:73,C13,74:74)+100</f>
        <v>100</v>
      </c>
      <c r="I13" s="944"/>
      <c r="J13" s="955">
        <f>SUMIF(73:73,I13,74:74)-SUMIF(73:73,C13,74:74)+100</f>
        <v>100</v>
      </c>
      <c r="K13" s="1090"/>
      <c r="L13" s="1085"/>
      <c r="M13" s="1073"/>
      <c r="N13" s="1073"/>
      <c r="O13" s="1073"/>
      <c r="P13" s="3472"/>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2221">
        <f t="shared" si="5"/>
        <v>1</v>
      </c>
    </row>
    <row r="14" spans="1:29" ht="15">
      <c r="A14" s="956"/>
      <c r="B14" s="957">
        <v>111</v>
      </c>
      <c r="C14" s="958"/>
      <c r="D14" s="959">
        <v>100</v>
      </c>
      <c r="E14" s="1379"/>
      <c r="F14" s="959">
        <f>SUMIF(75:75,E14,76:76)-SUMIF(75:75,C14,76:76)+100</f>
        <v>100</v>
      </c>
      <c r="G14" s="2214"/>
      <c r="H14" s="959">
        <f>SUMIF(75:75,G14,76:76)-SUMIF(75:75,C14,76:76)+100</f>
        <v>100</v>
      </c>
      <c r="I14" s="944"/>
      <c r="J14" s="959">
        <f>SUMIF(75:75,I14,76:76)-SUMIF(75:75,C14,76:76)+100</f>
        <v>100</v>
      </c>
      <c r="K14" s="1090"/>
      <c r="L14" s="1085"/>
      <c r="M14" s="1073"/>
      <c r="N14" s="1073"/>
      <c r="O14" s="1073"/>
      <c r="P14" s="3472"/>
      <c r="Q14" s="1120">
        <f t="shared" si="6"/>
        <v>111</v>
      </c>
      <c r="R14" s="1116" t="s">
        <v>937</v>
      </c>
      <c r="S14" s="1117">
        <f t="shared" si="0"/>
        <v>100</v>
      </c>
      <c r="T14" s="1116" t="s">
        <v>937</v>
      </c>
      <c r="U14" s="1117">
        <f t="shared" si="1"/>
        <v>100</v>
      </c>
      <c r="V14" s="1116" t="s">
        <v>937</v>
      </c>
      <c r="W14" s="1117">
        <f t="shared" si="2"/>
        <v>100</v>
      </c>
      <c r="X14" s="1118"/>
      <c r="Y14" s="3364"/>
      <c r="Z14" s="1131">
        <f t="shared" si="7"/>
        <v>111</v>
      </c>
      <c r="AA14" s="1130">
        <f t="shared" si="3"/>
        <v>1</v>
      </c>
      <c r="AB14" s="1130">
        <f t="shared" si="4"/>
        <v>1</v>
      </c>
      <c r="AC14" s="2221">
        <f t="shared" si="5"/>
        <v>1</v>
      </c>
    </row>
    <row r="15" spans="1:29" ht="69">
      <c r="A15" s="960" t="s">
        <v>951</v>
      </c>
      <c r="B15" s="961" t="s">
        <v>952</v>
      </c>
      <c r="C15" s="2215" t="str">
        <f>估价对象房地状况!C5</f>
        <v>估价对象位于XX商圈，周边办公楼项目较多，入驻率高，办公集聚程度较好</v>
      </c>
      <c r="D15" s="963">
        <v>100</v>
      </c>
      <c r="E15" s="1086"/>
      <c r="F15" s="963">
        <f>SUMIF(77:77,E16,78:78)-SUMIF(77:77,C16,78:78)+100</f>
        <v>105</v>
      </c>
      <c r="G15" s="964"/>
      <c r="H15" s="963">
        <f>SUMIF(77:77,G16,78:78)-SUMIF(77:77,C16,78:78)+100</f>
        <v>105</v>
      </c>
      <c r="I15" s="964"/>
      <c r="J15" s="963">
        <f>SUMIF(77:77,I16,78:78)-SUMIF(77:77,C16,78:78)+100</f>
        <v>105</v>
      </c>
      <c r="K15" s="1344">
        <v>5</v>
      </c>
      <c r="L15" s="1085"/>
      <c r="M15" s="1073"/>
      <c r="N15" s="1073"/>
      <c r="O15" s="1073"/>
      <c r="P15" s="3481" t="s">
        <v>953</v>
      </c>
      <c r="Q15" s="681" t="str">
        <f t="shared" si="6"/>
        <v>办公集聚程度</v>
      </c>
      <c r="R15" s="1121" t="s">
        <v>937</v>
      </c>
      <c r="S15" s="1122">
        <f t="shared" si="0"/>
        <v>105</v>
      </c>
      <c r="T15" s="1121" t="s">
        <v>937</v>
      </c>
      <c r="U15" s="1122">
        <f t="shared" si="1"/>
        <v>105</v>
      </c>
      <c r="V15" s="1121" t="s">
        <v>937</v>
      </c>
      <c r="W15" s="1122">
        <f t="shared" si="2"/>
        <v>105</v>
      </c>
      <c r="X15" s="1115"/>
      <c r="Y15" s="3486" t="s">
        <v>953</v>
      </c>
      <c r="Z15" s="1105" t="str">
        <f t="shared" si="7"/>
        <v>办公集聚程度</v>
      </c>
      <c r="AA15" s="1132">
        <f t="shared" si="3"/>
        <v>0.952380952380952</v>
      </c>
      <c r="AB15" s="1132">
        <f t="shared" si="4"/>
        <v>0.952380952380952</v>
      </c>
      <c r="AC15" s="2222">
        <f t="shared" si="5"/>
        <v>0.952380952380952</v>
      </c>
    </row>
    <row r="16" spans="1:29" ht="15">
      <c r="A16" s="946"/>
      <c r="B16" s="965"/>
      <c r="C16" s="968" t="s">
        <v>954</v>
      </c>
      <c r="D16" s="967"/>
      <c r="E16" s="966" t="s">
        <v>955</v>
      </c>
      <c r="F16" s="967"/>
      <c r="G16" s="968" t="s">
        <v>955</v>
      </c>
      <c r="H16" s="969"/>
      <c r="I16" s="966" t="s">
        <v>955</v>
      </c>
      <c r="J16" s="967"/>
      <c r="K16" s="1345"/>
      <c r="L16" s="1085"/>
      <c r="M16" s="1073"/>
      <c r="N16" s="1073"/>
      <c r="O16" s="1073"/>
      <c r="P16" s="3482"/>
      <c r="Q16" s="681"/>
      <c r="R16" s="1121"/>
      <c r="S16" s="1122"/>
      <c r="T16" s="1121"/>
      <c r="U16" s="1122"/>
      <c r="V16" s="1121"/>
      <c r="W16" s="1122"/>
      <c r="X16" s="1115"/>
      <c r="Y16" s="3487"/>
      <c r="Z16" s="1105"/>
      <c r="AA16" s="1132">
        <v>1</v>
      </c>
      <c r="AB16" s="1132">
        <v>1</v>
      </c>
      <c r="AC16" s="2222">
        <v>1</v>
      </c>
    </row>
    <row r="17" spans="1:29" ht="82.8">
      <c r="A17" s="946"/>
      <c r="B17" s="970" t="s">
        <v>956</v>
      </c>
      <c r="C17" s="2216"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v>3</v>
      </c>
      <c r="L17" s="1085"/>
      <c r="M17" s="1073"/>
      <c r="N17" s="1073"/>
      <c r="O17" s="1073"/>
      <c r="P17" s="3482"/>
      <c r="Q17" s="681" t="str">
        <f>B17</f>
        <v>交通便捷度</v>
      </c>
      <c r="R17" s="1121" t="s">
        <v>937</v>
      </c>
      <c r="S17" s="1122">
        <f>F17</f>
        <v>100</v>
      </c>
      <c r="T17" s="1121" t="s">
        <v>937</v>
      </c>
      <c r="U17" s="1122">
        <f>H17</f>
        <v>100</v>
      </c>
      <c r="V17" s="1121" t="s">
        <v>937</v>
      </c>
      <c r="W17" s="1122">
        <f>J17</f>
        <v>100</v>
      </c>
      <c r="X17" s="1115"/>
      <c r="Y17" s="3487"/>
      <c r="Z17" s="1105" t="str">
        <f>Q17</f>
        <v>交通便捷度</v>
      </c>
      <c r="AA17" s="1132">
        <f t="shared" si="3"/>
        <v>1</v>
      </c>
      <c r="AB17" s="1132">
        <f t="shared" si="4"/>
        <v>1</v>
      </c>
      <c r="AC17" s="2222">
        <f t="shared" si="5"/>
        <v>1</v>
      </c>
    </row>
    <row r="18" spans="1:29" ht="15">
      <c r="A18" s="946"/>
      <c r="B18" s="974"/>
      <c r="C18" s="2217" t="s">
        <v>955</v>
      </c>
      <c r="D18" s="969"/>
      <c r="E18" s="2217" t="s">
        <v>955</v>
      </c>
      <c r="F18" s="969"/>
      <c r="G18" s="2217" t="s">
        <v>955</v>
      </c>
      <c r="H18" s="967"/>
      <c r="I18" s="2217" t="s">
        <v>955</v>
      </c>
      <c r="J18" s="967"/>
      <c r="K18" s="1345"/>
      <c r="L18" s="1085"/>
      <c r="M18" s="1073"/>
      <c r="N18" s="1073"/>
      <c r="O18" s="1073"/>
      <c r="P18" s="3482"/>
      <c r="Q18" s="681"/>
      <c r="R18" s="1121"/>
      <c r="S18" s="1122"/>
      <c r="T18" s="1121"/>
      <c r="U18" s="1122"/>
      <c r="V18" s="1121"/>
      <c r="W18" s="1122"/>
      <c r="X18" s="1115"/>
      <c r="Y18" s="3487"/>
      <c r="Z18" s="1105"/>
      <c r="AA18" s="1132">
        <v>1</v>
      </c>
      <c r="AB18" s="1132">
        <v>1</v>
      </c>
      <c r="AC18" s="2222">
        <v>1</v>
      </c>
    </row>
    <row r="19" spans="1:29" ht="41.4">
      <c r="A19" s="946"/>
      <c r="B19" s="970" t="s">
        <v>957</v>
      </c>
      <c r="C19" s="2216"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v>3</v>
      </c>
      <c r="L19" s="1085"/>
      <c r="M19" s="1073"/>
      <c r="N19" s="1073"/>
      <c r="O19" s="1073"/>
      <c r="P19" s="3482"/>
      <c r="Q19" s="681" t="str">
        <f>B19</f>
        <v>公共配套设施</v>
      </c>
      <c r="R19" s="1121" t="s">
        <v>937</v>
      </c>
      <c r="S19" s="1122">
        <f>F19</f>
        <v>100</v>
      </c>
      <c r="T19" s="1121" t="s">
        <v>937</v>
      </c>
      <c r="U19" s="1122">
        <f>H19</f>
        <v>100</v>
      </c>
      <c r="V19" s="1121" t="s">
        <v>937</v>
      </c>
      <c r="W19" s="1122">
        <f>J19</f>
        <v>100</v>
      </c>
      <c r="X19" s="1115"/>
      <c r="Y19" s="3487"/>
      <c r="Z19" s="1105" t="str">
        <f>Q19</f>
        <v>公共配套设施</v>
      </c>
      <c r="AA19" s="1132">
        <f t="shared" si="3"/>
        <v>1</v>
      </c>
      <c r="AB19" s="1132">
        <f t="shared" si="4"/>
        <v>1</v>
      </c>
      <c r="AC19" s="2222">
        <f t="shared" si="5"/>
        <v>1</v>
      </c>
    </row>
    <row r="20" spans="1:29" ht="15">
      <c r="A20" s="946"/>
      <c r="B20" s="974"/>
      <c r="C20" s="968" t="s">
        <v>955</v>
      </c>
      <c r="D20" s="967"/>
      <c r="E20" s="968" t="s">
        <v>955</v>
      </c>
      <c r="F20" s="967"/>
      <c r="G20" s="968" t="s">
        <v>955</v>
      </c>
      <c r="H20" s="967"/>
      <c r="I20" s="968" t="s">
        <v>955</v>
      </c>
      <c r="J20" s="967"/>
      <c r="K20" s="1345"/>
      <c r="L20" s="1085"/>
      <c r="M20" s="1073"/>
      <c r="N20" s="1073"/>
      <c r="O20" s="1073"/>
      <c r="P20" s="3482"/>
      <c r="Q20" s="681"/>
      <c r="R20" s="1121"/>
      <c r="S20" s="1122"/>
      <c r="T20" s="1121"/>
      <c r="U20" s="1122"/>
      <c r="V20" s="1121"/>
      <c r="W20" s="1122"/>
      <c r="X20" s="1115"/>
      <c r="Y20" s="3487"/>
      <c r="Z20" s="1105"/>
      <c r="AA20" s="1132">
        <v>1</v>
      </c>
      <c r="AB20" s="1132">
        <v>1</v>
      </c>
      <c r="AC20" s="2222">
        <v>1</v>
      </c>
    </row>
    <row r="21" spans="1:29" ht="27.6">
      <c r="A21" s="946"/>
      <c r="B21" s="977" t="s">
        <v>958</v>
      </c>
      <c r="C21" s="2216"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v>1</v>
      </c>
      <c r="L21" s="1085"/>
      <c r="M21" s="1073"/>
      <c r="N21" s="1073"/>
      <c r="O21" s="1073"/>
      <c r="P21" s="3482"/>
      <c r="Q21" s="681" t="str">
        <f>B21</f>
        <v>基础设施水平</v>
      </c>
      <c r="R21" s="1121" t="s">
        <v>937</v>
      </c>
      <c r="S21" s="1122">
        <f>F21</f>
        <v>100</v>
      </c>
      <c r="T21" s="1121" t="s">
        <v>937</v>
      </c>
      <c r="U21" s="1122">
        <f>H21</f>
        <v>100</v>
      </c>
      <c r="V21" s="1121" t="s">
        <v>937</v>
      </c>
      <c r="W21" s="1122">
        <f>J21</f>
        <v>100</v>
      </c>
      <c r="X21" s="1115"/>
      <c r="Y21" s="3487"/>
      <c r="Z21" s="1105" t="str">
        <f>Q21</f>
        <v>基础设施水平</v>
      </c>
      <c r="AA21" s="1132">
        <f t="shared" ref="AA21" si="8">D21/F21</f>
        <v>1</v>
      </c>
      <c r="AB21" s="1132">
        <f t="shared" ref="AB21" si="9">D21/H21</f>
        <v>1</v>
      </c>
      <c r="AC21" s="2222">
        <f t="shared" ref="AC21" si="10">D21/J21</f>
        <v>1</v>
      </c>
    </row>
    <row r="22" spans="1:29" ht="15">
      <c r="A22" s="946"/>
      <c r="B22" s="977"/>
      <c r="C22" s="2217" t="s">
        <v>236</v>
      </c>
      <c r="D22" s="967"/>
      <c r="E22" s="2217" t="s">
        <v>236</v>
      </c>
      <c r="F22" s="967"/>
      <c r="G22" s="2217" t="s">
        <v>236</v>
      </c>
      <c r="H22" s="967"/>
      <c r="I22" s="2217" t="s">
        <v>236</v>
      </c>
      <c r="J22" s="967"/>
      <c r="K22" s="1346"/>
      <c r="L22" s="1085"/>
      <c r="M22" s="1073"/>
      <c r="N22" s="1073"/>
      <c r="O22" s="1073"/>
      <c r="P22" s="3482"/>
      <c r="Q22" s="681"/>
      <c r="R22" s="1121"/>
      <c r="S22" s="1122"/>
      <c r="T22" s="1121"/>
      <c r="U22" s="1122"/>
      <c r="V22" s="1121"/>
      <c r="W22" s="1122"/>
      <c r="X22" s="1115"/>
      <c r="Y22" s="3487"/>
      <c r="Z22" s="1105"/>
      <c r="AA22" s="1132">
        <v>1</v>
      </c>
      <c r="AB22" s="1132">
        <v>1</v>
      </c>
      <c r="AC22" s="2222">
        <v>1</v>
      </c>
    </row>
    <row r="23" spans="1:29" ht="55.2">
      <c r="A23" s="946"/>
      <c r="B23" s="970" t="s">
        <v>959</v>
      </c>
      <c r="C23" s="2216"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v>2</v>
      </c>
      <c r="L23" s="1085"/>
      <c r="M23" s="1073"/>
      <c r="N23" s="1073"/>
      <c r="O23" s="1073"/>
      <c r="P23" s="3482"/>
      <c r="Q23" s="681" t="str">
        <f>B23</f>
        <v>环境质量</v>
      </c>
      <c r="R23" s="1121" t="s">
        <v>937</v>
      </c>
      <c r="S23" s="1122">
        <f>F23</f>
        <v>100</v>
      </c>
      <c r="T23" s="1121" t="s">
        <v>937</v>
      </c>
      <c r="U23" s="1122">
        <f>H23</f>
        <v>100</v>
      </c>
      <c r="V23" s="1121" t="s">
        <v>937</v>
      </c>
      <c r="W23" s="1122">
        <f>J23</f>
        <v>100</v>
      </c>
      <c r="X23" s="1115"/>
      <c r="Y23" s="3487"/>
      <c r="Z23" s="1105" t="str">
        <f>Q23</f>
        <v>环境质量</v>
      </c>
      <c r="AA23" s="1132">
        <f t="shared" si="3"/>
        <v>1</v>
      </c>
      <c r="AB23" s="1132">
        <f t="shared" si="4"/>
        <v>1</v>
      </c>
      <c r="AC23" s="2222">
        <f t="shared" si="5"/>
        <v>1</v>
      </c>
    </row>
    <row r="24" spans="1:29" ht="15">
      <c r="A24" s="946"/>
      <c r="B24" s="977"/>
      <c r="C24" s="968" t="s">
        <v>955</v>
      </c>
      <c r="D24" s="967"/>
      <c r="E24" s="1088" t="s">
        <v>955</v>
      </c>
      <c r="F24" s="967"/>
      <c r="G24" s="975" t="s">
        <v>955</v>
      </c>
      <c r="H24" s="967"/>
      <c r="I24" s="975" t="s">
        <v>955</v>
      </c>
      <c r="J24" s="967"/>
      <c r="K24" s="1345"/>
      <c r="L24" s="1085"/>
      <c r="M24" s="1073"/>
      <c r="N24" s="1073"/>
      <c r="O24" s="1073"/>
      <c r="P24" s="3482"/>
      <c r="Q24" s="681"/>
      <c r="R24" s="1121"/>
      <c r="S24" s="1122"/>
      <c r="T24" s="1121"/>
      <c r="U24" s="1122"/>
      <c r="V24" s="1121"/>
      <c r="W24" s="1122"/>
      <c r="X24" s="1115"/>
      <c r="Y24" s="3487"/>
      <c r="Z24" s="1105"/>
      <c r="AA24" s="1132">
        <v>1</v>
      </c>
      <c r="AB24" s="1132">
        <v>1</v>
      </c>
      <c r="AC24" s="2222">
        <v>1</v>
      </c>
    </row>
    <row r="25" spans="1:29" ht="28.8">
      <c r="A25" s="926"/>
      <c r="B25" s="970" t="s">
        <v>960</v>
      </c>
      <c r="C25" s="1495"/>
      <c r="D25" s="955">
        <v>100</v>
      </c>
      <c r="E25" s="954"/>
      <c r="F25" s="955">
        <f>SUMIF(87:87,E26,88:88)-SUMIF(87:87,C26,88:88)+100</f>
        <v>100</v>
      </c>
      <c r="G25" s="1495"/>
      <c r="H25" s="955">
        <f>SUMIF(87:87,G26,88:88)-SUMIF(87:87,C26,88:88)+100</f>
        <v>100</v>
      </c>
      <c r="I25" s="954"/>
      <c r="J25" s="955">
        <f>SUMIF(87:87,I26,88:88)-SUMIF(87:87,C26,88:88)+100</f>
        <v>100</v>
      </c>
      <c r="K25" s="1344"/>
      <c r="L25" s="1085"/>
      <c r="M25" s="1073"/>
      <c r="N25" s="1073"/>
      <c r="O25" s="1073"/>
      <c r="P25" s="3482"/>
      <c r="Q25" s="681" t="str">
        <f>B25</f>
        <v>毗邻道路的类型与等级</v>
      </c>
      <c r="R25" s="1121" t="s">
        <v>937</v>
      </c>
      <c r="S25" s="1122">
        <f>F25</f>
        <v>100</v>
      </c>
      <c r="T25" s="1121" t="s">
        <v>937</v>
      </c>
      <c r="U25" s="1122">
        <f>H25</f>
        <v>100</v>
      </c>
      <c r="V25" s="1121" t="s">
        <v>937</v>
      </c>
      <c r="W25" s="1122">
        <f>J25</f>
        <v>100</v>
      </c>
      <c r="X25" s="1115"/>
      <c r="Y25" s="3487"/>
      <c r="Z25" s="1105" t="str">
        <f>Q25</f>
        <v>毗邻道路的类型与等级</v>
      </c>
      <c r="AA25" s="1132">
        <f t="shared" si="3"/>
        <v>1</v>
      </c>
      <c r="AB25" s="1132">
        <f t="shared" si="4"/>
        <v>1</v>
      </c>
      <c r="AC25" s="2222">
        <f t="shared" si="5"/>
        <v>1</v>
      </c>
    </row>
    <row r="26" spans="1:29" ht="15">
      <c r="A26" s="926"/>
      <c r="B26" s="974"/>
      <c r="C26" s="981"/>
      <c r="D26" s="955"/>
      <c r="E26" s="980"/>
      <c r="F26" s="955"/>
      <c r="G26" s="981"/>
      <c r="H26" s="955"/>
      <c r="I26" s="980"/>
      <c r="J26" s="955"/>
      <c r="K26" s="1345"/>
      <c r="L26" s="1085"/>
      <c r="M26" s="1073"/>
      <c r="N26" s="1073"/>
      <c r="O26" s="1073"/>
      <c r="P26" s="3482"/>
      <c r="Q26" s="681"/>
      <c r="R26" s="1121"/>
      <c r="S26" s="1122"/>
      <c r="T26" s="1121"/>
      <c r="U26" s="1122"/>
      <c r="V26" s="1121"/>
      <c r="W26" s="1122"/>
      <c r="X26" s="1115"/>
      <c r="Y26" s="3487"/>
      <c r="Z26" s="1105"/>
      <c r="AA26" s="1132">
        <v>1</v>
      </c>
      <c r="AB26" s="1132">
        <v>1</v>
      </c>
      <c r="AC26" s="2222">
        <v>1</v>
      </c>
    </row>
    <row r="27" spans="1:29" ht="15">
      <c r="A27" s="946"/>
      <c r="B27" s="974" t="s">
        <v>961</v>
      </c>
      <c r="C27" s="981" t="s">
        <v>962</v>
      </c>
      <c r="D27" s="955">
        <v>100</v>
      </c>
      <c r="E27" s="980" t="s">
        <v>1014</v>
      </c>
      <c r="F27" s="955">
        <f>SUMIF(89:89,E27,90:90)-SUMIF(89:89,C27,90:90)+100</f>
        <v>103</v>
      </c>
      <c r="G27" s="981" t="s">
        <v>963</v>
      </c>
      <c r="H27" s="955">
        <f>SUMIF(89:89,G27,90:90)-SUMIF(89:89,C27,90:90)+100</f>
        <v>97</v>
      </c>
      <c r="I27" s="980" t="s">
        <v>1014</v>
      </c>
      <c r="J27" s="955">
        <f>SUMIF(89:89,I27,90:90)-SUMIF(89:89,C27,90:90)+100</f>
        <v>103</v>
      </c>
      <c r="K27" s="1091">
        <v>3</v>
      </c>
      <c r="L27" s="1085"/>
      <c r="M27" s="1073"/>
      <c r="N27" s="1073"/>
      <c r="O27" s="1073"/>
      <c r="P27" s="3482"/>
      <c r="Q27" s="681" t="str">
        <f t="shared" ref="Q27:Q47" si="11">B27</f>
        <v>楼层</v>
      </c>
      <c r="R27" s="1121" t="s">
        <v>937</v>
      </c>
      <c r="S27" s="1122">
        <f>F27</f>
        <v>103</v>
      </c>
      <c r="T27" s="1121" t="s">
        <v>937</v>
      </c>
      <c r="U27" s="1122">
        <f>H27</f>
        <v>97</v>
      </c>
      <c r="V27" s="1121" t="s">
        <v>937</v>
      </c>
      <c r="W27" s="1122">
        <f>J27</f>
        <v>103</v>
      </c>
      <c r="X27" s="1115"/>
      <c r="Y27" s="3487"/>
      <c r="Z27" s="1105" t="str">
        <f>Q27</f>
        <v>楼层</v>
      </c>
      <c r="AA27" s="1132">
        <f t="shared" si="3"/>
        <v>0.970873786407767</v>
      </c>
      <c r="AB27" s="1132">
        <f t="shared" si="4"/>
        <v>1.0309278350515463</v>
      </c>
      <c r="AC27" s="2222">
        <f t="shared" si="5"/>
        <v>0.970873786407767</v>
      </c>
    </row>
    <row r="28" spans="1:29" s="905" customFormat="1" ht="15">
      <c r="A28" s="949"/>
      <c r="B28" s="970" t="s">
        <v>964</v>
      </c>
      <c r="C28" s="2218"/>
      <c r="D28" s="1421">
        <v>100</v>
      </c>
      <c r="E28" s="1466"/>
      <c r="F28" s="1421">
        <f>SUMIF(91:91,E28,92:92)-SUMIF(91:91,C28,92:92)+100</f>
        <v>100</v>
      </c>
      <c r="G28" s="2218"/>
      <c r="H28" s="1421">
        <f>SUMIF(91:91,G28,92:92)-SUMIF(91:91,C28,92:92)+100</f>
        <v>100</v>
      </c>
      <c r="I28" s="1466"/>
      <c r="J28" s="1421">
        <f>SUMIF(91:91,I28,92:92)-SUMIF(91:91,C28,92:92)+100</f>
        <v>100</v>
      </c>
      <c r="K28" s="1091"/>
      <c r="L28" s="1075"/>
      <c r="M28" s="1076"/>
      <c r="N28" s="1076"/>
      <c r="O28" s="1076"/>
      <c r="P28" s="3482"/>
      <c r="Q28" s="1120" t="str">
        <f t="shared" si="11"/>
        <v>朝向</v>
      </c>
      <c r="R28" s="1116" t="s">
        <v>937</v>
      </c>
      <c r="S28" s="1117">
        <f>F28</f>
        <v>100</v>
      </c>
      <c r="T28" s="1116" t="s">
        <v>937</v>
      </c>
      <c r="U28" s="1117">
        <f>H28</f>
        <v>100</v>
      </c>
      <c r="V28" s="1116" t="s">
        <v>937</v>
      </c>
      <c r="W28" s="1117">
        <f>J28</f>
        <v>100</v>
      </c>
      <c r="X28" s="1118"/>
      <c r="Y28" s="3487"/>
      <c r="Z28" s="1131" t="str">
        <f>Q28</f>
        <v>朝向</v>
      </c>
      <c r="AA28" s="1132">
        <f t="shared" si="3"/>
        <v>1</v>
      </c>
      <c r="AB28" s="1132">
        <f t="shared" si="4"/>
        <v>1</v>
      </c>
      <c r="AC28" s="2222">
        <f t="shared" si="5"/>
        <v>1</v>
      </c>
    </row>
    <row r="29" spans="1:29" ht="15">
      <c r="A29" s="946"/>
      <c r="B29" s="985">
        <v>111</v>
      </c>
      <c r="C29" s="1495"/>
      <c r="D29" s="955">
        <v>100</v>
      </c>
      <c r="E29" s="944"/>
      <c r="F29" s="955">
        <f>SUMIF(93:93,E29,94:94)-SUMIF(93:93,C29,94:94)+100</f>
        <v>100</v>
      </c>
      <c r="G29" s="2214"/>
      <c r="H29" s="955">
        <f>SUMIF(93:93,G29,94:94)-SUMIF(93:93,C29,94:94)+100</f>
        <v>100</v>
      </c>
      <c r="I29" s="944"/>
      <c r="J29" s="955">
        <f>SUMIF(93:93,I29,94:94)-SUMIF(93:93,C29,94:94)+100</f>
        <v>100</v>
      </c>
      <c r="K29" s="1090"/>
      <c r="L29" s="1085"/>
      <c r="M29" s="1073"/>
      <c r="N29" s="1073"/>
      <c r="O29" s="1073"/>
      <c r="P29" s="3482"/>
      <c r="Q29" s="681">
        <f t="shared" si="11"/>
        <v>111</v>
      </c>
      <c r="R29" s="1121" t="s">
        <v>937</v>
      </c>
      <c r="S29" s="1122">
        <f t="shared" ref="S29:S47" si="12">F29</f>
        <v>100</v>
      </c>
      <c r="T29" s="1121" t="s">
        <v>937</v>
      </c>
      <c r="U29" s="1122">
        <f t="shared" ref="U29:U47" si="13">H29</f>
        <v>100</v>
      </c>
      <c r="V29" s="1121" t="s">
        <v>937</v>
      </c>
      <c r="W29" s="1122">
        <f t="shared" ref="W29:W47" si="14">J29</f>
        <v>100</v>
      </c>
      <c r="X29" s="1115"/>
      <c r="Y29" s="3487"/>
      <c r="Z29" s="1105">
        <f t="shared" ref="Z29:Z47" si="15">Q29</f>
        <v>111</v>
      </c>
      <c r="AA29" s="1132">
        <f t="shared" si="3"/>
        <v>1</v>
      </c>
      <c r="AB29" s="1132">
        <f t="shared" si="4"/>
        <v>1</v>
      </c>
      <c r="AC29" s="2222">
        <f t="shared" si="5"/>
        <v>1</v>
      </c>
    </row>
    <row r="30" spans="1:29" ht="15">
      <c r="A30" s="946"/>
      <c r="B30" s="985">
        <v>111</v>
      </c>
      <c r="C30" s="1495"/>
      <c r="D30" s="955">
        <v>100</v>
      </c>
      <c r="E30" s="944"/>
      <c r="F30" s="955">
        <f>SUMIF(95:95,E30,96:96)-SUMIF(95:95,C30,96:96)+100</f>
        <v>100</v>
      </c>
      <c r="G30" s="2214"/>
      <c r="H30" s="955">
        <f>SUMIF(95:95,G30,96:96)-SUMIF(95:95,C30,96:96)+100</f>
        <v>100</v>
      </c>
      <c r="I30" s="944"/>
      <c r="J30" s="955">
        <f>SUMIF(95:95,I30,96:96)-SUMIF(95:95,C30,96:96)+100</f>
        <v>100</v>
      </c>
      <c r="K30" s="1090"/>
      <c r="L30" s="1085"/>
      <c r="M30" s="1073"/>
      <c r="N30" s="1073"/>
      <c r="O30" s="1073"/>
      <c r="P30" s="3482"/>
      <c r="Q30" s="681">
        <f t="shared" si="11"/>
        <v>111</v>
      </c>
      <c r="R30" s="1121" t="s">
        <v>937</v>
      </c>
      <c r="S30" s="1122">
        <f t="shared" si="12"/>
        <v>100</v>
      </c>
      <c r="T30" s="1121" t="s">
        <v>937</v>
      </c>
      <c r="U30" s="1122">
        <f t="shared" si="13"/>
        <v>100</v>
      </c>
      <c r="V30" s="1121" t="s">
        <v>937</v>
      </c>
      <c r="W30" s="1122">
        <f t="shared" si="14"/>
        <v>100</v>
      </c>
      <c r="X30" s="1115"/>
      <c r="Y30" s="3487"/>
      <c r="Z30" s="1105">
        <f t="shared" si="15"/>
        <v>111</v>
      </c>
      <c r="AA30" s="1132">
        <f t="shared" si="3"/>
        <v>1</v>
      </c>
      <c r="AB30" s="1132">
        <f t="shared" si="4"/>
        <v>1</v>
      </c>
      <c r="AC30" s="2222">
        <f t="shared" si="5"/>
        <v>1</v>
      </c>
    </row>
    <row r="31" spans="1:29" ht="15">
      <c r="A31" s="946"/>
      <c r="B31" s="985">
        <v>111</v>
      </c>
      <c r="C31" s="1495"/>
      <c r="D31" s="955">
        <v>100</v>
      </c>
      <c r="E31" s="944"/>
      <c r="F31" s="955">
        <f>SUMIF(97:97,E31,98:98)-SUMIF(97:97,C31,98:98)+100</f>
        <v>100</v>
      </c>
      <c r="G31" s="2214"/>
      <c r="H31" s="955">
        <f>SUMIF(97:97,G31,98:98)-SUMIF(97:97,C31,98:98)+100</f>
        <v>100</v>
      </c>
      <c r="I31" s="944"/>
      <c r="J31" s="955">
        <f>SUMIF(97:97,I31,98:98)-SUMIF(97:97,C31,98:98)+100</f>
        <v>100</v>
      </c>
      <c r="K31" s="1090"/>
      <c r="L31" s="1085"/>
      <c r="M31" s="1073"/>
      <c r="N31" s="1073"/>
      <c r="O31" s="1073"/>
      <c r="P31" s="3482"/>
      <c r="Q31" s="681">
        <f t="shared" si="11"/>
        <v>111</v>
      </c>
      <c r="R31" s="1121" t="s">
        <v>937</v>
      </c>
      <c r="S31" s="1122">
        <f t="shared" si="12"/>
        <v>100</v>
      </c>
      <c r="T31" s="1121" t="s">
        <v>937</v>
      </c>
      <c r="U31" s="1122">
        <f t="shared" si="13"/>
        <v>100</v>
      </c>
      <c r="V31" s="1121" t="s">
        <v>937</v>
      </c>
      <c r="W31" s="1122">
        <f t="shared" si="14"/>
        <v>100</v>
      </c>
      <c r="X31" s="1115"/>
      <c r="Y31" s="3487"/>
      <c r="Z31" s="1105">
        <f t="shared" si="15"/>
        <v>111</v>
      </c>
      <c r="AA31" s="1132">
        <f t="shared" si="3"/>
        <v>1</v>
      </c>
      <c r="AB31" s="1132">
        <f t="shared" si="4"/>
        <v>1</v>
      </c>
      <c r="AC31" s="2222">
        <f t="shared" si="5"/>
        <v>1</v>
      </c>
    </row>
    <row r="32" spans="1:29" ht="15">
      <c r="A32" s="956"/>
      <c r="B32" s="1377">
        <v>111</v>
      </c>
      <c r="C32" s="1496"/>
      <c r="D32" s="959">
        <v>100</v>
      </c>
      <c r="E32" s="1379"/>
      <c r="F32" s="959">
        <f>SUMIF(99:99,E32,100:100)-SUMIF(99:99,C32,100:100)+100</f>
        <v>100</v>
      </c>
      <c r="G32" s="2214"/>
      <c r="H32" s="959">
        <f>SUMIF(99:99,G32,100:100)-SUMIF(99:99,C32,100:100)+100</f>
        <v>100</v>
      </c>
      <c r="I32" s="944"/>
      <c r="J32" s="959">
        <f>SUMIF(99:99,I32,100:100)-SUMIF(99:99,C32,100:100)+100</f>
        <v>100</v>
      </c>
      <c r="K32" s="1090"/>
      <c r="L32" s="1085"/>
      <c r="M32" s="1073"/>
      <c r="N32" s="1073"/>
      <c r="O32" s="1073"/>
      <c r="P32" s="3482"/>
      <c r="Q32" s="681">
        <f t="shared" si="11"/>
        <v>111</v>
      </c>
      <c r="R32" s="1121" t="s">
        <v>937</v>
      </c>
      <c r="S32" s="1122">
        <f t="shared" si="12"/>
        <v>100</v>
      </c>
      <c r="T32" s="1121" t="s">
        <v>937</v>
      </c>
      <c r="U32" s="1122">
        <f t="shared" si="13"/>
        <v>100</v>
      </c>
      <c r="V32" s="1121" t="s">
        <v>937</v>
      </c>
      <c r="W32" s="1122">
        <f t="shared" si="14"/>
        <v>100</v>
      </c>
      <c r="X32" s="1115"/>
      <c r="Y32" s="3487"/>
      <c r="Z32" s="1105">
        <f t="shared" si="15"/>
        <v>111</v>
      </c>
      <c r="AA32" s="1132">
        <f t="shared" si="3"/>
        <v>1</v>
      </c>
      <c r="AB32" s="1132">
        <f t="shared" si="4"/>
        <v>1</v>
      </c>
      <c r="AC32" s="2222">
        <f t="shared" si="5"/>
        <v>1</v>
      </c>
    </row>
    <row r="33" spans="1:29" ht="15">
      <c r="A33" s="960" t="s">
        <v>965</v>
      </c>
      <c r="B33" s="939" t="s">
        <v>966</v>
      </c>
      <c r="C33" s="1314" t="s">
        <v>967</v>
      </c>
      <c r="D33" s="996">
        <v>100</v>
      </c>
      <c r="E33" s="1314" t="s">
        <v>967</v>
      </c>
      <c r="F33" s="1309">
        <f>SUMIF(101:101,E33,102:102)-SUMIF(101:101,C33,102:102)+100</f>
        <v>100</v>
      </c>
      <c r="G33" s="1314" t="s">
        <v>967</v>
      </c>
      <c r="H33" s="955">
        <f>SUMIF(101:101,G33,102:102)-SUMIF(101:101,C33,102:102)+100</f>
        <v>100</v>
      </c>
      <c r="I33" s="1314" t="s">
        <v>967</v>
      </c>
      <c r="J33" s="996">
        <f>SUMIF(101:101,I33,102:102)-SUMIF(101:101,C33,102:102)+100</f>
        <v>100</v>
      </c>
      <c r="K33" s="1091">
        <v>2</v>
      </c>
      <c r="L33" s="1085"/>
      <c r="M33" s="1073"/>
      <c r="N33" s="1073"/>
      <c r="O33" s="1073"/>
      <c r="P33" s="3483" t="s">
        <v>968</v>
      </c>
      <c r="Q33" s="681" t="str">
        <f t="shared" si="11"/>
        <v>建筑类型</v>
      </c>
      <c r="R33" s="1121" t="s">
        <v>937</v>
      </c>
      <c r="S33" s="1122">
        <f t="shared" si="12"/>
        <v>100</v>
      </c>
      <c r="T33" s="1121" t="s">
        <v>937</v>
      </c>
      <c r="U33" s="1122">
        <f t="shared" si="13"/>
        <v>100</v>
      </c>
      <c r="V33" s="1121" t="s">
        <v>937</v>
      </c>
      <c r="W33" s="1122">
        <f t="shared" si="14"/>
        <v>100</v>
      </c>
      <c r="X33" s="1115"/>
      <c r="Y33" s="3488" t="s">
        <v>968</v>
      </c>
      <c r="Z33" s="1105" t="str">
        <f t="shared" si="15"/>
        <v>建筑类型</v>
      </c>
      <c r="AA33" s="1132">
        <f t="shared" si="3"/>
        <v>1</v>
      </c>
      <c r="AB33" s="1132">
        <f t="shared" si="4"/>
        <v>1</v>
      </c>
      <c r="AC33" s="2222">
        <f t="shared" si="5"/>
        <v>1</v>
      </c>
    </row>
    <row r="34" spans="1:29" s="907" customFormat="1" ht="15">
      <c r="A34" s="1002"/>
      <c r="B34" s="943" t="s">
        <v>969</v>
      </c>
      <c r="C34" s="1303">
        <f>'数据-基础表'!I13</f>
        <v>5858.09</v>
      </c>
      <c r="D34" s="945">
        <v>100</v>
      </c>
      <c r="E34" s="948">
        <v>1250</v>
      </c>
      <c r="F34" s="1302">
        <f>LOOKUP(E34,104:104,105:105)-LOOKUP(C34,104:104,105:105)+100</f>
        <v>102</v>
      </c>
      <c r="G34" s="947">
        <v>1142</v>
      </c>
      <c r="H34" s="945">
        <f>LOOKUP(G34,104:104,105:105)-LOOKUP(C34,104:104,105:105)+100</f>
        <v>102</v>
      </c>
      <c r="I34" s="947">
        <v>800</v>
      </c>
      <c r="J34" s="945">
        <f>LOOKUP(I34,104:104,105:105)-LOOKUP(C34,104:104,105:105)+100</f>
        <v>101</v>
      </c>
      <c r="K34" s="1090"/>
      <c r="L34" s="1083"/>
      <c r="M34" s="1092"/>
      <c r="N34" s="1092"/>
      <c r="O34" s="1092"/>
      <c r="P34" s="3484"/>
      <c r="Q34" s="1348" t="str">
        <f t="shared" si="11"/>
        <v>项目建筑规模</v>
      </c>
      <c r="R34" s="1123" t="s">
        <v>937</v>
      </c>
      <c r="S34" s="1124">
        <f t="shared" si="12"/>
        <v>102</v>
      </c>
      <c r="T34" s="1123" t="s">
        <v>937</v>
      </c>
      <c r="U34" s="1124">
        <f t="shared" si="13"/>
        <v>102</v>
      </c>
      <c r="V34" s="1123" t="s">
        <v>937</v>
      </c>
      <c r="W34" s="1124">
        <f t="shared" si="14"/>
        <v>101</v>
      </c>
      <c r="X34" s="1125"/>
      <c r="Y34" s="3488"/>
      <c r="Z34" s="1133" t="str">
        <f t="shared" si="15"/>
        <v>项目建筑规模</v>
      </c>
      <c r="AA34" s="1132">
        <f t="shared" si="3"/>
        <v>0.98039215686274506</v>
      </c>
      <c r="AB34" s="1132">
        <f t="shared" si="4"/>
        <v>0.98039215686274495</v>
      </c>
      <c r="AC34" s="2222">
        <f t="shared" si="5"/>
        <v>0.99009900990099009</v>
      </c>
    </row>
    <row r="35" spans="1:29" ht="15">
      <c r="A35" s="997"/>
      <c r="B35" s="943" t="s">
        <v>970</v>
      </c>
      <c r="C35" s="1319" t="s">
        <v>971</v>
      </c>
      <c r="D35" s="955">
        <v>100</v>
      </c>
      <c r="E35" s="1319" t="s">
        <v>971</v>
      </c>
      <c r="F35" s="1309">
        <f>SUMIF(106:106,E35,107:107)-SUMIF(106:106,C35,107:107)+100</f>
        <v>100</v>
      </c>
      <c r="G35" s="1319" t="s">
        <v>971</v>
      </c>
      <c r="H35" s="955">
        <f>SUMIF(106:106,G35,107:107)-SUMIF(106:106,C35,107:107)+100</f>
        <v>100</v>
      </c>
      <c r="I35" s="1319" t="s">
        <v>971</v>
      </c>
      <c r="J35" s="955">
        <f>SUMIF(106:106,I35,107:107)-SUMIF(106:106,C35,107:107)+100</f>
        <v>100</v>
      </c>
      <c r="K35" s="1091">
        <v>2</v>
      </c>
      <c r="L35" s="1085"/>
      <c r="M35" s="1073"/>
      <c r="N35" s="1073"/>
      <c r="O35" s="1073"/>
      <c r="P35" s="3484"/>
      <c r="Q35" s="681" t="str">
        <f t="shared" si="11"/>
        <v>建筑结构</v>
      </c>
      <c r="R35" s="1121" t="s">
        <v>937</v>
      </c>
      <c r="S35" s="1122">
        <f t="shared" si="12"/>
        <v>100</v>
      </c>
      <c r="T35" s="1121" t="s">
        <v>937</v>
      </c>
      <c r="U35" s="1122">
        <f t="shared" si="13"/>
        <v>100</v>
      </c>
      <c r="V35" s="1121" t="s">
        <v>937</v>
      </c>
      <c r="W35" s="1122">
        <f t="shared" si="14"/>
        <v>100</v>
      </c>
      <c r="X35" s="1115"/>
      <c r="Y35" s="3488"/>
      <c r="Z35" s="1105" t="str">
        <f t="shared" si="15"/>
        <v>建筑结构</v>
      </c>
      <c r="AA35" s="1132">
        <f t="shared" si="3"/>
        <v>1</v>
      </c>
      <c r="AB35" s="1132">
        <f t="shared" si="4"/>
        <v>1</v>
      </c>
      <c r="AC35" s="2222">
        <f t="shared" si="5"/>
        <v>1</v>
      </c>
    </row>
    <row r="36" spans="1:29" ht="15">
      <c r="A36" s="997"/>
      <c r="B36" s="943" t="s">
        <v>972</v>
      </c>
      <c r="C36" s="1319" t="s">
        <v>973</v>
      </c>
      <c r="D36" s="955">
        <v>100</v>
      </c>
      <c r="E36" s="1319" t="s">
        <v>973</v>
      </c>
      <c r="F36" s="1309">
        <f>SUMIF(108:108,E36,109:109)-SUMIF(108:108,C36,109:109)+100</f>
        <v>100</v>
      </c>
      <c r="G36" s="1319" t="s">
        <v>973</v>
      </c>
      <c r="H36" s="955">
        <f>SUMIF(108:108,G36,109:109)-SUMIF(108:108,C36,109:109)+100</f>
        <v>100</v>
      </c>
      <c r="I36" s="1319" t="s">
        <v>973</v>
      </c>
      <c r="J36" s="955">
        <f>SUMIF(108:108,I36,109:109)-SUMIF(108:108,C36,109:109)+100</f>
        <v>100</v>
      </c>
      <c r="K36" s="1091">
        <v>2</v>
      </c>
      <c r="L36" s="1085"/>
      <c r="M36" s="1073"/>
      <c r="N36" s="1073"/>
      <c r="O36" s="1073"/>
      <c r="P36" s="3484"/>
      <c r="Q36" s="681" t="str">
        <f t="shared" si="11"/>
        <v>公共部分装修</v>
      </c>
      <c r="R36" s="1121" t="s">
        <v>937</v>
      </c>
      <c r="S36" s="1122">
        <f t="shared" si="12"/>
        <v>100</v>
      </c>
      <c r="T36" s="1121" t="s">
        <v>937</v>
      </c>
      <c r="U36" s="1122">
        <f t="shared" si="13"/>
        <v>100</v>
      </c>
      <c r="V36" s="1121" t="s">
        <v>937</v>
      </c>
      <c r="W36" s="1122">
        <f t="shared" si="14"/>
        <v>100</v>
      </c>
      <c r="X36" s="1115"/>
      <c r="Y36" s="3488"/>
      <c r="Z36" s="1105" t="str">
        <f t="shared" si="15"/>
        <v>公共部分装修</v>
      </c>
      <c r="AA36" s="1132">
        <f t="shared" si="3"/>
        <v>1</v>
      </c>
      <c r="AB36" s="1132">
        <f t="shared" si="4"/>
        <v>1</v>
      </c>
      <c r="AC36" s="2222">
        <f t="shared" si="5"/>
        <v>1</v>
      </c>
    </row>
    <row r="37" spans="1:29" ht="15">
      <c r="A37" s="997"/>
      <c r="B37" s="943" t="s">
        <v>562</v>
      </c>
      <c r="C37" s="1316">
        <v>0.67</v>
      </c>
      <c r="D37" s="955">
        <v>100</v>
      </c>
      <c r="E37" s="1316">
        <v>0.77</v>
      </c>
      <c r="F37" s="1309">
        <f>LOOKUP(E37,111:111,112:112)-LOOKUP(C37,111:111,112:112)+100</f>
        <v>101</v>
      </c>
      <c r="G37" s="1316">
        <v>0.73</v>
      </c>
      <c r="H37" s="1309">
        <f>LOOKUP(G37,111:111,112:112)-LOOKUP(C37,111:111,112:112)+100</f>
        <v>101</v>
      </c>
      <c r="I37" s="1316">
        <v>0.72</v>
      </c>
      <c r="J37" s="955">
        <f>LOOKUP(I37,111:111,112:112)-LOOKUP(C37,111:111,112:112)+100</f>
        <v>101</v>
      </c>
      <c r="K37" s="1091">
        <v>1</v>
      </c>
      <c r="L37" s="1085"/>
      <c r="M37" s="1073"/>
      <c r="N37" s="1073"/>
      <c r="O37" s="1073"/>
      <c r="P37" s="3484"/>
      <c r="Q37" s="681" t="str">
        <f t="shared" si="11"/>
        <v>成新度</v>
      </c>
      <c r="R37" s="1121" t="s">
        <v>937</v>
      </c>
      <c r="S37" s="1122">
        <f t="shared" si="12"/>
        <v>101</v>
      </c>
      <c r="T37" s="1121" t="s">
        <v>937</v>
      </c>
      <c r="U37" s="1122">
        <f t="shared" si="13"/>
        <v>101</v>
      </c>
      <c r="V37" s="1121" t="s">
        <v>937</v>
      </c>
      <c r="W37" s="1122">
        <f t="shared" si="14"/>
        <v>101</v>
      </c>
      <c r="X37" s="1115"/>
      <c r="Y37" s="3488"/>
      <c r="Z37" s="1105" t="str">
        <f t="shared" si="15"/>
        <v>成新度</v>
      </c>
      <c r="AA37" s="1132">
        <f t="shared" si="3"/>
        <v>0.99009900990099009</v>
      </c>
      <c r="AB37" s="1132">
        <f t="shared" si="4"/>
        <v>0.99009900990099009</v>
      </c>
      <c r="AC37" s="2222">
        <f t="shared" si="5"/>
        <v>0.99009900990099009</v>
      </c>
    </row>
    <row r="38" spans="1:29" s="905" customFormat="1" ht="15">
      <c r="A38" s="999"/>
      <c r="B38" s="943" t="s">
        <v>974</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v>2</v>
      </c>
      <c r="L38" s="1075"/>
      <c r="M38" s="1076"/>
      <c r="N38" s="1076"/>
      <c r="O38" s="1076"/>
      <c r="P38" s="3484"/>
      <c r="Q38" s="1120" t="str">
        <f t="shared" si="11"/>
        <v>写字楼等级</v>
      </c>
      <c r="R38" s="1116" t="s">
        <v>937</v>
      </c>
      <c r="S38" s="1117">
        <f t="shared" si="12"/>
        <v>100</v>
      </c>
      <c r="T38" s="1116" t="s">
        <v>937</v>
      </c>
      <c r="U38" s="1117">
        <f t="shared" si="13"/>
        <v>100</v>
      </c>
      <c r="V38" s="1116" t="s">
        <v>937</v>
      </c>
      <c r="W38" s="1117">
        <f t="shared" si="14"/>
        <v>100</v>
      </c>
      <c r="X38" s="1118"/>
      <c r="Y38" s="3488"/>
      <c r="Z38" s="1131" t="str">
        <f t="shared" si="15"/>
        <v>写字楼等级</v>
      </c>
      <c r="AA38" s="1130">
        <f t="shared" si="3"/>
        <v>1</v>
      </c>
      <c r="AB38" s="1130">
        <f t="shared" si="4"/>
        <v>1</v>
      </c>
      <c r="AC38" s="2221">
        <f t="shared" si="5"/>
        <v>1</v>
      </c>
    </row>
    <row r="39" spans="1:29" ht="15">
      <c r="A39" s="997"/>
      <c r="B39" s="943" t="s">
        <v>975</v>
      </c>
      <c r="C39" s="1319" t="s">
        <v>976</v>
      </c>
      <c r="D39" s="955">
        <v>100</v>
      </c>
      <c r="E39" s="1319" t="s">
        <v>977</v>
      </c>
      <c r="F39" s="1309">
        <f>SUMIF(115:115,E39,116:116)-SUMIF(115:115,C39,116:116)+100</f>
        <v>102</v>
      </c>
      <c r="G39" s="1319" t="s">
        <v>977</v>
      </c>
      <c r="H39" s="955">
        <f>SUMIF(115:115,G39,116:116)-SUMIF(115:115,C39,116:116)+100</f>
        <v>102</v>
      </c>
      <c r="I39" s="1319" t="s">
        <v>977</v>
      </c>
      <c r="J39" s="955">
        <f>SUMIF(115:115,I39,116:116)-SUMIF(115:115,C39,116:116)+100</f>
        <v>102</v>
      </c>
      <c r="K39" s="1091">
        <v>2</v>
      </c>
      <c r="L39" s="1085"/>
      <c r="M39" s="1073"/>
      <c r="N39" s="1073"/>
      <c r="O39" s="1073"/>
      <c r="P39" s="3484" t="s">
        <v>968</v>
      </c>
      <c r="Q39" s="681" t="str">
        <f t="shared" si="11"/>
        <v>物业管理</v>
      </c>
      <c r="R39" s="1121" t="s">
        <v>937</v>
      </c>
      <c r="S39" s="1122">
        <f t="shared" si="12"/>
        <v>102</v>
      </c>
      <c r="T39" s="1121" t="s">
        <v>937</v>
      </c>
      <c r="U39" s="1122">
        <f t="shared" si="13"/>
        <v>102</v>
      </c>
      <c r="V39" s="1121" t="s">
        <v>937</v>
      </c>
      <c r="W39" s="1122">
        <f t="shared" si="14"/>
        <v>102</v>
      </c>
      <c r="X39" s="1115"/>
      <c r="Y39" s="3488" t="s">
        <v>968</v>
      </c>
      <c r="Z39" s="1105" t="str">
        <f t="shared" si="15"/>
        <v>物业管理</v>
      </c>
      <c r="AA39" s="1132">
        <f t="shared" si="3"/>
        <v>0.98039215686274506</v>
      </c>
      <c r="AB39" s="1132">
        <f t="shared" si="4"/>
        <v>0.98039215686274506</v>
      </c>
      <c r="AC39" s="2222">
        <f t="shared" si="5"/>
        <v>0.98039215686274506</v>
      </c>
    </row>
    <row r="40" spans="1:29" ht="15">
      <c r="A40" s="997"/>
      <c r="B40" s="943" t="s">
        <v>978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v>1</v>
      </c>
      <c r="L40" s="1085"/>
      <c r="M40" s="1073"/>
      <c r="N40" s="1073"/>
      <c r="O40" s="1073"/>
      <c r="P40" s="3484"/>
      <c r="Q40" s="681" t="str">
        <f t="shared" si="11"/>
        <v>市政基础设施</v>
      </c>
      <c r="R40" s="1121" t="s">
        <v>937</v>
      </c>
      <c r="S40" s="1122">
        <f t="shared" si="12"/>
        <v>100</v>
      </c>
      <c r="T40" s="1121" t="s">
        <v>937</v>
      </c>
      <c r="U40" s="1122">
        <f t="shared" si="13"/>
        <v>100</v>
      </c>
      <c r="V40" s="1121" t="s">
        <v>937</v>
      </c>
      <c r="W40" s="1122">
        <f t="shared" si="14"/>
        <v>100</v>
      </c>
      <c r="X40" s="1115"/>
      <c r="Y40" s="3488"/>
      <c r="Z40" s="1105" t="str">
        <f t="shared" si="15"/>
        <v>市政基础设施</v>
      </c>
      <c r="AA40" s="1132">
        <f t="shared" si="3"/>
        <v>1</v>
      </c>
      <c r="AB40" s="1132">
        <f t="shared" si="4"/>
        <v>1</v>
      </c>
      <c r="AC40" s="2222">
        <f t="shared" si="5"/>
        <v>1</v>
      </c>
    </row>
    <row r="41" spans="1:29" ht="15">
      <c r="A41" s="997"/>
      <c r="B41" s="943" t="s">
        <v>979</v>
      </c>
      <c r="C41" s="980" t="s">
        <v>980</v>
      </c>
      <c r="D41" s="955">
        <v>100</v>
      </c>
      <c r="E41" s="980" t="s">
        <v>980</v>
      </c>
      <c r="F41" s="1309">
        <f>SUMIF(119:119,E41,120:120)-SUMIF(119:119,C41,120:120)+100</f>
        <v>100</v>
      </c>
      <c r="G41" s="980" t="s">
        <v>980</v>
      </c>
      <c r="H41" s="955">
        <f>SUMIF(119:119,G41,120:120)-SUMIF(119:119,C41,120:120)+100</f>
        <v>100</v>
      </c>
      <c r="I41" s="980" t="s">
        <v>980</v>
      </c>
      <c r="J41" s="955">
        <f>SUMIF(119:119,I41,120:120)-SUMIF(119:119,C41,120:120)+100</f>
        <v>100</v>
      </c>
      <c r="K41" s="1091"/>
      <c r="L41" s="1085"/>
      <c r="M41" s="1073"/>
      <c r="N41" s="1073"/>
      <c r="O41" s="1073"/>
      <c r="P41" s="3484"/>
      <c r="Q41" s="681" t="str">
        <f t="shared" si="11"/>
        <v>层高</v>
      </c>
      <c r="R41" s="1121" t="s">
        <v>937</v>
      </c>
      <c r="S41" s="1122">
        <f t="shared" si="12"/>
        <v>100</v>
      </c>
      <c r="T41" s="1121" t="s">
        <v>937</v>
      </c>
      <c r="U41" s="1122">
        <f t="shared" si="13"/>
        <v>100</v>
      </c>
      <c r="V41" s="1121" t="s">
        <v>937</v>
      </c>
      <c r="W41" s="1122">
        <f t="shared" si="14"/>
        <v>100</v>
      </c>
      <c r="X41" s="1115"/>
      <c r="Y41" s="3488"/>
      <c r="Z41" s="1105" t="str">
        <f t="shared" si="15"/>
        <v>层高</v>
      </c>
      <c r="AA41" s="1132">
        <f t="shared" si="3"/>
        <v>1</v>
      </c>
      <c r="AB41" s="1132">
        <f t="shared" si="4"/>
        <v>1</v>
      </c>
      <c r="AC41" s="2222">
        <f t="shared" si="5"/>
        <v>1</v>
      </c>
    </row>
    <row r="42" spans="1:29" s="907" customFormat="1" ht="15">
      <c r="A42" s="1002"/>
      <c r="B42" s="1100" t="s">
        <v>981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84"/>
      <c r="Q42" s="1348" t="str">
        <f t="shared" si="11"/>
        <v>单套建筑面积</v>
      </c>
      <c r="R42" s="1123" t="s">
        <v>937</v>
      </c>
      <c r="S42" s="1124">
        <f t="shared" si="12"/>
        <v>100</v>
      </c>
      <c r="T42" s="1123" t="s">
        <v>937</v>
      </c>
      <c r="U42" s="1124">
        <f t="shared" si="13"/>
        <v>100</v>
      </c>
      <c r="V42" s="1123" t="s">
        <v>937</v>
      </c>
      <c r="W42" s="1124">
        <f t="shared" si="14"/>
        <v>100</v>
      </c>
      <c r="X42" s="1125"/>
      <c r="Y42" s="3488"/>
      <c r="Z42" s="1133" t="str">
        <f t="shared" si="15"/>
        <v>单套建筑面积</v>
      </c>
      <c r="AA42" s="1132">
        <f t="shared" si="3"/>
        <v>1</v>
      </c>
      <c r="AB42" s="1132">
        <f t="shared" si="4"/>
        <v>1</v>
      </c>
      <c r="AC42" s="2222">
        <f t="shared" si="5"/>
        <v>1</v>
      </c>
    </row>
    <row r="43" spans="1:29" ht="15">
      <c r="A43" s="997"/>
      <c r="B43" s="943" t="s">
        <v>982</v>
      </c>
      <c r="C43" s="1319" t="s">
        <v>983</v>
      </c>
      <c r="D43" s="955">
        <v>100</v>
      </c>
      <c r="E43" s="1319" t="s">
        <v>984</v>
      </c>
      <c r="F43" s="1309">
        <f>SUMIF(123:123,E43,124:124)-SUMIF(123:123,C43,124:124)+100</f>
        <v>102</v>
      </c>
      <c r="G43" s="1319" t="s">
        <v>983</v>
      </c>
      <c r="H43" s="955">
        <f>SUMIF(123:123,G43,124:124)-SUMIF(123:123,C43,124:124)+100</f>
        <v>100</v>
      </c>
      <c r="I43" s="1319" t="s">
        <v>983</v>
      </c>
      <c r="J43" s="955">
        <f>SUMIF(123:123,I43,124:124)-SUMIF(123:123,C43,124:124)+100</f>
        <v>100</v>
      </c>
      <c r="K43" s="1091">
        <v>2</v>
      </c>
      <c r="L43" s="1085"/>
      <c r="M43" s="1073"/>
      <c r="N43" s="1073"/>
      <c r="O43" s="1073"/>
      <c r="P43" s="3484"/>
      <c r="Q43" s="681" t="str">
        <f t="shared" si="11"/>
        <v>内部装修</v>
      </c>
      <c r="R43" s="1121" t="s">
        <v>937</v>
      </c>
      <c r="S43" s="1122">
        <f t="shared" si="12"/>
        <v>102</v>
      </c>
      <c r="T43" s="1121" t="s">
        <v>937</v>
      </c>
      <c r="U43" s="1122">
        <f t="shared" si="13"/>
        <v>100</v>
      </c>
      <c r="V43" s="1121" t="s">
        <v>937</v>
      </c>
      <c r="W43" s="1122">
        <f t="shared" si="14"/>
        <v>100</v>
      </c>
      <c r="X43" s="1115"/>
      <c r="Y43" s="3488"/>
      <c r="Z43" s="1105" t="str">
        <f t="shared" si="15"/>
        <v>内部装修</v>
      </c>
      <c r="AA43" s="1132">
        <f t="shared" si="3"/>
        <v>0.98039215686274506</v>
      </c>
      <c r="AB43" s="1132">
        <f t="shared" si="4"/>
        <v>1</v>
      </c>
      <c r="AC43" s="2222">
        <f t="shared" si="5"/>
        <v>1</v>
      </c>
    </row>
    <row r="44" spans="1:29" ht="28.8">
      <c r="A44" s="997"/>
      <c r="B44" s="943" t="s">
        <v>985</v>
      </c>
      <c r="C44" s="1319" t="s">
        <v>954</v>
      </c>
      <c r="D44" s="955">
        <v>100</v>
      </c>
      <c r="E44" s="998" t="s">
        <v>955</v>
      </c>
      <c r="F44" s="1309">
        <f>SUMIF(125:125,E44,126:126)-SUMIF(125:125,C44,126:126)+100</f>
        <v>102</v>
      </c>
      <c r="G44" s="998" t="s">
        <v>955</v>
      </c>
      <c r="H44" s="955">
        <f>SUMIF(125:125,G44,126:126)-SUMIF(125:125,C44,126:126)+100</f>
        <v>102</v>
      </c>
      <c r="I44" s="998" t="s">
        <v>955</v>
      </c>
      <c r="J44" s="955">
        <f>SUMIF(125:125,I44,126:126)-SUMIF(125:125,C44,126:126)+100</f>
        <v>102</v>
      </c>
      <c r="K44" s="1091">
        <v>2</v>
      </c>
      <c r="L44" s="1085"/>
      <c r="M44" s="1073"/>
      <c r="N44" s="1073"/>
      <c r="O44" s="1073"/>
      <c r="P44" s="3484"/>
      <c r="Q44" s="681" t="str">
        <f t="shared" si="11"/>
        <v>内部装修维护情况</v>
      </c>
      <c r="R44" s="1121" t="s">
        <v>937</v>
      </c>
      <c r="S44" s="1122">
        <f t="shared" si="12"/>
        <v>102</v>
      </c>
      <c r="T44" s="1121" t="s">
        <v>937</v>
      </c>
      <c r="U44" s="1122">
        <f t="shared" si="13"/>
        <v>102</v>
      </c>
      <c r="V44" s="1121" t="s">
        <v>937</v>
      </c>
      <c r="W44" s="1122">
        <f t="shared" si="14"/>
        <v>102</v>
      </c>
      <c r="X44" s="1115"/>
      <c r="Y44" s="3488"/>
      <c r="Z44" s="1105" t="str">
        <f t="shared" si="15"/>
        <v>内部装修维护情况</v>
      </c>
      <c r="AA44" s="1132">
        <f t="shared" si="3"/>
        <v>0.98039215686274506</v>
      </c>
      <c r="AB44" s="1132">
        <f t="shared" si="4"/>
        <v>0.98039215686274506</v>
      </c>
      <c r="AC44" s="2222">
        <f t="shared" si="5"/>
        <v>0.98039215686274506</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84"/>
      <c r="Q45" s="1120">
        <f t="shared" si="11"/>
        <v>111</v>
      </c>
      <c r="R45" s="1116" t="s">
        <v>937</v>
      </c>
      <c r="S45" s="1117">
        <f t="shared" si="12"/>
        <v>100</v>
      </c>
      <c r="T45" s="1116" t="s">
        <v>937</v>
      </c>
      <c r="U45" s="1117">
        <f t="shared" si="13"/>
        <v>100</v>
      </c>
      <c r="V45" s="1116" t="s">
        <v>937</v>
      </c>
      <c r="W45" s="1117">
        <f t="shared" si="14"/>
        <v>100</v>
      </c>
      <c r="X45" s="1118"/>
      <c r="Y45" s="3488"/>
      <c r="Z45" s="1131">
        <f t="shared" si="15"/>
        <v>111</v>
      </c>
      <c r="AA45" s="1130">
        <f t="shared" si="3"/>
        <v>1</v>
      </c>
      <c r="AB45" s="1130">
        <f t="shared" si="4"/>
        <v>1</v>
      </c>
      <c r="AC45" s="2221">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84"/>
      <c r="Q46" s="681">
        <f t="shared" si="11"/>
        <v>111</v>
      </c>
      <c r="R46" s="1121" t="s">
        <v>937</v>
      </c>
      <c r="S46" s="1122">
        <f t="shared" si="12"/>
        <v>100</v>
      </c>
      <c r="T46" s="1121" t="s">
        <v>937</v>
      </c>
      <c r="U46" s="1122">
        <f t="shared" si="13"/>
        <v>100</v>
      </c>
      <c r="V46" s="1121" t="s">
        <v>937</v>
      </c>
      <c r="W46" s="1122">
        <f t="shared" si="14"/>
        <v>100</v>
      </c>
      <c r="X46" s="1115"/>
      <c r="Y46" s="3488"/>
      <c r="Z46" s="1105">
        <f t="shared" si="15"/>
        <v>111</v>
      </c>
      <c r="AA46" s="1132">
        <f t="shared" si="3"/>
        <v>1</v>
      </c>
      <c r="AB46" s="1132">
        <f t="shared" si="4"/>
        <v>1</v>
      </c>
      <c r="AC46" s="2222">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85"/>
      <c r="Q47" s="681">
        <f t="shared" si="11"/>
        <v>111</v>
      </c>
      <c r="R47" s="1121" t="s">
        <v>937</v>
      </c>
      <c r="S47" s="1122">
        <f t="shared" si="12"/>
        <v>100</v>
      </c>
      <c r="T47" s="1121" t="s">
        <v>937</v>
      </c>
      <c r="U47" s="1122">
        <f t="shared" si="13"/>
        <v>100</v>
      </c>
      <c r="V47" s="1121" t="s">
        <v>937</v>
      </c>
      <c r="W47" s="1122">
        <f t="shared" si="14"/>
        <v>100</v>
      </c>
      <c r="X47" s="1115"/>
      <c r="Y47" s="3489"/>
      <c r="Z47" s="1105">
        <f t="shared" si="15"/>
        <v>111</v>
      </c>
      <c r="AA47" s="1132">
        <f t="shared" si="3"/>
        <v>1</v>
      </c>
      <c r="AB47" s="1132">
        <f t="shared" si="4"/>
        <v>1</v>
      </c>
      <c r="AC47" s="2222">
        <f t="shared" si="5"/>
        <v>1</v>
      </c>
    </row>
    <row r="48" spans="1:29" ht="14.4">
      <c r="A48" s="1004" t="s">
        <v>986</v>
      </c>
      <c r="B48" s="1323"/>
      <c r="C48" s="1324" t="s">
        <v>124</v>
      </c>
      <c r="D48" s="1325"/>
      <c r="E48" s="1326">
        <v>48000</v>
      </c>
      <c r="F48" s="1327"/>
      <c r="G48" s="1328">
        <v>35000</v>
      </c>
      <c r="H48" s="1329"/>
      <c r="I48" s="1326">
        <v>40000</v>
      </c>
      <c r="J48" s="1011"/>
      <c r="K48" s="1096"/>
      <c r="L48" s="1097"/>
      <c r="M48" s="1073"/>
      <c r="N48" s="1073"/>
      <c r="O48" s="1073"/>
      <c r="P48" s="3472" t="str">
        <f>A48</f>
        <v>成交单价（元/平方米）</v>
      </c>
      <c r="Q48" s="3473"/>
      <c r="R48" s="3474">
        <f>E48</f>
        <v>48000</v>
      </c>
      <c r="S48" s="3474"/>
      <c r="T48" s="3474">
        <f>G48</f>
        <v>35000</v>
      </c>
      <c r="U48" s="3474"/>
      <c r="V48" s="3474">
        <f>I48</f>
        <v>40000</v>
      </c>
      <c r="W48" s="3474"/>
      <c r="X48" s="1255"/>
      <c r="Y48" s="1134"/>
      <c r="Z48" s="1255"/>
      <c r="AA48" s="1255"/>
      <c r="AB48" s="1255"/>
      <c r="AC48" s="965"/>
    </row>
    <row r="49" spans="1:29" ht="14.4">
      <c r="A49" s="1012" t="s">
        <v>987</v>
      </c>
      <c r="B49" s="1330"/>
      <c r="C49" s="1331">
        <f>R50</f>
        <v>35133</v>
      </c>
      <c r="D49" s="1015" t="s">
        <v>988</v>
      </c>
      <c r="E49" s="1332">
        <f>R49</f>
        <v>39801</v>
      </c>
      <c r="F49" s="1016"/>
      <c r="G49" s="1331">
        <f>T49</f>
        <v>31433</v>
      </c>
      <c r="H49" s="1016"/>
      <c r="I49" s="1332">
        <f>V49</f>
        <v>34166</v>
      </c>
      <c r="J49" s="1016"/>
      <c r="K49" s="1098">
        <f>F49+H49+J49</f>
        <v>0</v>
      </c>
      <c r="L49" s="1097"/>
      <c r="M49" s="1073"/>
      <c r="N49" s="1073"/>
      <c r="O49" s="1073"/>
      <c r="P49" s="3472" t="str">
        <f>A49</f>
        <v>比较价值（元/平方米）</v>
      </c>
      <c r="Q49" s="3473"/>
      <c r="R49" s="3474">
        <f>IF(F1="售价",ROUND(PRODUCT(R48,AA7:AA47),0),ROUND(PRODUCT(R48,AA7:AA47),1))</f>
        <v>39801</v>
      </c>
      <c r="S49" s="3474"/>
      <c r="T49" s="3474">
        <f>IF(F1="售价",ROUND(PRODUCT(T48,AB7:AB47),0),ROUND(PRODUCT(T48,AB7:AB47),1))</f>
        <v>31433</v>
      </c>
      <c r="U49" s="3474"/>
      <c r="V49" s="3474">
        <f>IF(F1="售价",ROUND(PRODUCT(V48,AC7:AC47),0),ROUND(PRODUCT(V48,AC7:AC47),1))</f>
        <v>34166</v>
      </c>
      <c r="W49" s="3474"/>
      <c r="X49" s="1255"/>
      <c r="Y49" s="1255"/>
      <c r="Z49" s="1255"/>
      <c r="AA49" s="1255"/>
      <c r="AB49" s="1255"/>
      <c r="AC49" s="965"/>
    </row>
    <row r="50" spans="1:29" ht="14.4">
      <c r="A50" s="1018" t="s">
        <v>989</v>
      </c>
      <c r="B50" s="1019"/>
      <c r="C50" s="1333">
        <f>R50</f>
        <v>35133</v>
      </c>
      <c r="D50" s="1333"/>
      <c r="E50" s="1333"/>
      <c r="F50" s="1333"/>
      <c r="G50" s="1333"/>
      <c r="H50" s="1333"/>
      <c r="I50" s="1333"/>
      <c r="J50" s="1020"/>
      <c r="K50" s="1099"/>
      <c r="L50" s="1097"/>
      <c r="M50" s="1073"/>
      <c r="N50" s="1073"/>
      <c r="O50" s="1073"/>
      <c r="P50" s="3475" t="str">
        <f>A50</f>
        <v>估价对象XX用房的比较价值（楼面单价，元/平方米）</v>
      </c>
      <c r="Q50" s="3476"/>
      <c r="R50" s="3477">
        <f>IF(F1="售价",ROUND(IF(D49="简单平均",AVERAGE(R49:V49),R49*F49+T49*H49+V49*J49),0),ROUND(IF(D49="简单平均",AVERAGE(R49:V49),R49*F49+T49*H49+V49*J49),1))</f>
        <v>35133</v>
      </c>
      <c r="S50" s="3477"/>
      <c r="T50" s="3477"/>
      <c r="U50" s="3477"/>
      <c r="V50" s="3477"/>
      <c r="W50" s="3477"/>
      <c r="X50" s="1561"/>
      <c r="Y50" s="1561"/>
      <c r="Z50" s="1561"/>
      <c r="AA50" s="1561"/>
      <c r="AB50" s="1561"/>
      <c r="AC50" s="1562"/>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990</v>
      </c>
      <c r="D53" s="723"/>
      <c r="E53" s="1024">
        <f>IF(E48&lt;E49,E49/E48-1,E48/E49-1)</f>
        <v>0.2059998492500188</v>
      </c>
      <c r="F53" s="1025" t="str">
        <f>IF(OR(E53&gt;=0.3,E53&lt;=-0.3),"超过30%","")</f>
        <v/>
      </c>
      <c r="G53" s="1024">
        <f>IF(G48&lt;G49,G49/G48-1,G48/G49-1)</f>
        <v>0.11347946425730915</v>
      </c>
      <c r="H53" s="1025" t="str">
        <f>IF(OR(G53&gt;=0.3,G53&lt;=-0.3),"超过30%","")</f>
        <v/>
      </c>
      <c r="I53" s="1024">
        <f>IF(I48&lt;I49,I49/I48-1,I48/I49-1)</f>
        <v>0.17075455130831818</v>
      </c>
      <c r="J53" s="1025" t="str">
        <f>IF(OR(I53&gt;=0.3,I53&lt;=-0.3),"超过30%","")</f>
        <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991</v>
      </c>
      <c r="D54" s="722"/>
      <c r="E54" s="1024">
        <f>IF(E49&lt;G49,G49/E49-1,E49/G49-1)</f>
        <v>0.26621703305443334</v>
      </c>
      <c r="F54" s="1025" t="str">
        <f>IF(OR(E54&gt;=0.2,E54&lt;=-0.2),"超过20%","")</f>
        <v>超过20%</v>
      </c>
      <c r="G54" s="1024">
        <f>IF(G49&lt;I49,I49/G49-1,G49/I49-1)</f>
        <v>8.6946839309006485E-2</v>
      </c>
      <c r="H54" s="1025" t="str">
        <f>IF(OR(G54&gt;=0.2,G54&lt;=-0.2),"超过20%","")</f>
        <v/>
      </c>
      <c r="I54" s="1024">
        <f>IF(I49&lt;E49,E49/I49-1,I49/E49-1)</f>
        <v>0.16493004741555928</v>
      </c>
      <c r="J54" s="1025" t="str">
        <f>IF(OR(I54&gt;=0.2,I54&lt;=-0.2),"超过20%","")</f>
        <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992</v>
      </c>
      <c r="D55" s="722"/>
      <c r="E55" s="1024">
        <f>IF(E48&lt;G48,G48/E48-1,E48/G48-1)</f>
        <v>0.37142857142857144</v>
      </c>
      <c r="F55" s="1025" t="str">
        <f>IF(OR(E55&gt;=0.3,E55&lt;=-0.3),"超过30%","")</f>
        <v>超过30%</v>
      </c>
      <c r="G55" s="1024">
        <f>IF(G48&lt;I48,I48/G48-1,G48/I48-1)</f>
        <v>0.14285714285714279</v>
      </c>
      <c r="H55" s="1025" t="str">
        <f>IF(OR(G55&gt;=0.3,G55&lt;=-0.3),"超过30%","")</f>
        <v/>
      </c>
      <c r="I55" s="1024">
        <f>IF(I48&lt;E48,E48/I48-1,I48/E48-1)</f>
        <v>0.19999999999999996</v>
      </c>
      <c r="J55" s="1025" t="str">
        <f>IF(OR(I55&gt;=0.3,I55&lt;=-0.3),"超过30%","")</f>
        <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993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935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994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938</v>
      </c>
      <c r="B62" s="1146"/>
      <c r="C62" s="1147" t="s">
        <v>939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995</v>
      </c>
      <c r="B64" s="1152" t="s">
        <v>943</v>
      </c>
      <c r="C64" s="1174" t="str">
        <f>C9</f>
        <v>商业、办公</v>
      </c>
      <c r="D64" s="2219" t="s">
        <v>452</v>
      </c>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v>100</v>
      </c>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947</v>
      </c>
      <c r="C66" s="1157" t="s">
        <v>996</v>
      </c>
      <c r="D66" s="1157" t="s">
        <v>997</v>
      </c>
      <c r="E66" s="1157" t="s">
        <v>998</v>
      </c>
      <c r="F66" s="1157" t="s">
        <v>999</v>
      </c>
      <c r="G66" s="1157" t="s">
        <v>1000</v>
      </c>
      <c r="H66" s="1157" t="s">
        <v>1001</v>
      </c>
      <c r="I66" s="1157" t="s">
        <v>1002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1003</v>
      </c>
      <c r="D67" s="1159" t="s">
        <v>1003</v>
      </c>
      <c r="E67" s="1159">
        <v>100</v>
      </c>
      <c r="F67" s="1159">
        <f>E67-$K10</f>
        <v>98</v>
      </c>
      <c r="G67" s="1159">
        <f>F67-$K10</f>
        <v>96</v>
      </c>
      <c r="H67" s="1159">
        <f>G67-$K10</f>
        <v>94</v>
      </c>
      <c r="I67" s="1159">
        <f>H67-$K10</f>
        <v>92</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950</v>
      </c>
      <c r="C68" s="1161" t="str">
        <f>C69&amp;"（含）"&amp;"-"&amp;D69</f>
        <v>0（含）-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v>0</v>
      </c>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2225"/>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951</v>
      </c>
      <c r="B77" s="1152" t="s">
        <v>952</v>
      </c>
      <c r="C77" s="1173" t="s">
        <v>1004</v>
      </c>
      <c r="D77" s="1173" t="s">
        <v>1005</v>
      </c>
      <c r="E77" s="1173" t="s">
        <v>1006</v>
      </c>
      <c r="F77" s="1173" t="s">
        <v>1007</v>
      </c>
      <c r="G77" s="1173" t="s">
        <v>1008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95</v>
      </c>
      <c r="E78" s="1159">
        <f>D78-$K15</f>
        <v>90</v>
      </c>
      <c r="F78" s="1159">
        <f>E78-$K15</f>
        <v>85</v>
      </c>
      <c r="G78" s="1159">
        <f>F78-$K15</f>
        <v>80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956</v>
      </c>
      <c r="C79" s="1175" t="s">
        <v>1004</v>
      </c>
      <c r="D79" s="1175" t="s">
        <v>1005</v>
      </c>
      <c r="E79" s="1175" t="s">
        <v>1006</v>
      </c>
      <c r="F79" s="1175" t="s">
        <v>1007</v>
      </c>
      <c r="G79" s="1175" t="s">
        <v>1008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97</v>
      </c>
      <c r="E80" s="1159">
        <f>D80-$K17</f>
        <v>94</v>
      </c>
      <c r="F80" s="1159">
        <f>E80-$K17</f>
        <v>91</v>
      </c>
      <c r="G80" s="1159">
        <f>F80-$K17</f>
        <v>88</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957</v>
      </c>
      <c r="C81" s="1175" t="s">
        <v>1004</v>
      </c>
      <c r="D81" s="1175" t="s">
        <v>1005</v>
      </c>
      <c r="E81" s="1175" t="s">
        <v>1006</v>
      </c>
      <c r="F81" s="1175" t="s">
        <v>1007</v>
      </c>
      <c r="G81" s="1175" t="s">
        <v>1008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97</v>
      </c>
      <c r="E82" s="1159">
        <f>D82-$K19</f>
        <v>94</v>
      </c>
      <c r="F82" s="1159">
        <f>E82-$K19</f>
        <v>91</v>
      </c>
      <c r="G82" s="1159">
        <f>F82-$K19</f>
        <v>88</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958</v>
      </c>
      <c r="C83" s="1180" t="s">
        <v>1009</v>
      </c>
      <c r="D83" s="1180" t="s">
        <v>1010</v>
      </c>
      <c r="E83" s="1180" t="s">
        <v>1011</v>
      </c>
      <c r="F83" s="1180" t="s">
        <v>1012</v>
      </c>
      <c r="G83" s="1180" t="s">
        <v>1013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99</v>
      </c>
      <c r="E84" s="1159">
        <f>D84-$K21</f>
        <v>98</v>
      </c>
      <c r="F84" s="1159">
        <f>E84-$K21</f>
        <v>97</v>
      </c>
      <c r="G84" s="1159">
        <f>F84-$K21</f>
        <v>96</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959</v>
      </c>
      <c r="C85" s="1175" t="s">
        <v>1004</v>
      </c>
      <c r="D85" s="1175" t="s">
        <v>1005</v>
      </c>
      <c r="E85" s="1175" t="s">
        <v>1006</v>
      </c>
      <c r="F85" s="1175" t="s">
        <v>1007</v>
      </c>
      <c r="G85" s="1175" t="s">
        <v>1008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98</v>
      </c>
      <c r="E86" s="1159">
        <f>D86-$K23</f>
        <v>96</v>
      </c>
      <c r="F86" s="1159">
        <f>E86-$K23</f>
        <v>94</v>
      </c>
      <c r="G86" s="1159">
        <f>F86-$K23</f>
        <v>92</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960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4.4">
      <c r="A89" s="1176"/>
      <c r="B89" s="1156" t="str">
        <f>B27</f>
        <v>楼层</v>
      </c>
      <c r="C89" s="2223" t="s">
        <v>1014</v>
      </c>
      <c r="D89" s="2223" t="s">
        <v>962</v>
      </c>
      <c r="E89" s="2223" t="s">
        <v>963</v>
      </c>
      <c r="F89" s="1484"/>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97</v>
      </c>
      <c r="E90" s="1159">
        <f t="shared" ref="E90:M90" si="20">D90-$K27</f>
        <v>94</v>
      </c>
      <c r="F90" s="1159">
        <f t="shared" si="20"/>
        <v>91</v>
      </c>
      <c r="G90" s="1159">
        <f t="shared" si="20"/>
        <v>88</v>
      </c>
      <c r="H90" s="1159">
        <f t="shared" si="20"/>
        <v>85</v>
      </c>
      <c r="I90" s="1159">
        <f t="shared" si="20"/>
        <v>82</v>
      </c>
      <c r="J90" s="1159">
        <f t="shared" si="20"/>
        <v>79</v>
      </c>
      <c r="K90" s="1159">
        <f t="shared" si="20"/>
        <v>76</v>
      </c>
      <c r="L90" s="1159">
        <f t="shared" si="20"/>
        <v>73</v>
      </c>
      <c r="M90" s="1159">
        <f t="shared" si="20"/>
        <v>70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965</v>
      </c>
      <c r="B101" s="1152" t="s">
        <v>966</v>
      </c>
      <c r="C101" s="2219" t="s">
        <v>967</v>
      </c>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98</v>
      </c>
      <c r="E102" s="1159">
        <f t="shared" si="22"/>
        <v>96</v>
      </c>
      <c r="F102" s="1159">
        <f t="shared" si="22"/>
        <v>94</v>
      </c>
      <c r="G102" s="1159">
        <f t="shared" si="22"/>
        <v>92</v>
      </c>
      <c r="H102" s="1159">
        <f t="shared" si="22"/>
        <v>90</v>
      </c>
      <c r="I102" s="1159">
        <f t="shared" si="22"/>
        <v>88</v>
      </c>
      <c r="J102" s="1159">
        <f t="shared" si="22"/>
        <v>86</v>
      </c>
      <c r="K102" s="1159">
        <f t="shared" si="22"/>
        <v>84</v>
      </c>
      <c r="L102" s="1159">
        <f t="shared" si="22"/>
        <v>82</v>
      </c>
      <c r="M102" s="1209">
        <f t="shared" si="22"/>
        <v>80</v>
      </c>
      <c r="N102" s="1205"/>
      <c r="O102" s="1205"/>
      <c r="P102" s="1406"/>
      <c r="Q102" s="1126"/>
      <c r="R102" s="1021"/>
      <c r="S102" s="1021"/>
      <c r="T102" s="1021"/>
      <c r="U102" s="1021"/>
      <c r="V102" s="1021"/>
      <c r="W102" s="1021"/>
      <c r="X102" s="1021"/>
      <c r="Y102" s="1021"/>
      <c r="Z102" s="1021"/>
      <c r="AA102" s="1021"/>
      <c r="AB102" s="1021"/>
      <c r="AC102" s="1021"/>
    </row>
    <row r="103" spans="1:29" ht="27.6">
      <c r="A103" s="1153"/>
      <c r="B103" s="1156" t="s">
        <v>969</v>
      </c>
      <c r="C103" s="1175" t="str">
        <f>C104&amp;"(含)"&amp;"-"&amp;D104</f>
        <v>0(含)-1000</v>
      </c>
      <c r="D103" s="1175" t="str">
        <f t="shared" ref="D103:L103" si="23">D104&amp;"(含)"&amp;"-"&amp;E104</f>
        <v>1000(含)-3000</v>
      </c>
      <c r="E103" s="1175" t="str">
        <f t="shared" si="23"/>
        <v>3000(含)-5000</v>
      </c>
      <c r="F103" s="1175" t="str">
        <f t="shared" si="23"/>
        <v>5000(含)-8000</v>
      </c>
      <c r="G103" s="1175" t="str">
        <f t="shared" si="23"/>
        <v>8000(含)-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v>0</v>
      </c>
      <c r="D104" s="1140">
        <v>1000</v>
      </c>
      <c r="E104" s="1140">
        <v>3000</v>
      </c>
      <c r="F104" s="1140">
        <v>5000</v>
      </c>
      <c r="G104" s="1140">
        <v>8000</v>
      </c>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v>99</v>
      </c>
      <c r="D105" s="1155">
        <v>100</v>
      </c>
      <c r="E105" s="1155">
        <v>99</v>
      </c>
      <c r="F105" s="1155">
        <v>98</v>
      </c>
      <c r="G105" s="1155">
        <v>97</v>
      </c>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970</v>
      </c>
      <c r="C106" s="2223" t="s">
        <v>971</v>
      </c>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98</v>
      </c>
      <c r="E107" s="1159">
        <f t="shared" si="24"/>
        <v>96</v>
      </c>
      <c r="F107" s="1159">
        <f t="shared" si="24"/>
        <v>94</v>
      </c>
      <c r="G107" s="1159">
        <f t="shared" si="24"/>
        <v>92</v>
      </c>
      <c r="H107" s="1159">
        <f t="shared" si="24"/>
        <v>90</v>
      </c>
      <c r="I107" s="1159">
        <f t="shared" si="24"/>
        <v>88</v>
      </c>
      <c r="J107" s="1159">
        <f t="shared" si="24"/>
        <v>86</v>
      </c>
      <c r="K107" s="1159">
        <f t="shared" si="24"/>
        <v>84</v>
      </c>
      <c r="L107" s="1159">
        <f t="shared" si="24"/>
        <v>82</v>
      </c>
      <c r="M107" s="1209">
        <f t="shared" si="24"/>
        <v>80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972</v>
      </c>
      <c r="C108" s="2223" t="s">
        <v>973</v>
      </c>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98</v>
      </c>
      <c r="E109" s="1159">
        <f t="shared" si="25"/>
        <v>96</v>
      </c>
      <c r="F109" s="1159">
        <f t="shared" si="25"/>
        <v>94</v>
      </c>
      <c r="G109" s="1159">
        <f t="shared" si="25"/>
        <v>92</v>
      </c>
      <c r="H109" s="1159">
        <f t="shared" si="25"/>
        <v>90</v>
      </c>
      <c r="I109" s="1159">
        <f t="shared" si="25"/>
        <v>88</v>
      </c>
      <c r="J109" s="1159">
        <f t="shared" si="25"/>
        <v>86</v>
      </c>
      <c r="K109" s="1159">
        <f t="shared" si="25"/>
        <v>84</v>
      </c>
      <c r="L109" s="1159">
        <f t="shared" si="25"/>
        <v>82</v>
      </c>
      <c r="M109" s="1209">
        <f t="shared" si="25"/>
        <v>80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101</v>
      </c>
      <c r="E112" s="1159">
        <f t="shared" ref="E112:M112" si="26">D112+$K37</f>
        <v>102</v>
      </c>
      <c r="F112" s="1159">
        <f t="shared" si="26"/>
        <v>103</v>
      </c>
      <c r="G112" s="1159">
        <f t="shared" si="26"/>
        <v>104</v>
      </c>
      <c r="H112" s="1159">
        <f t="shared" si="26"/>
        <v>105</v>
      </c>
      <c r="I112" s="1159">
        <f t="shared" si="26"/>
        <v>106</v>
      </c>
      <c r="J112" s="1159">
        <f t="shared" si="26"/>
        <v>107</v>
      </c>
      <c r="K112" s="1159">
        <f t="shared" si="26"/>
        <v>108</v>
      </c>
      <c r="L112" s="1159">
        <f t="shared" si="26"/>
        <v>109</v>
      </c>
      <c r="M112" s="1159">
        <f t="shared" si="26"/>
        <v>110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974</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98</v>
      </c>
      <c r="E114" s="1159">
        <f t="shared" ref="E114:M114" si="27">D114-$K38</f>
        <v>96</v>
      </c>
      <c r="F114" s="1159">
        <f t="shared" si="27"/>
        <v>94</v>
      </c>
      <c r="G114" s="1159">
        <f t="shared" si="27"/>
        <v>92</v>
      </c>
      <c r="H114" s="1159">
        <f t="shared" si="27"/>
        <v>90</v>
      </c>
      <c r="I114" s="1159">
        <f t="shared" si="27"/>
        <v>88</v>
      </c>
      <c r="J114" s="1159">
        <f t="shared" si="27"/>
        <v>86</v>
      </c>
      <c r="K114" s="1159">
        <f t="shared" si="27"/>
        <v>84</v>
      </c>
      <c r="L114" s="1159">
        <f t="shared" si="27"/>
        <v>82</v>
      </c>
      <c r="M114" s="1159">
        <f t="shared" si="27"/>
        <v>80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975</v>
      </c>
      <c r="C115" s="2223" t="s">
        <v>977</v>
      </c>
      <c r="D115" s="2223" t="s">
        <v>976</v>
      </c>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98</v>
      </c>
      <c r="E116" s="1159">
        <f t="shared" si="28"/>
        <v>96</v>
      </c>
      <c r="F116" s="1159">
        <f t="shared" si="28"/>
        <v>94</v>
      </c>
      <c r="G116" s="1159">
        <f t="shared" si="28"/>
        <v>92</v>
      </c>
      <c r="H116" s="1159">
        <f t="shared" si="28"/>
        <v>90</v>
      </c>
      <c r="I116" s="1159">
        <f t="shared" si="28"/>
        <v>88</v>
      </c>
      <c r="J116" s="1159">
        <f t="shared" si="28"/>
        <v>86</v>
      </c>
      <c r="K116" s="1159">
        <f t="shared" si="28"/>
        <v>84</v>
      </c>
      <c r="L116" s="1159">
        <f t="shared" si="28"/>
        <v>82</v>
      </c>
      <c r="M116" s="1209">
        <f t="shared" si="28"/>
        <v>80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978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99</v>
      </c>
      <c r="E118" s="1159">
        <f>D118-$K40</f>
        <v>98</v>
      </c>
      <c r="F118" s="1159">
        <f>E118-$K40</f>
        <v>97</v>
      </c>
      <c r="G118" s="1159">
        <f>F118-$K40</f>
        <v>96</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1015</v>
      </c>
      <c r="C119" s="2224" t="s">
        <v>980</v>
      </c>
      <c r="D119" s="1181"/>
      <c r="E119" s="1181"/>
      <c r="F119" s="1181"/>
      <c r="G119" s="1181"/>
      <c r="H119" s="1181"/>
      <c r="I119" s="1181"/>
      <c r="J119" s="1181"/>
      <c r="K119" s="1181"/>
      <c r="L119" s="2226"/>
      <c r="M119" s="2227"/>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1016</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982</v>
      </c>
      <c r="C123" s="2223" t="s">
        <v>973</v>
      </c>
      <c r="D123" s="2223" t="s">
        <v>984</v>
      </c>
      <c r="E123" s="2223" t="s">
        <v>983</v>
      </c>
      <c r="F123" s="2224" t="s">
        <v>1017</v>
      </c>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98</v>
      </c>
      <c r="E124" s="1159">
        <f t="shared" si="30"/>
        <v>96</v>
      </c>
      <c r="F124" s="1159">
        <f t="shared" si="30"/>
        <v>94</v>
      </c>
      <c r="G124" s="1159">
        <f t="shared" si="30"/>
        <v>92</v>
      </c>
      <c r="H124" s="1159">
        <f t="shared" si="30"/>
        <v>90</v>
      </c>
      <c r="I124" s="1159">
        <f t="shared" si="30"/>
        <v>88</v>
      </c>
      <c r="J124" s="1159">
        <f t="shared" si="30"/>
        <v>86</v>
      </c>
      <c r="K124" s="1159">
        <f t="shared" si="30"/>
        <v>84</v>
      </c>
      <c r="L124" s="1159">
        <f t="shared" si="30"/>
        <v>82</v>
      </c>
      <c r="M124" s="1209">
        <f t="shared" si="30"/>
        <v>80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985</v>
      </c>
      <c r="C125" s="1175" t="s">
        <v>1004</v>
      </c>
      <c r="D125" s="1175" t="s">
        <v>1005</v>
      </c>
      <c r="E125" s="1175" t="s">
        <v>1006</v>
      </c>
      <c r="F125" s="1175" t="s">
        <v>1007</v>
      </c>
      <c r="G125" s="1175" t="s">
        <v>1008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98</v>
      </c>
      <c r="E126" s="1159">
        <f>D126-$K44</f>
        <v>96</v>
      </c>
      <c r="F126" s="1159">
        <f>E126-$K44</f>
        <v>94</v>
      </c>
      <c r="G126" s="1159">
        <f>F126-$K44</f>
        <v>92</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37" customWidth="1"/>
    <col min="2" max="9" width="10" style="3237" customWidth="1"/>
    <col min="10" max="16384" width="9" style="3237"/>
  </cols>
  <sheetData>
    <row r="36" spans="1:9">
      <c r="A36" s="3236" t="s">
        <v>75</v>
      </c>
      <c r="B36" s="3236" t="s">
        <v>76</v>
      </c>
    </row>
    <row r="37" spans="1:9" ht="27.75" customHeight="1">
      <c r="A37" s="3236"/>
      <c r="B37" s="3263" t="str">
        <f>项目基本情况!B1</f>
        <v>北京市房地产抵押价值预评估</v>
      </c>
      <c r="C37" s="3263"/>
      <c r="D37" s="3263"/>
      <c r="E37" s="3263"/>
      <c r="F37" s="3263"/>
      <c r="G37" s="3263"/>
      <c r="H37" s="3263"/>
      <c r="I37" s="3263"/>
    </row>
    <row r="38" spans="1:9">
      <c r="A38" s="3238"/>
      <c r="B38" s="3238"/>
    </row>
    <row r="39" spans="1:9">
      <c r="A39" s="3236" t="s">
        <v>75</v>
      </c>
      <c r="B39" s="3236" t="s">
        <v>77</v>
      </c>
    </row>
    <row r="40" spans="1:9">
      <c r="A40" s="3236"/>
      <c r="B40" s="3239">
        <f>项目基本情况!B5</f>
        <v>0</v>
      </c>
    </row>
    <row r="41" spans="1:9">
      <c r="A41" s="3236"/>
      <c r="B41" s="3236"/>
    </row>
    <row r="42" spans="1:9">
      <c r="A42" s="3236" t="s">
        <v>75</v>
      </c>
      <c r="B42" s="3236" t="s">
        <v>78</v>
      </c>
    </row>
    <row r="43" spans="1:9">
      <c r="A43" s="3236"/>
      <c r="B43" s="3239" t="s">
        <v>79</v>
      </c>
    </row>
    <row r="44" spans="1:9">
      <c r="A44" s="3236"/>
      <c r="B44" s="3236"/>
    </row>
    <row r="45" spans="1:9">
      <c r="A45" s="3236" t="s">
        <v>75</v>
      </c>
      <c r="B45" s="3236" t="s">
        <v>80</v>
      </c>
    </row>
    <row r="46" spans="1:9" s="3236" customFormat="1">
      <c r="B46" s="3239" t="str">
        <f>项目基本情况!K4</f>
        <v>（注册号：0)、（注册号：0)</v>
      </c>
    </row>
    <row r="47" spans="1:9">
      <c r="A47" s="3236"/>
      <c r="B47" s="3236" t="str">
        <f>项目基本情况!K5</f>
        <v>（注册号：0)、（注册号：0)</v>
      </c>
    </row>
    <row r="48" spans="1:9">
      <c r="A48" s="3236" t="s">
        <v>75</v>
      </c>
      <c r="B48" s="3236" t="s">
        <v>81</v>
      </c>
    </row>
    <row r="49" spans="2:2">
      <c r="B49" s="3239"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X8"/>
  <sheetViews>
    <sheetView topLeftCell="J1" workbookViewId="0">
      <selection activeCell="P7" sqref="P7"/>
    </sheetView>
  </sheetViews>
  <sheetFormatPr defaultColWidth="9" defaultRowHeight="15.6"/>
  <cols>
    <col min="1" max="10" width="9" style="2211"/>
    <col min="11" max="11" width="13.109375" style="2211" customWidth="1"/>
    <col min="12" max="17" width="9" style="2211"/>
    <col min="18" max="18" width="7.44140625" style="2211" customWidth="1"/>
    <col min="19" max="19" width="10.77734375" style="2211" customWidth="1"/>
    <col min="20" max="16384" width="9" style="2211"/>
  </cols>
  <sheetData>
    <row r="2" spans="10:24">
      <c r="L2" s="2211" t="s">
        <v>1018</v>
      </c>
      <c r="M2" s="2211" t="s">
        <v>1019</v>
      </c>
      <c r="N2" s="2211" t="s">
        <v>1020</v>
      </c>
      <c r="O2" s="2211" t="s">
        <v>1021</v>
      </c>
      <c r="P2" s="2211" t="s">
        <v>1022</v>
      </c>
      <c r="Q2" s="2211" t="s">
        <v>1023</v>
      </c>
      <c r="R2" s="2211" t="s">
        <v>2739</v>
      </c>
    </row>
    <row r="3" spans="10:24">
      <c r="J3" s="3261">
        <v>44762</v>
      </c>
      <c r="K3" s="3262" t="s">
        <v>930</v>
      </c>
      <c r="L3" s="3261" t="s">
        <v>1024</v>
      </c>
      <c r="M3" s="3262">
        <v>1250</v>
      </c>
      <c r="N3" s="3262" t="s">
        <v>2738</v>
      </c>
      <c r="O3" s="3262">
        <v>48000</v>
      </c>
      <c r="P3" s="2211" t="s">
        <v>2737</v>
      </c>
      <c r="Q3" s="2211">
        <v>2006</v>
      </c>
      <c r="R3" s="2211">
        <v>30</v>
      </c>
      <c r="T3" s="2211" t="s">
        <v>1025</v>
      </c>
      <c r="U3" s="2211">
        <v>2054</v>
      </c>
      <c r="V3" s="2211">
        <v>2022</v>
      </c>
      <c r="W3" s="2211">
        <f>U3-V3</f>
        <v>32</v>
      </c>
      <c r="X3" s="2211">
        <f>ROUND(1-(2022-Q3)/60,2)</f>
        <v>0.73</v>
      </c>
    </row>
    <row r="4" spans="10:24">
      <c r="J4" s="3261">
        <v>44770</v>
      </c>
      <c r="K4" s="3262" t="s">
        <v>931</v>
      </c>
      <c r="L4" s="3262" t="s">
        <v>1026</v>
      </c>
      <c r="M4" s="3262">
        <v>1142</v>
      </c>
      <c r="N4" s="3262" t="s">
        <v>963</v>
      </c>
      <c r="O4" s="3262">
        <v>35000</v>
      </c>
      <c r="P4" s="2211" t="s">
        <v>983</v>
      </c>
      <c r="Q4" s="2211">
        <v>2006</v>
      </c>
      <c r="R4" s="2211">
        <v>24</v>
      </c>
      <c r="T4" s="2211" t="s">
        <v>1027</v>
      </c>
      <c r="U4" s="2211">
        <v>2054</v>
      </c>
      <c r="V4" s="2211">
        <v>2022</v>
      </c>
      <c r="W4" s="2211">
        <f t="shared" ref="W4:W5" si="0">U4-V4</f>
        <v>32</v>
      </c>
      <c r="X4" s="2211">
        <f t="shared" ref="X4:X6" si="1">ROUND(1-(2022-Q4)/60,2)</f>
        <v>0.73</v>
      </c>
    </row>
    <row r="5" spans="10:24">
      <c r="J5" s="2212">
        <v>44749</v>
      </c>
      <c r="K5" s="2211" t="s">
        <v>932</v>
      </c>
      <c r="L5" s="2211" t="s">
        <v>1028</v>
      </c>
      <c r="M5" s="2211">
        <v>3311.75</v>
      </c>
      <c r="N5" s="2211" t="s">
        <v>963</v>
      </c>
      <c r="O5" s="2211">
        <v>45000</v>
      </c>
      <c r="P5" s="2211" t="s">
        <v>984</v>
      </c>
      <c r="Q5" s="2211">
        <v>2005</v>
      </c>
      <c r="R5" s="2211">
        <v>24</v>
      </c>
      <c r="S5" s="2211" t="s">
        <v>2736</v>
      </c>
      <c r="T5" s="2211" t="s">
        <v>1025</v>
      </c>
      <c r="U5" s="2211">
        <v>2053</v>
      </c>
      <c r="V5" s="2211">
        <v>2022</v>
      </c>
      <c r="W5" s="2211">
        <f t="shared" si="0"/>
        <v>31</v>
      </c>
      <c r="X5" s="2211">
        <f t="shared" si="1"/>
        <v>0.72</v>
      </c>
    </row>
    <row r="6" spans="10:24">
      <c r="J6" s="3261">
        <v>44769</v>
      </c>
      <c r="K6" s="3262" t="s">
        <v>2740</v>
      </c>
      <c r="L6" s="3262">
        <v>6.5</v>
      </c>
      <c r="M6" s="3262">
        <v>800</v>
      </c>
      <c r="N6" s="3262" t="s">
        <v>2738</v>
      </c>
      <c r="O6" s="3262">
        <v>40000</v>
      </c>
      <c r="P6" s="2211" t="s">
        <v>2743</v>
      </c>
      <c r="Q6" s="2211">
        <v>2008</v>
      </c>
      <c r="R6" s="2211">
        <v>19.5</v>
      </c>
      <c r="U6" s="2211">
        <v>2056</v>
      </c>
      <c r="V6" s="2211">
        <v>2022</v>
      </c>
      <c r="W6" s="2211">
        <f>U6-V6</f>
        <v>34</v>
      </c>
      <c r="X6" s="2211">
        <f t="shared" si="1"/>
        <v>0.77</v>
      </c>
    </row>
    <row r="8" spans="10:24">
      <c r="K8" s="2211" t="s">
        <v>1029</v>
      </c>
      <c r="L8" s="2211" t="s">
        <v>2741</v>
      </c>
      <c r="M8" s="2211">
        <v>5858.09</v>
      </c>
      <c r="N8" s="2211" t="s">
        <v>962</v>
      </c>
      <c r="P8" s="2211" t="s">
        <v>983</v>
      </c>
      <c r="Q8" s="2211">
        <v>2002</v>
      </c>
      <c r="R8" s="2211">
        <v>8</v>
      </c>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7" sqref="J37"/>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775"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73" customFormat="1" ht="21.6">
      <c r="A1" s="1776" t="s">
        <v>1030</v>
      </c>
      <c r="B1" s="1129"/>
      <c r="C1" s="1777" t="s">
        <v>452</v>
      </c>
      <c r="D1" s="1778" t="s">
        <v>124</v>
      </c>
      <c r="E1" s="1779" t="s">
        <v>1031</v>
      </c>
      <c r="F1" s="1780">
        <f ca="1">J53</f>
        <v>22.7</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1032</v>
      </c>
      <c r="B2" s="1783">
        <f ca="1">C40+J29+L46</f>
        <v>16591</v>
      </c>
      <c r="C2" s="1784" t="s">
        <v>1033</v>
      </c>
      <c r="D2" s="1784"/>
      <c r="E2" s="1786"/>
      <c r="F2" s="1787"/>
      <c r="G2" s="1788"/>
      <c r="H2" s="1789"/>
      <c r="I2" s="1789"/>
      <c r="J2" s="1789"/>
      <c r="K2" s="1947"/>
      <c r="L2" s="1789"/>
      <c r="M2" s="1789"/>
    </row>
    <row r="3" spans="1:37" ht="18" customHeight="1">
      <c r="A3" s="1790" t="s">
        <v>1034</v>
      </c>
      <c r="B3" s="1791">
        <f ca="1">IF(ISERROR(B2*10000/F43),0,ROUND(B2*10000/F43,0))</f>
        <v>28322</v>
      </c>
      <c r="C3" s="1784" t="s">
        <v>1035</v>
      </c>
      <c r="D3" s="1784"/>
      <c r="E3" s="1786"/>
      <c r="F3" s="1787"/>
      <c r="G3" s="1788"/>
      <c r="H3" s="1792" t="s">
        <v>1036</v>
      </c>
      <c r="I3" s="1948"/>
      <c r="J3" s="1948"/>
      <c r="K3" s="1949"/>
      <c r="L3" s="1948"/>
      <c r="M3" s="1948"/>
    </row>
    <row r="4" spans="1:37" ht="18" customHeight="1">
      <c r="A4" s="1793" t="s">
        <v>1037</v>
      </c>
      <c r="B4" s="1794" t="s">
        <v>1038</v>
      </c>
      <c r="C4" s="1794" t="s">
        <v>1039</v>
      </c>
      <c r="D4" s="1794" t="s">
        <v>1040</v>
      </c>
      <c r="E4" s="1795" t="s">
        <v>1041</v>
      </c>
      <c r="F4" s="1796"/>
      <c r="G4" s="773"/>
      <c r="H4" s="1793" t="s">
        <v>1037</v>
      </c>
      <c r="I4" s="1794" t="s">
        <v>1038</v>
      </c>
      <c r="J4" s="1794" t="s">
        <v>1039</v>
      </c>
      <c r="K4" s="1794" t="s">
        <v>1040</v>
      </c>
      <c r="L4" s="1795" t="s">
        <v>1041</v>
      </c>
      <c r="M4" s="1796"/>
    </row>
    <row r="5" spans="1:37" ht="18" customHeight="1">
      <c r="A5" s="1797">
        <v>1</v>
      </c>
      <c r="B5" s="1798" t="s">
        <v>1042</v>
      </c>
      <c r="C5" s="1799">
        <f ca="1">C6+C10+C12</f>
        <v>1253</v>
      </c>
      <c r="D5" s="1800" t="s">
        <v>1043</v>
      </c>
      <c r="E5" s="1801"/>
      <c r="F5" s="1802"/>
      <c r="G5" s="773"/>
      <c r="H5" s="1797">
        <v>1</v>
      </c>
      <c r="I5" s="1798" t="s">
        <v>1042</v>
      </c>
      <c r="J5" s="1799">
        <f ca="1">J6+J10+J12</f>
        <v>0</v>
      </c>
      <c r="K5" s="1800" t="s">
        <v>1043</v>
      </c>
      <c r="L5" s="1801"/>
      <c r="M5" s="1802"/>
    </row>
    <row r="6" spans="1:37" ht="18" customHeight="1">
      <c r="A6" s="1803" t="s">
        <v>823</v>
      </c>
      <c r="B6" s="3506" t="s">
        <v>1044</v>
      </c>
      <c r="C6" s="1804">
        <f ca="1">ROUND(F6*F8*F7*(1-F9)/10000,0)</f>
        <v>1251</v>
      </c>
      <c r="D6" s="1805" t="s">
        <v>1045</v>
      </c>
      <c r="E6" s="1806" t="s">
        <v>1046</v>
      </c>
      <c r="F6" s="1807">
        <f ca="1">INDIRECT("'数据-取费表'!u"&amp;$G$1)</f>
        <v>6.5</v>
      </c>
      <c r="G6" s="773"/>
      <c r="H6" s="1803" t="s">
        <v>823</v>
      </c>
      <c r="I6" s="3506" t="s">
        <v>1044</v>
      </c>
      <c r="J6" s="1878">
        <f ca="1">ROUND(M6*M8*M7*(1-M9)/10000,0)</f>
        <v>0</v>
      </c>
      <c r="K6" s="1805" t="s">
        <v>1047</v>
      </c>
      <c r="L6" s="1806" t="s">
        <v>1046</v>
      </c>
      <c r="M6" s="1807">
        <f ca="1">INDIRECT("'数据-取费表'!z"&amp;$G$1)</f>
        <v>0</v>
      </c>
    </row>
    <row r="7" spans="1:37" ht="18" customHeight="1">
      <c r="A7" s="1808"/>
      <c r="B7" s="3507"/>
      <c r="C7" s="1809"/>
      <c r="D7" s="1810"/>
      <c r="E7" s="1811" t="s">
        <v>1048</v>
      </c>
      <c r="F7" s="1807">
        <f ca="1">IF(INDIRECT("'数据-取费表'!ah"&amp;$G$1)="",INDIRECT("'数据-取费表'!k"&amp;$G$1),INDIRECT("'数据-取费表'!ah"&amp;$G$1))</f>
        <v>5858.09</v>
      </c>
      <c r="G7" s="773"/>
      <c r="H7" s="1812"/>
      <c r="I7" s="3507"/>
      <c r="J7" s="1813"/>
      <c r="K7" s="1810"/>
      <c r="L7" s="1806" t="s">
        <v>1048</v>
      </c>
      <c r="M7" s="1807">
        <f ca="1">F7</f>
        <v>5858.09</v>
      </c>
    </row>
    <row r="8" spans="1:37" ht="18" customHeight="1">
      <c r="A8" s="1812"/>
      <c r="B8" s="3507"/>
      <c r="C8" s="1813"/>
      <c r="D8" s="1810"/>
      <c r="E8" s="1806" t="s">
        <v>1049</v>
      </c>
      <c r="F8" s="1807">
        <f ca="1">INDIRECT("'数据-取费表'!ai"&amp;$G$1)</f>
        <v>365</v>
      </c>
      <c r="G8" s="773"/>
      <c r="H8" s="1812"/>
      <c r="I8" s="3507"/>
      <c r="J8" s="1813"/>
      <c r="K8" s="1810"/>
      <c r="L8" s="1806" t="s">
        <v>1049</v>
      </c>
      <c r="M8" s="1807">
        <f ca="1">INDIRECT("'数据-取费表'!ai"&amp;$G$1)</f>
        <v>365</v>
      </c>
    </row>
    <row r="9" spans="1:37" ht="18" customHeight="1">
      <c r="A9" s="1812"/>
      <c r="B9" s="3508"/>
      <c r="C9" s="1813"/>
      <c r="D9" s="1810"/>
      <c r="E9" s="1806" t="s">
        <v>1050</v>
      </c>
      <c r="F9" s="1814">
        <f ca="1">INDIRECT("'数据-取费表'!w"&amp;$G$1)</f>
        <v>0.1</v>
      </c>
      <c r="G9" s="773"/>
      <c r="H9" s="1812"/>
      <c r="I9" s="3508"/>
      <c r="J9" s="1813"/>
      <c r="K9" s="1810"/>
      <c r="L9" s="1817" t="s">
        <v>1050</v>
      </c>
      <c r="M9" s="1822">
        <f ca="1">INDIRECT("'数据-取费表'!ab"&amp;$G$1)</f>
        <v>0</v>
      </c>
    </row>
    <row r="10" spans="1:37" ht="18" customHeight="1">
      <c r="A10" s="1803" t="s">
        <v>827</v>
      </c>
      <c r="B10" s="1815" t="s">
        <v>1051</v>
      </c>
      <c r="C10" s="292">
        <f ca="1">ROUND(IF(F10="押一",C6/12*F11,IF(F10="押二",C6/12*2*F11,IF(F10="押三",C6/12*3*F11,C11*F11))),0)</f>
        <v>2</v>
      </c>
      <c r="D10" s="1816" t="s">
        <v>1052</v>
      </c>
      <c r="E10" s="1817" t="s">
        <v>1053</v>
      </c>
      <c r="F10" s="1818" t="s">
        <v>1054</v>
      </c>
      <c r="G10" s="773"/>
      <c r="H10" s="1803" t="s">
        <v>827</v>
      </c>
      <c r="I10" s="1815" t="s">
        <v>1051</v>
      </c>
      <c r="J10" s="1878">
        <f ca="1">ROUND(IF(M10="押一",J6/12*M11,IF(M10="押二",J6/12*2*M11,IF(M10="押三",J6/12*3*M11,J11*M11))),0)</f>
        <v>0</v>
      </c>
      <c r="K10" s="1816" t="s">
        <v>1052</v>
      </c>
      <c r="L10" s="1817" t="s">
        <v>1053</v>
      </c>
      <c r="M10" s="1818" t="s">
        <v>1055</v>
      </c>
    </row>
    <row r="11" spans="1:37" ht="18" customHeight="1">
      <c r="A11" s="1819"/>
      <c r="B11" s="1820" t="s">
        <v>1056</v>
      </c>
      <c r="C11" s="1821"/>
      <c r="D11" s="2204"/>
      <c r="E11" s="1817" t="s">
        <v>1057</v>
      </c>
      <c r="F11" s="1822">
        <f ca="1">'数据-取费表'!B39</f>
        <v>1.4999999999999999E-2</v>
      </c>
      <c r="G11" s="773"/>
      <c r="H11" s="1823"/>
      <c r="I11" s="1820" t="s">
        <v>1056</v>
      </c>
      <c r="J11" s="1821"/>
      <c r="K11" s="1952"/>
      <c r="L11" s="1817" t="s">
        <v>1057</v>
      </c>
      <c r="M11" s="1953">
        <f ca="1">'数据-取费表'!B39</f>
        <v>1.4999999999999999E-2</v>
      </c>
    </row>
    <row r="12" spans="1:37" ht="18" customHeight="1">
      <c r="A12" s="1824" t="s">
        <v>873</v>
      </c>
      <c r="B12" s="1825" t="s">
        <v>1058</v>
      </c>
      <c r="C12" s="1826"/>
      <c r="D12" s="1827"/>
      <c r="E12" s="1828"/>
      <c r="F12" s="1829"/>
      <c r="G12" s="773"/>
      <c r="H12" s="1824" t="s">
        <v>873</v>
      </c>
      <c r="I12" s="1825" t="s">
        <v>1058</v>
      </c>
      <c r="J12" s="1826"/>
      <c r="K12" s="1954"/>
      <c r="L12" s="1828"/>
      <c r="M12" s="1955"/>
    </row>
    <row r="13" spans="1:37" ht="18" customHeight="1">
      <c r="A13" s="1830">
        <v>2</v>
      </c>
      <c r="B13" s="1831" t="s">
        <v>1059</v>
      </c>
      <c r="C13" s="1832">
        <f ca="1">ROUND(C29*F13,0)</f>
        <v>1904</v>
      </c>
      <c r="D13" s="1833" t="s">
        <v>1060</v>
      </c>
      <c r="E13" s="1833" t="s">
        <v>1061</v>
      </c>
      <c r="F13" s="1834">
        <f ca="1">INDIRECT("'数据-取费表'!y"&amp;$G$1)</f>
        <v>0.74</v>
      </c>
      <c r="G13" s="773"/>
      <c r="H13" s="1830">
        <v>2</v>
      </c>
      <c r="I13" s="1831" t="s">
        <v>1059</v>
      </c>
      <c r="J13" s="1956">
        <f ca="1">ROUND(J14*J15,0)</f>
        <v>0</v>
      </c>
      <c r="K13" s="1856" t="s">
        <v>1060</v>
      </c>
      <c r="L13" s="1957"/>
      <c r="M13" s="1958"/>
    </row>
    <row r="14" spans="1:37" ht="18" customHeight="1">
      <c r="A14" s="1835" t="s">
        <v>846</v>
      </c>
      <c r="B14" s="1806" t="s">
        <v>1062</v>
      </c>
      <c r="C14" s="1836">
        <f ca="1">INDIRECT("'数据-取费表'!m"&amp;$G$1)+INDIRECT("'数据-取费表'!t"&amp;$G$1)</f>
        <v>1757</v>
      </c>
      <c r="D14" s="1837" t="s">
        <v>1063</v>
      </c>
      <c r="E14" s="1838"/>
      <c r="F14" s="1839"/>
      <c r="G14" s="773"/>
      <c r="H14" s="1835" t="s">
        <v>823</v>
      </c>
      <c r="I14" s="1806" t="s">
        <v>1064</v>
      </c>
      <c r="J14" s="293">
        <f ca="1">C29</f>
        <v>2573</v>
      </c>
      <c r="K14" s="1959"/>
      <c r="L14" s="1960"/>
      <c r="M14" s="1961"/>
    </row>
    <row r="15" spans="1:37" s="1774" customFormat="1" ht="18" customHeight="1">
      <c r="A15" s="1835" t="s">
        <v>850</v>
      </c>
      <c r="B15" s="1806" t="s">
        <v>1065</v>
      </c>
      <c r="C15" s="293">
        <f ca="1">ROUND(C14*F15,0)</f>
        <v>53</v>
      </c>
      <c r="D15" s="1840" t="s">
        <v>1066</v>
      </c>
      <c r="E15" s="1840" t="s">
        <v>1067</v>
      </c>
      <c r="F15" s="1841">
        <f>'数据-取费表'!B33</f>
        <v>0.03</v>
      </c>
      <c r="G15" s="1842"/>
      <c r="H15" s="1843" t="s">
        <v>827</v>
      </c>
      <c r="I15" s="1828" t="s">
        <v>1061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1068</v>
      </c>
      <c r="C16" s="293">
        <f ca="1">ROUND(INDIRECT("'数据-取费表'!m"&amp;$G$1)*F16,0)</f>
        <v>0</v>
      </c>
      <c r="D16" s="1806" t="s">
        <v>1066</v>
      </c>
      <c r="E16" s="1806" t="s">
        <v>1067</v>
      </c>
      <c r="F16" s="1844">
        <f ca="1">IF(INDIRECT("'数据-取费表'!c"&amp;$G$1)="住宅",'数据-取费表'!B34,0)</f>
        <v>0</v>
      </c>
      <c r="G16" s="773"/>
      <c r="H16" s="1830" t="s">
        <v>1069</v>
      </c>
      <c r="I16" s="1831" t="s">
        <v>1070</v>
      </c>
      <c r="J16" s="1832">
        <f ca="1">ROUND(J17+J22+J23+J24,0)</f>
        <v>49</v>
      </c>
      <c r="K16" s="1856" t="s">
        <v>1071</v>
      </c>
      <c r="L16" s="1857"/>
      <c r="M16" s="1802"/>
    </row>
    <row r="17" spans="1:37" s="1774" customFormat="1" ht="18" customHeight="1">
      <c r="A17" s="1835" t="s">
        <v>1072</v>
      </c>
      <c r="B17" s="1806" t="s">
        <v>1073</v>
      </c>
      <c r="C17" s="293">
        <f ca="1">ROUND(F17*(F43+INDIRECT("'数据-取费表'!S"&amp;$G$1))/10000,0)</f>
        <v>117</v>
      </c>
      <c r="D17" s="1806" t="s">
        <v>1074</v>
      </c>
      <c r="E17" s="1806" t="s">
        <v>1075</v>
      </c>
      <c r="F17" s="1845">
        <f>'数据-取费表'!B35</f>
        <v>200</v>
      </c>
      <c r="G17" s="1842"/>
      <c r="H17" s="1835" t="s">
        <v>823</v>
      </c>
      <c r="I17" s="1806" t="s">
        <v>1076</v>
      </c>
      <c r="J17" s="1859">
        <f ca="1">ROUND(IF(AND(项目基本情况!B11="自然人",项目基本情况!B10="北京市"),J6*M17/(1+'数据-取费表'!C42),J18+J19+J20),0)</f>
        <v>23</v>
      </c>
      <c r="K17" s="1837" t="s">
        <v>1077</v>
      </c>
      <c r="L17" s="1860" t="s">
        <v>1078</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1079</v>
      </c>
      <c r="B18" s="1806" t="s">
        <v>1080</v>
      </c>
      <c r="C18" s="293">
        <f ca="1">ROUND(C14*F18,0)</f>
        <v>26</v>
      </c>
      <c r="D18" s="1806" t="s">
        <v>1066</v>
      </c>
      <c r="E18" s="1806" t="s">
        <v>1067</v>
      </c>
      <c r="F18" s="1844">
        <f>'数据-取费表'!B36</f>
        <v>1.4999999999999999E-2</v>
      </c>
      <c r="G18" s="1842"/>
      <c r="H18" s="1835" t="s">
        <v>846</v>
      </c>
      <c r="I18" s="1806" t="s">
        <v>1081</v>
      </c>
      <c r="J18" s="293">
        <f ca="1">ROUND(J6*M18/(1+'数据-取费表'!C42),2)</f>
        <v>0</v>
      </c>
      <c r="K18" s="1860" t="s">
        <v>1082</v>
      </c>
      <c r="L18" s="1806" t="s">
        <v>1067</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1083</v>
      </c>
      <c r="C19" s="293">
        <f ca="1">SUM(C14:C18)</f>
        <v>1953</v>
      </c>
      <c r="D19" s="1846" t="s">
        <v>1084</v>
      </c>
      <c r="E19" s="295"/>
      <c r="F19" s="1845"/>
      <c r="G19" s="773"/>
      <c r="H19" s="1835" t="s">
        <v>850</v>
      </c>
      <c r="I19" s="1806" t="s">
        <v>1085</v>
      </c>
      <c r="J19" s="293">
        <f ca="1">IF(K19="按租金收入计税",ROUND(J6*M19/(1+'数据-取费表'!C42),2),ROUND(C29*M19*0.7,2))</f>
        <v>21.61</v>
      </c>
      <c r="K19" s="1863" t="s">
        <v>1086</v>
      </c>
      <c r="L19" s="1806" t="s">
        <v>1067</v>
      </c>
      <c r="M19" s="1844">
        <f>IF(K19="按租金收入计税",'数据-取费表'!B51,'数据-取费表'!B50)</f>
        <v>1.2E-2</v>
      </c>
    </row>
    <row r="20" spans="1:37" s="1774" customFormat="1" ht="18" customHeight="1">
      <c r="A20" s="1835" t="s">
        <v>827</v>
      </c>
      <c r="B20" s="1806" t="s">
        <v>1087</v>
      </c>
      <c r="C20" s="293">
        <f ca="1">ROUND(C19*F20,0)</f>
        <v>39</v>
      </c>
      <c r="D20" s="1847" t="s">
        <v>1088</v>
      </c>
      <c r="E20" s="1806" t="s">
        <v>1067</v>
      </c>
      <c r="F20" s="1844">
        <f>'数据-取费表'!B37</f>
        <v>0.02</v>
      </c>
      <c r="G20" s="1842"/>
      <c r="H20" s="1835" t="s">
        <v>853</v>
      </c>
      <c r="I20" s="1805" t="s">
        <v>1089</v>
      </c>
      <c r="J20" s="1865">
        <f ca="1">ROUND(M20*M21/10000,2)</f>
        <v>1.36</v>
      </c>
      <c r="K20" s="1866" t="s">
        <v>1090</v>
      </c>
      <c r="L20" s="1806" t="s">
        <v>1091</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1092</v>
      </c>
      <c r="C21" s="293" t="s">
        <v>124</v>
      </c>
      <c r="D21" s="1847" t="s">
        <v>1093</v>
      </c>
      <c r="E21" s="1806" t="s">
        <v>1094</v>
      </c>
      <c r="F21" s="1844">
        <f>'数据-取费表'!B38</f>
        <v>0.02</v>
      </c>
      <c r="G21" s="1842"/>
      <c r="H21" s="1848"/>
      <c r="I21" s="1965"/>
      <c r="J21" s="1869"/>
      <c r="K21" s="1870"/>
      <c r="L21" s="1806" t="s">
        <v>1095</v>
      </c>
      <c r="M21" s="1807">
        <f ca="1">INDIRECT("'数据-取费表'!r"&amp;$G$1)</f>
        <v>756.32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1096</v>
      </c>
      <c r="C22" s="293"/>
      <c r="D22" s="1846" t="str">
        <f>IF(F23&lt;=1,"单利计息。","复利计息。")&amp;"建造成本、管理费用、销售费用产生的利息。"</f>
        <v>复利计息。建造成本、管理费用、销售费用产生的利息。</v>
      </c>
      <c r="E22" s="295"/>
      <c r="F22" s="1845"/>
      <c r="G22" s="773"/>
      <c r="H22" s="1835" t="s">
        <v>827</v>
      </c>
      <c r="I22" s="1806" t="s">
        <v>1097</v>
      </c>
      <c r="J22" s="293">
        <f ca="1">ROUND(J14*M22,1)</f>
        <v>25.7</v>
      </c>
      <c r="K22" s="1860" t="s">
        <v>1098</v>
      </c>
      <c r="L22" s="1806" t="s">
        <v>1067</v>
      </c>
      <c r="M22" s="1872">
        <f ca="1">INDIRECT("'数据-取费表'!Ak"&amp;$G$1)</f>
        <v>0.01</v>
      </c>
    </row>
    <row r="23" spans="1:37" s="1774" customFormat="1" ht="18" customHeight="1">
      <c r="A23" s="1835" t="s">
        <v>846</v>
      </c>
      <c r="B23" s="1806" t="s">
        <v>1099</v>
      </c>
      <c r="C23" s="293">
        <f ca="1">IF('数据-取费表'!B22&lt;=1,ROUND(C19*F24*F23/2,0)+ROUND(C20*F24*F23/2,0),ROUND(C19*(POWER((1+F24),F23/2)-1),0)+ROUND(C20*(POWER((1+F24),F23/2)-1),0))</f>
        <v>84</v>
      </c>
      <c r="D23" s="1849" t="str">
        <f>IF(F23&lt;=1,"(建造成本+管理费用)×利率×(建设周期÷2)","(建造成本+管理费用)×((1+利率)^(建设周期÷2)-1)")</f>
        <v>(建造成本+管理费用)×((1+利率)^(建设周期÷2)-1)</v>
      </c>
      <c r="E23" s="1806" t="s">
        <v>1100</v>
      </c>
      <c r="F23" s="1850">
        <f>'数据-取费表'!B20</f>
        <v>2</v>
      </c>
      <c r="G23" s="1842"/>
      <c r="H23" s="1835" t="s">
        <v>873</v>
      </c>
      <c r="I23" s="1806" t="s">
        <v>1101</v>
      </c>
      <c r="J23" s="293">
        <f ca="1">ROUND(J13*M23,1)</f>
        <v>0</v>
      </c>
      <c r="K23" s="1860" t="s">
        <v>1102</v>
      </c>
      <c r="L23" s="1806" t="s">
        <v>1067</v>
      </c>
      <c r="M23" s="1873">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1103</v>
      </c>
      <c r="C24" s="293">
        <f ca="1">ROUND(IF('数据-取费表'!B22&lt;=1,F21*F24*F23/2,F21*(POWER((1+F24),F23/2)-1)),4)</f>
        <v>8.0000000000000004E-4</v>
      </c>
      <c r="D24" s="1849" t="str">
        <f>IF(F23&lt;=1,"销售费用×利率×(建设周期÷2)","销售费用×((1+利率)^(建设周期÷2)-1)")</f>
        <v>销售费用×((1+利率)^(建设周期÷2)-1)</v>
      </c>
      <c r="E24" s="1806" t="s">
        <v>1104</v>
      </c>
      <c r="F24" s="1851">
        <f ca="1">'数据-取费表'!B40</f>
        <v>4.2000000000000003E-2</v>
      </c>
      <c r="G24" s="1842"/>
      <c r="H24" s="1843" t="s">
        <v>876</v>
      </c>
      <c r="I24" s="1828" t="s">
        <v>1087</v>
      </c>
      <c r="J24" s="1852">
        <f ca="1">ROUND(J5*M24,1)</f>
        <v>0</v>
      </c>
      <c r="K24" s="1853" t="s">
        <v>1105</v>
      </c>
      <c r="L24" s="1828" t="s">
        <v>1067</v>
      </c>
      <c r="M24" s="1829">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880</v>
      </c>
      <c r="B25" s="1806" t="s">
        <v>1106</v>
      </c>
      <c r="C25" s="293"/>
      <c r="D25" s="1846" t="s">
        <v>1107</v>
      </c>
      <c r="E25" s="295"/>
      <c r="F25" s="1845"/>
      <c r="G25" s="773"/>
      <c r="H25" s="1830" t="s">
        <v>1108</v>
      </c>
      <c r="I25" s="1874" t="s">
        <v>1109</v>
      </c>
      <c r="J25" s="1832">
        <f ca="1">J5-J16</f>
        <v>-49</v>
      </c>
      <c r="K25" s="1875" t="s">
        <v>1110</v>
      </c>
      <c r="L25" s="1876"/>
      <c r="M25" s="1877"/>
    </row>
    <row r="26" spans="1:37">
      <c r="A26" s="1835" t="s">
        <v>846</v>
      </c>
      <c r="B26" s="1806" t="s">
        <v>1111</v>
      </c>
      <c r="C26" s="293">
        <f ca="1">ROUND((C19+C20)*F26,0)</f>
        <v>299</v>
      </c>
      <c r="D26" s="1847" t="s">
        <v>1112</v>
      </c>
      <c r="E26" s="1817" t="s">
        <v>1113</v>
      </c>
      <c r="F26" s="1814">
        <f ca="1">INDIRECT("'数据-取费表'!q"&amp;$G$1)</f>
        <v>0.15</v>
      </c>
      <c r="G26" s="773"/>
      <c r="H26" s="1797" t="s">
        <v>1114</v>
      </c>
      <c r="I26" s="1798" t="s">
        <v>1115</v>
      </c>
      <c r="J26" s="1878">
        <f ca="1">IF(J5&lt;&gt;0,ROUND(J25*(1-((1+M28)/(1+M26))^M27)/(M26-M28),0),0)</f>
        <v>0</v>
      </c>
      <c r="K26" s="1866" t="s">
        <v>1116</v>
      </c>
      <c r="L26" s="1806" t="s">
        <v>1117</v>
      </c>
      <c r="M26" s="1814">
        <f ca="1">INDIRECT("'数据-取费表'!I"&amp;$G$1)</f>
        <v>5.5E-2</v>
      </c>
    </row>
    <row r="27" spans="1:37" ht="18" customHeight="1">
      <c r="A27" s="1835" t="s">
        <v>850</v>
      </c>
      <c r="B27" s="1806" t="s">
        <v>1118</v>
      </c>
      <c r="C27" s="293">
        <f ca="1">ROUND(F21*F26,4)</f>
        <v>3.0000000000000001E-3</v>
      </c>
      <c r="D27" s="1847" t="s">
        <v>1119</v>
      </c>
      <c r="E27" s="1840"/>
      <c r="F27" s="1841"/>
      <c r="G27" s="773"/>
      <c r="H27" s="1812"/>
      <c r="I27" s="1880"/>
      <c r="J27" s="1813"/>
      <c r="K27" s="1881" t="s">
        <v>1120</v>
      </c>
      <c r="L27" s="1806" t="s">
        <v>1121</v>
      </c>
      <c r="M27" s="1882">
        <f ca="1">INDIRECT("'数据-取费表'!ag"&amp;$G$1)</f>
        <v>0</v>
      </c>
    </row>
    <row r="28" spans="1:37" s="1774" customFormat="1" ht="18" customHeight="1">
      <c r="A28" s="1835" t="s">
        <v>881</v>
      </c>
      <c r="B28" s="1806" t="s">
        <v>1122</v>
      </c>
      <c r="C28" s="293">
        <f>ROUND(F28/(1+'数据-取费表'!C42),4)</f>
        <v>5.33E-2</v>
      </c>
      <c r="D28" s="1847" t="s">
        <v>1123</v>
      </c>
      <c r="E28" s="1806" t="s">
        <v>1067</v>
      </c>
      <c r="F28" s="1844">
        <f>'数据-取费表'!B41</f>
        <v>5.6000000000000001E-2</v>
      </c>
      <c r="G28" s="1842"/>
      <c r="H28" s="1819"/>
      <c r="I28" s="1884"/>
      <c r="J28" s="1832"/>
      <c r="K28" s="1870"/>
      <c r="L28" s="1806" t="s">
        <v>1124</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1125</v>
      </c>
      <c r="B29" s="1828" t="s">
        <v>1126</v>
      </c>
      <c r="C29" s="1852">
        <f ca="1">ROUND((C19+C20+C23+C26)/(1-F21-C24-C27-C28),0)</f>
        <v>2573</v>
      </c>
      <c r="D29" s="1853"/>
      <c r="E29" s="1828"/>
      <c r="F29" s="1854"/>
      <c r="G29" s="1842"/>
      <c r="H29" s="1855" t="s">
        <v>1127</v>
      </c>
      <c r="I29" s="1885" t="s">
        <v>1128</v>
      </c>
      <c r="J29" s="1886">
        <f ca="1">ROUND(J26/(1+F40)^F41,0)</f>
        <v>0</v>
      </c>
      <c r="K29" s="1887" t="s">
        <v>1129</v>
      </c>
      <c r="L29" s="1888"/>
      <c r="M29" s="1889">
        <f ca="1">INDIRECT("'数据-取费表'!k"&amp;$G$1)</f>
        <v>5858.09</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1069</v>
      </c>
      <c r="B30" s="1831" t="s">
        <v>1070</v>
      </c>
      <c r="C30" s="1832">
        <f ca="1">ROUND(C31+C36+C37+C38,0)</f>
        <v>265</v>
      </c>
      <c r="D30" s="1856" t="s">
        <v>1071</v>
      </c>
      <c r="E30" s="1857"/>
      <c r="F30" s="1802"/>
      <c r="G30" s="773"/>
      <c r="H30" s="1858"/>
      <c r="I30" s="1966"/>
      <c r="J30" s="1967"/>
      <c r="K30" s="1968"/>
      <c r="L30" s="1969"/>
      <c r="M30" s="1970"/>
    </row>
    <row r="31" spans="1:37" ht="18" customHeight="1">
      <c r="A31" s="1835" t="s">
        <v>823</v>
      </c>
      <c r="B31" s="1806" t="s">
        <v>1076</v>
      </c>
      <c r="C31" s="1859">
        <f ca="1">ROUND(IF(AND(项目基本情况!B11="自然人",项目基本情况!B10="北京市"),C6*F31/(1+'数据-取费表'!C42),C32+C33+C34),0)</f>
        <v>211</v>
      </c>
      <c r="D31" s="1837" t="s">
        <v>1077</v>
      </c>
      <c r="E31" s="1860" t="s">
        <v>1078</v>
      </c>
      <c r="F31" s="1861" t="str">
        <f>IF(项目基本情况!B11="企业","——",IF('数据-取费表'!B10="住宅",IF(F6*F7*F8/12/(1+'数据-取费表'!F30)&gt;100000,4%,2.5%),IF(F6*F7*F8/12/(1+'数据-取费表'!F30)&gt;100000,12%,7%)))</f>
        <v>——</v>
      </c>
      <c r="G31" s="773"/>
      <c r="H31" s="1862" t="s">
        <v>1130</v>
      </c>
      <c r="I31" s="1966"/>
      <c r="J31" s="1967"/>
      <c r="K31" s="1968"/>
      <c r="L31" s="1969"/>
      <c r="M31" s="1970"/>
    </row>
    <row r="32" spans="1:37" ht="18" customHeight="1">
      <c r="A32" s="1835" t="s">
        <v>846</v>
      </c>
      <c r="B32" s="1806" t="s">
        <v>1081</v>
      </c>
      <c r="C32" s="293">
        <f ca="1">IF(项目基本情况!B11="自然人","——",ROUND(C6*F32/(1+'数据-取费表'!C42),2))</f>
        <v>66.72</v>
      </c>
      <c r="D32" s="1860" t="s">
        <v>1082</v>
      </c>
      <c r="E32" s="1806" t="s">
        <v>1067</v>
      </c>
      <c r="F32" s="1851">
        <f>'数据-取费表'!B41</f>
        <v>5.6000000000000001E-2</v>
      </c>
      <c r="G32" s="773"/>
      <c r="H32" s="1858"/>
      <c r="I32" s="1966"/>
      <c r="J32" s="1967"/>
      <c r="K32" s="1968"/>
      <c r="L32" s="1969"/>
      <c r="M32" s="1970"/>
    </row>
    <row r="33" spans="1:18" ht="18" customHeight="1">
      <c r="A33" s="1835" t="s">
        <v>850</v>
      </c>
      <c r="B33" s="1806" t="s">
        <v>1085</v>
      </c>
      <c r="C33" s="293">
        <f ca="1">IF(项目基本情况!B11="自然人","——",IF(D33="按租金收入计税",ROUND(C6*F33/(1+'数据-取费表'!C42),2),IF(D33="按房产原值计税",ROUND(C29*F33*0.7,2),INDIRECT("'数据-取费表'!Aj"&amp;$G$1))))</f>
        <v>142.97</v>
      </c>
      <c r="D33" s="1863" t="s">
        <v>1131</v>
      </c>
      <c r="E33" s="1806" t="s">
        <v>1067</v>
      </c>
      <c r="F33" s="1844">
        <f>IF(D33="按票据","——",IF(D33="按租金收入计税",'数据-取费表'!B51,'数据-取费表'!B50))</f>
        <v>0.12</v>
      </c>
      <c r="G33" s="773"/>
      <c r="H33" s="1864"/>
      <c r="I33" s="1966"/>
      <c r="J33" s="1967"/>
      <c r="K33" s="1971"/>
      <c r="L33" s="1864"/>
      <c r="M33" s="1864"/>
    </row>
    <row r="34" spans="1:18" ht="18" customHeight="1">
      <c r="A34" s="1803" t="s">
        <v>853</v>
      </c>
      <c r="B34" s="1805" t="s">
        <v>1089</v>
      </c>
      <c r="C34" s="1865">
        <f ca="1">IF(项目基本情况!B11="自然人","——",ROUND(F34*F35/10000,2))</f>
        <v>1.36</v>
      </c>
      <c r="D34" s="1866" t="s">
        <v>1090</v>
      </c>
      <c r="E34" s="1806" t="s">
        <v>1091</v>
      </c>
      <c r="F34" s="1850">
        <f>'数据-取费表'!B52</f>
        <v>18</v>
      </c>
      <c r="G34" s="773"/>
      <c r="H34" s="1858"/>
      <c r="I34" s="1966"/>
      <c r="J34" s="1967"/>
      <c r="K34" s="1972"/>
      <c r="L34" s="1973"/>
      <c r="M34" s="1973"/>
    </row>
    <row r="35" spans="1:18" ht="18" customHeight="1">
      <c r="A35" s="1867"/>
      <c r="B35" s="1868"/>
      <c r="C35" s="1869"/>
      <c r="D35" s="1870"/>
      <c r="E35" s="1806" t="s">
        <v>1095</v>
      </c>
      <c r="F35" s="1807">
        <f ca="1">INDIRECT("'数据-取费表'!r"&amp;$G$1)</f>
        <v>756.32</v>
      </c>
      <c r="G35" s="773"/>
      <c r="H35" s="1858"/>
      <c r="I35" s="1966"/>
      <c r="J35" s="1967"/>
      <c r="K35" s="1971"/>
      <c r="L35" s="1864"/>
      <c r="M35" s="1864"/>
    </row>
    <row r="36" spans="1:18" ht="18" customHeight="1">
      <c r="A36" s="1871" t="s">
        <v>827</v>
      </c>
      <c r="B36" s="1806" t="s">
        <v>1097</v>
      </c>
      <c r="C36" s="293">
        <f ca="1">ROUND(C29*F36,1)</f>
        <v>25.7</v>
      </c>
      <c r="D36" s="1860" t="s">
        <v>1132</v>
      </c>
      <c r="E36" s="1806" t="s">
        <v>1067</v>
      </c>
      <c r="F36" s="1872">
        <f ca="1">INDIRECT("'数据-取费表'!Ak"&amp;$G$1)</f>
        <v>0.01</v>
      </c>
      <c r="G36" s="773"/>
      <c r="H36" s="1864"/>
      <c r="I36" s="1966"/>
      <c r="J36" s="1967"/>
      <c r="K36" s="1974"/>
      <c r="L36" s="1864"/>
      <c r="M36" s="1864"/>
    </row>
    <row r="37" spans="1:18" ht="18" customHeight="1">
      <c r="A37" s="1835" t="s">
        <v>873</v>
      </c>
      <c r="B37" s="1806" t="s">
        <v>1101</v>
      </c>
      <c r="C37" s="293">
        <f ca="1">ROUND(C13*F37,1)</f>
        <v>2.9</v>
      </c>
      <c r="D37" s="1860" t="s">
        <v>1102</v>
      </c>
      <c r="E37" s="1806" t="s">
        <v>1067</v>
      </c>
      <c r="F37" s="1873">
        <f ca="1">INDIRECT("'数据-取费表'!Al"&amp;$G$1)</f>
        <v>1.5E-3</v>
      </c>
      <c r="G37" s="773"/>
      <c r="H37" s="1864"/>
      <c r="I37" s="1966"/>
      <c r="J37" s="1967"/>
      <c r="K37" s="1974"/>
      <c r="L37" s="1864"/>
      <c r="M37" s="1864"/>
    </row>
    <row r="38" spans="1:18" ht="18" customHeight="1">
      <c r="A38" s="1843" t="s">
        <v>876</v>
      </c>
      <c r="B38" s="1828" t="s">
        <v>1087</v>
      </c>
      <c r="C38" s="1852">
        <f ca="1">ROUND(C5*F38,1)</f>
        <v>25.1</v>
      </c>
      <c r="D38" s="1853" t="s">
        <v>1105</v>
      </c>
      <c r="E38" s="1828" t="s">
        <v>1067</v>
      </c>
      <c r="F38" s="1829">
        <f ca="1">INDIRECT("'数据-取费表'!Am"&amp;$G$1)</f>
        <v>0.02</v>
      </c>
      <c r="G38" s="773"/>
      <c r="H38" s="1864"/>
      <c r="I38" s="1966"/>
      <c r="J38" s="1967"/>
      <c r="K38" s="1975"/>
      <c r="L38" s="1864"/>
      <c r="M38" s="1864"/>
    </row>
    <row r="39" spans="1:18" ht="24.6" customHeight="1">
      <c r="A39" s="1830" t="s">
        <v>1108</v>
      </c>
      <c r="B39" s="1874" t="s">
        <v>1109</v>
      </c>
      <c r="C39" s="1832">
        <f ca="1">C5-C30</f>
        <v>988</v>
      </c>
      <c r="D39" s="1875" t="s">
        <v>1110</v>
      </c>
      <c r="E39" s="1876"/>
      <c r="F39" s="1877"/>
      <c r="G39" s="773"/>
      <c r="H39" s="1864"/>
      <c r="I39" s="1966"/>
      <c r="J39" s="1967"/>
      <c r="K39" s="1975"/>
      <c r="L39" s="1864"/>
      <c r="M39" s="1864"/>
    </row>
    <row r="40" spans="1:18" ht="18" customHeight="1">
      <c r="A40" s="1797" t="s">
        <v>1114</v>
      </c>
      <c r="B40" s="1798" t="s">
        <v>1133</v>
      </c>
      <c r="C40" s="1878">
        <f ca="1">ROUND(C39*(1-((1+F42)/(1+F40))^F41)/(F40-F42),0)</f>
        <v>16591</v>
      </c>
      <c r="D40" s="1866" t="s">
        <v>1116</v>
      </c>
      <c r="E40" s="1806" t="s">
        <v>1117</v>
      </c>
      <c r="F40" s="1814">
        <f ca="1">INDIRECT("'数据-取费表'!I"&amp;$G$1)</f>
        <v>5.5E-2</v>
      </c>
      <c r="G40" s="773"/>
      <c r="H40" s="1879"/>
      <c r="I40" s="1966"/>
      <c r="J40" s="1967"/>
      <c r="K40" s="1975"/>
      <c r="L40" s="1879"/>
      <c r="M40" s="1879"/>
    </row>
    <row r="41" spans="1:18" ht="18" customHeight="1">
      <c r="A41" s="1812"/>
      <c r="B41" s="1880"/>
      <c r="C41" s="1813"/>
      <c r="D41" s="1881" t="s">
        <v>1120</v>
      </c>
      <c r="E41" s="1806" t="s">
        <v>1121</v>
      </c>
      <c r="F41" s="1882">
        <f ca="1">IF(INDIRECT("'数据-取费表'!af"&amp;$G$1)=0,INDIRECT("'数据-取费表'!ae"&amp;$G$1),INDIRECT("'数据-取费表'!af"&amp;$G$1))</f>
        <v>22.7</v>
      </c>
      <c r="G41" s="773"/>
      <c r="H41" s="1883"/>
      <c r="I41" s="1966"/>
      <c r="J41" s="1967"/>
      <c r="K41" s="1974"/>
      <c r="L41" s="1883"/>
      <c r="M41" s="1883"/>
    </row>
    <row r="42" spans="1:18" ht="18" customHeight="1">
      <c r="A42" s="1819"/>
      <c r="B42" s="1884"/>
      <c r="C42" s="1832"/>
      <c r="D42" s="1870"/>
      <c r="E42" s="1806" t="s">
        <v>1124</v>
      </c>
      <c r="F42" s="1814">
        <f ca="1">INDIRECT("'数据-取费表'!v"&amp;$G$1)</f>
        <v>0.03</v>
      </c>
      <c r="G42" s="773"/>
      <c r="H42" s="1883"/>
      <c r="I42" s="1966"/>
      <c r="J42" s="1967"/>
      <c r="K42" s="1974"/>
      <c r="L42" s="1883"/>
      <c r="M42" s="1883"/>
    </row>
    <row r="43" spans="1:18" ht="18" customHeight="1">
      <c r="A43" s="1855" t="s">
        <v>1127</v>
      </c>
      <c r="B43" s="1885" t="s">
        <v>1134</v>
      </c>
      <c r="C43" s="1886">
        <f ca="1">ROUND(C40*10000/F43,0)</f>
        <v>28322</v>
      </c>
      <c r="D43" s="1887" t="s">
        <v>1135</v>
      </c>
      <c r="E43" s="1888" t="s">
        <v>1136</v>
      </c>
      <c r="F43" s="1889">
        <f ca="1">INDIRECT("'数据-取费表'!k"&amp;$G$1)</f>
        <v>5858.09</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1"/>
      <c r="D45" s="1890"/>
      <c r="E45" s="1890"/>
      <c r="F45" s="1890"/>
      <c r="J45" s="327"/>
      <c r="O45" s="2210" t="s">
        <v>1137</v>
      </c>
      <c r="P45" s="1879"/>
      <c r="Q45" s="1879"/>
      <c r="R45" s="1879"/>
    </row>
    <row r="46" spans="1:18" s="773" customFormat="1">
      <c r="A46" s="1894" t="s">
        <v>1138</v>
      </c>
      <c r="C46" s="1895">
        <f ca="1">C68-C40</f>
        <v>-19737</v>
      </c>
      <c r="D46" s="1896" t="str">
        <f>C2</f>
        <v>万元</v>
      </c>
      <c r="E46" s="1890"/>
      <c r="F46" s="1890"/>
      <c r="I46" s="1978" t="s">
        <v>1139</v>
      </c>
      <c r="J46" s="1979"/>
      <c r="K46" s="1980"/>
      <c r="L46" s="1981" t="str">
        <f ca="1">IF(M47="住宅",0,IF(L48&gt;J51,L60,J60))</f>
        <v>0</v>
      </c>
      <c r="O46" s="1982" t="s">
        <v>1140</v>
      </c>
      <c r="P46" s="1983" t="s">
        <v>1141</v>
      </c>
      <c r="Q46" s="2027" t="s">
        <v>1142</v>
      </c>
      <c r="R46" s="2027" t="s">
        <v>1143</v>
      </c>
    </row>
    <row r="47" spans="1:18" s="773" customFormat="1">
      <c r="A47" s="1897" t="s">
        <v>1037</v>
      </c>
      <c r="B47" s="1898" t="s">
        <v>1038</v>
      </c>
      <c r="C47" s="2205" t="s">
        <v>1039</v>
      </c>
      <c r="D47" s="1898" t="s">
        <v>1040</v>
      </c>
      <c r="E47" s="1899" t="s">
        <v>1041</v>
      </c>
      <c r="F47" s="286"/>
      <c r="G47" s="1900"/>
      <c r="I47" s="1984" t="s">
        <v>1144</v>
      </c>
      <c r="J47" s="1985" t="s">
        <v>971</v>
      </c>
      <c r="K47" s="1986" t="s">
        <v>1145</v>
      </c>
      <c r="L47" s="1987">
        <f ca="1">INDIRECT("'数据-取费表'!d"&amp;$G$1)</f>
        <v>50</v>
      </c>
      <c r="M47" s="1988" t="str">
        <f>IF(ISNUMBER(FIND("住宅",C1)),"住宅","非住宅")</f>
        <v>非住宅</v>
      </c>
      <c r="O47" s="1989" t="s">
        <v>1146</v>
      </c>
      <c r="P47" s="1990" t="s">
        <v>1147</v>
      </c>
      <c r="Q47" s="2028">
        <f ca="1">C40+J29</f>
        <v>16591</v>
      </c>
      <c r="R47" s="2028" t="s">
        <v>1148</v>
      </c>
    </row>
    <row r="48" spans="1:18" s="773" customFormat="1" ht="39.6">
      <c r="A48" s="1901" t="s">
        <v>1149</v>
      </c>
      <c r="B48" s="1798" t="s">
        <v>1042</v>
      </c>
      <c r="C48" s="294">
        <f ca="1">C49+C53+C55</f>
        <v>0</v>
      </c>
      <c r="D48" s="1902"/>
      <c r="E48" s="1903"/>
      <c r="F48" s="1904"/>
      <c r="G48" s="1900"/>
      <c r="H48" s="1905"/>
      <c r="I48" s="834" t="s">
        <v>1150</v>
      </c>
      <c r="J48" s="1991" t="s">
        <v>1151</v>
      </c>
      <c r="K48" s="1992" t="s">
        <v>1152</v>
      </c>
      <c r="L48" s="1993">
        <f ca="1">INDIRECT("'数据-取费表'!f"&amp;$G$1)</f>
        <v>22.7</v>
      </c>
      <c r="O48" s="1989" t="s">
        <v>1153</v>
      </c>
      <c r="P48" s="1990" t="s">
        <v>1154</v>
      </c>
      <c r="Q48" s="2028" t="str">
        <f ca="1">J60</f>
        <v>0</v>
      </c>
      <c r="R48" s="2028" t="s">
        <v>1155</v>
      </c>
    </row>
    <row r="49" spans="1:18" s="773" customFormat="1">
      <c r="A49" s="1906" t="s">
        <v>1156</v>
      </c>
      <c r="B49" s="1907" t="s">
        <v>1157</v>
      </c>
      <c r="C49" s="1908">
        <f ca="1">ROUND(F49*F51*F50*(1-F52)/10000,0)</f>
        <v>0</v>
      </c>
      <c r="D49" s="1909" t="s">
        <v>1047</v>
      </c>
      <c r="E49" s="1910" t="s">
        <v>1158</v>
      </c>
      <c r="F49" s="1911"/>
      <c r="G49" s="1912"/>
      <c r="H49" s="1905"/>
      <c r="I49" s="834" t="s">
        <v>1159</v>
      </c>
      <c r="J49" s="1994">
        <f>'数据-取费表'!N18</f>
        <v>2002</v>
      </c>
      <c r="K49" s="1992" t="s">
        <v>1160</v>
      </c>
      <c r="L49" s="1995"/>
      <c r="O49" s="1996" t="s">
        <v>1161</v>
      </c>
      <c r="P49" s="1990" t="s">
        <v>1162</v>
      </c>
      <c r="Q49" s="2028">
        <f ca="1">C29</f>
        <v>2573</v>
      </c>
      <c r="R49" s="2028" t="s">
        <v>1148</v>
      </c>
    </row>
    <row r="50" spans="1:18" s="773" customFormat="1">
      <c r="A50" s="1913"/>
      <c r="B50" s="1914"/>
      <c r="C50" s="2206"/>
      <c r="D50" s="1916"/>
      <c r="E50" s="1917" t="s">
        <v>1048</v>
      </c>
      <c r="F50" s="1918">
        <f ca="1">F7</f>
        <v>5858.09</v>
      </c>
      <c r="H50" s="1905"/>
      <c r="I50" s="834" t="s">
        <v>1163</v>
      </c>
      <c r="J50" s="1997">
        <f>SUMPRODUCT((I63:I65=J47)*(J62:L62=J48)*(J63:L65))</f>
        <v>60</v>
      </c>
      <c r="K50" s="1992" t="s">
        <v>1164</v>
      </c>
      <c r="L50" s="1995"/>
      <c r="M50" s="1998"/>
      <c r="O50" s="1996" t="s">
        <v>1165</v>
      </c>
      <c r="P50" s="1990" t="s">
        <v>1166</v>
      </c>
      <c r="Q50" s="2029" t="e">
        <f ca="1">J58</f>
        <v>#VALUE!</v>
      </c>
      <c r="R50" s="2028"/>
    </row>
    <row r="51" spans="1:18" s="773" customFormat="1">
      <c r="A51" s="1919"/>
      <c r="B51" s="1914"/>
      <c r="C51" s="1915"/>
      <c r="D51" s="1916"/>
      <c r="E51" s="1920" t="s">
        <v>1049</v>
      </c>
      <c r="F51" s="1807">
        <f ca="1">F8</f>
        <v>365</v>
      </c>
      <c r="I51" s="1999" t="s">
        <v>1167</v>
      </c>
      <c r="J51" s="2000">
        <f>IF(J49="",J50,J49+J50-YEAR('数据-取费表'!B2))</f>
        <v>40</v>
      </c>
      <c r="K51" s="2001" t="s">
        <v>1168</v>
      </c>
      <c r="L51" s="2002">
        <f ca="1">ROUND(-PV(INDIRECT("'数据-取费表'!h"&amp;$G$1),J51,(C39-C13*C76),0),0)</f>
        <v>14503</v>
      </c>
      <c r="M51" s="2003"/>
      <c r="O51" s="1996" t="s">
        <v>1169</v>
      </c>
      <c r="P51" s="1990" t="s">
        <v>1170</v>
      </c>
      <c r="Q51" s="2029">
        <f>J52</f>
        <v>0.08</v>
      </c>
      <c r="R51" s="2028"/>
    </row>
    <row r="52" spans="1:18" s="773" customFormat="1">
      <c r="A52" s="1919"/>
      <c r="B52" s="1914"/>
      <c r="C52" s="1915"/>
      <c r="D52" s="1916"/>
      <c r="E52" s="1920" t="s">
        <v>1050</v>
      </c>
      <c r="F52" s="1921"/>
      <c r="I52" s="2004" t="s">
        <v>1171</v>
      </c>
      <c r="J52" s="2005">
        <v>0.08</v>
      </c>
      <c r="K52" s="2004" t="s">
        <v>1172</v>
      </c>
      <c r="L52" s="2005"/>
      <c r="O52" s="1996" t="s">
        <v>1173</v>
      </c>
      <c r="P52" s="1990" t="s">
        <v>1174</v>
      </c>
      <c r="Q52" s="2028">
        <f ca="1">J53</f>
        <v>22.7</v>
      </c>
      <c r="R52" s="2028" t="s">
        <v>1175</v>
      </c>
    </row>
    <row r="53" spans="1:18" s="773" customFormat="1" ht="36">
      <c r="A53" s="2207" t="s">
        <v>1176</v>
      </c>
      <c r="B53" s="2208" t="s">
        <v>1051</v>
      </c>
      <c r="C53" s="292">
        <f ca="1">ROUND(IF(F53="押一",C49/12*F11,IF(F53="押二",C49/12*2*F11,IF(F53="押三",C49/12*3*F11,C54*F11))),0)</f>
        <v>0</v>
      </c>
      <c r="D53" s="1816" t="s">
        <v>1052</v>
      </c>
      <c r="E53" s="1817" t="s">
        <v>1053</v>
      </c>
      <c r="F53" s="1818"/>
      <c r="I53" s="2006" t="s">
        <v>1177</v>
      </c>
      <c r="J53" s="2007">
        <f ca="1">IF(M47="住宅",IF(D1="——",MAX(J51,L48),MAX(J51,L48-'数据-取费表'!B24)),IF(D1="——",MIN(J51,L48),MIN(J51,L48-'数据-取费表'!B24)))</f>
        <v>22.7</v>
      </c>
      <c r="K53" s="3504" t="s">
        <v>1178</v>
      </c>
      <c r="L53" s="3505"/>
      <c r="O53" s="1989" t="s">
        <v>1179</v>
      </c>
      <c r="P53" s="1990" t="s">
        <v>1180</v>
      </c>
      <c r="Q53" s="2028">
        <f ca="1">Q47+Q48</f>
        <v>16591</v>
      </c>
      <c r="R53" s="2028" t="s">
        <v>1181</v>
      </c>
    </row>
    <row r="54" spans="1:18" s="773" customFormat="1" ht="24">
      <c r="A54" s="2209"/>
      <c r="B54" s="1820" t="s">
        <v>1056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1182</v>
      </c>
      <c r="P54" s="2010"/>
      <c r="Q54" s="2010"/>
      <c r="R54" s="2010"/>
    </row>
    <row r="55" spans="1:18" s="773" customFormat="1">
      <c r="A55" s="1824" t="s">
        <v>873</v>
      </c>
      <c r="B55" s="1825" t="s">
        <v>1058</v>
      </c>
      <c r="C55" s="1826"/>
      <c r="D55" s="1816"/>
      <c r="E55" s="1924"/>
      <c r="F55" s="1925"/>
      <c r="I55" s="2011" t="s">
        <v>1183</v>
      </c>
      <c r="J55" s="2012" t="e">
        <f ca="1">ROUND(IF(J47="钢混",J57/J50,1-(1-2%)*(J50-J57)/J50),3)</f>
        <v>#VALUE!</v>
      </c>
      <c r="K55" s="2013" t="s">
        <v>1184</v>
      </c>
      <c r="L55" s="2014" t="s">
        <v>1185</v>
      </c>
      <c r="O55" s="1982" t="s">
        <v>1140</v>
      </c>
      <c r="P55" s="1983" t="s">
        <v>1141</v>
      </c>
      <c r="Q55" s="2027" t="s">
        <v>1142</v>
      </c>
      <c r="R55" s="2027" t="s">
        <v>1143</v>
      </c>
    </row>
    <row r="56" spans="1:18" s="773" customFormat="1" ht="36">
      <c r="A56" s="1926">
        <v>2</v>
      </c>
      <c r="B56" s="1927" t="s">
        <v>1059</v>
      </c>
      <c r="C56" s="186">
        <f ca="1">C13</f>
        <v>1904</v>
      </c>
      <c r="D56" s="1928"/>
      <c r="E56" s="1929"/>
      <c r="F56" s="1925"/>
      <c r="I56" s="2015" t="s">
        <v>1186</v>
      </c>
      <c r="J56" s="2016" t="s">
        <v>461</v>
      </c>
      <c r="K56" s="834" t="s">
        <v>1187</v>
      </c>
      <c r="L56" s="1993" t="str">
        <f ca="1">IF(L48&lt;J51,"——",L48-J53)</f>
        <v>——</v>
      </c>
      <c r="O56" s="1989" t="s">
        <v>1146</v>
      </c>
      <c r="P56" s="1990" t="s">
        <v>1147</v>
      </c>
      <c r="Q56" s="2028">
        <f ca="1">C40+J29</f>
        <v>16591</v>
      </c>
      <c r="R56" s="2028" t="s">
        <v>1148</v>
      </c>
    </row>
    <row r="57" spans="1:18" s="773" customFormat="1" ht="24">
      <c r="A57" s="1930"/>
      <c r="B57" s="1931" t="s">
        <v>1126</v>
      </c>
      <c r="C57" s="196">
        <f ca="1">C29</f>
        <v>2573</v>
      </c>
      <c r="D57" s="1932"/>
      <c r="E57" s="1933"/>
      <c r="F57" s="1934"/>
      <c r="I57" s="2017" t="s">
        <v>1188</v>
      </c>
      <c r="J57" s="2018" t="str">
        <f ca="1">IF(OR(M47="住宅",J51&lt;L48,J56="是"),"——",J51-L48)</f>
        <v>——</v>
      </c>
      <c r="K57" s="834" t="s">
        <v>1189</v>
      </c>
      <c r="L57" s="1993" t="str">
        <f ca="1">IF(L48&lt;J51,"——",IF(L55="比较法",L49,IF(L55="基准地价",L50,L51)))</f>
        <v>——</v>
      </c>
      <c r="O57" s="1989" t="s">
        <v>1153</v>
      </c>
      <c r="P57" s="1990" t="s">
        <v>1190</v>
      </c>
      <c r="Q57" s="2028">
        <f ca="1">L60</f>
        <v>0</v>
      </c>
      <c r="R57" s="2028" t="s">
        <v>1191</v>
      </c>
    </row>
    <row r="58" spans="1:18" s="773" customFormat="1" ht="24">
      <c r="A58" s="1935" t="s">
        <v>1069</v>
      </c>
      <c r="B58" s="1927" t="s">
        <v>1070</v>
      </c>
      <c r="C58" s="292">
        <f ca="1">ROUND(C59+C64+C65+C66,0)</f>
        <v>246</v>
      </c>
      <c r="D58" s="1936" t="s">
        <v>1071</v>
      </c>
      <c r="E58" s="1937"/>
      <c r="F58" s="1904"/>
      <c r="I58" s="2017" t="s">
        <v>1192</v>
      </c>
      <c r="J58" s="2019" t="e">
        <f ca="1">IF(J55&lt;0.4,0.4,J55)</f>
        <v>#VALUE!</v>
      </c>
      <c r="K58" s="2001" t="s">
        <v>1193</v>
      </c>
      <c r="L58" s="1993" t="e">
        <f ca="1">ROUND(POWER(1+L52,L47-L48)*(POWER(1+L52,L48)-1)/(POWER(1+L52,L47)-1),4)</f>
        <v>#DIV/0!</v>
      </c>
      <c r="O58" s="1996" t="s">
        <v>1161</v>
      </c>
      <c r="P58" s="1990" t="s">
        <v>1194</v>
      </c>
      <c r="Q58" s="2028">
        <f>IF(L55="比较法",L49,IF(L55="基准地价",L50,0))</f>
        <v>0</v>
      </c>
      <c r="R58" s="2028" t="s">
        <v>1148</v>
      </c>
    </row>
    <row r="59" spans="1:18" s="773" customFormat="1" ht="24">
      <c r="A59" s="1835" t="s">
        <v>823</v>
      </c>
      <c r="B59" s="1931" t="s">
        <v>1076</v>
      </c>
      <c r="C59" s="1859">
        <f ca="1">ROUND(IF(AND(项目基本情况!B11="自然人",项目基本情况!B10="北京市"),C49*F59/(1+'数据-取费表'!C42),C60+C61+C62),0)</f>
        <v>217</v>
      </c>
      <c r="D59" s="1938" t="s">
        <v>1077</v>
      </c>
      <c r="E59" s="1939" t="s">
        <v>1078</v>
      </c>
      <c r="F59" s="1861" t="str">
        <f>IF(项目基本情况!B11="企业","——",IF('数据-取费表'!B10="住宅",IF(F49*F50*F51/12/(1+'数据-取费表'!F30)&gt;100000,4%,2.5%),IF(F49*F50*F51/12/(1+'数据-取费表'!F30)&gt;100000,12%,7%)))</f>
        <v>——</v>
      </c>
      <c r="I59" s="2017" t="s">
        <v>1195</v>
      </c>
      <c r="J59" s="2018"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1165</v>
      </c>
      <c r="P59" s="1990" t="s">
        <v>1196</v>
      </c>
      <c r="Q59" s="2029">
        <f>L52</f>
        <v>0</v>
      </c>
      <c r="R59" s="2028"/>
    </row>
    <row r="60" spans="1:18" s="773" customFormat="1" ht="15.6">
      <c r="A60" s="1835" t="s">
        <v>846</v>
      </c>
      <c r="B60" s="1931" t="s">
        <v>1081</v>
      </c>
      <c r="C60" s="293">
        <f ca="1">IF(项目基本情况!B11="自然人","——",ROUND(C48*F60/(1+'数据-取费表'!C42),2))</f>
        <v>0</v>
      </c>
      <c r="D60" s="1939" t="s">
        <v>1082</v>
      </c>
      <c r="E60" s="1931" t="s">
        <v>1067</v>
      </c>
      <c r="F60" s="1851">
        <f t="shared" ref="F60:F66" si="0">F32</f>
        <v>5.6000000000000001E-2</v>
      </c>
      <c r="I60" s="2020" t="s">
        <v>1197</v>
      </c>
      <c r="J60" s="2021" t="str">
        <f ca="1">IF(OR(M47="住宅",J51&lt;L48,J56="是"),"0",ROUND(J59/(1+J52)^J53,0))</f>
        <v>0</v>
      </c>
      <c r="K60" s="2022" t="s">
        <v>1198</v>
      </c>
      <c r="L60" s="2021">
        <f ca="1">IF(OR(M47="住宅",L48&lt;J51),0,ROUND(L57*(L58/L59-1),0))</f>
        <v>0</v>
      </c>
      <c r="O60" s="1996" t="s">
        <v>1169</v>
      </c>
      <c r="P60" s="1990" t="s">
        <v>1199</v>
      </c>
      <c r="Q60" s="2028" t="e">
        <f ca="1">L58</f>
        <v>#DIV/0!</v>
      </c>
      <c r="R60" s="2028" t="s">
        <v>1200</v>
      </c>
    </row>
    <row r="61" spans="1:18" s="773" customFormat="1">
      <c r="A61" s="1835" t="s">
        <v>850</v>
      </c>
      <c r="B61" s="1931" t="s">
        <v>1085</v>
      </c>
      <c r="C61" s="293">
        <f ca="1">IF(项目基本情况!B11="自然人","——",IF(D61="按租金收入计税",ROUND(C49*F61/(1+'数据-取费表'!C42),2),IF(D61="按房产原值计税",ROUND(C57*F61*0.7,2),INDIRECT("'数据-取费表'!Aj"&amp;$G$1))))</f>
        <v>216.13</v>
      </c>
      <c r="D61" s="1863" t="s">
        <v>1086</v>
      </c>
      <c r="E61" s="1931" t="s">
        <v>1067</v>
      </c>
      <c r="F61" s="1844">
        <f t="shared" si="0"/>
        <v>0.12</v>
      </c>
      <c r="I61" s="1879"/>
      <c r="J61" s="1879"/>
      <c r="K61" s="1879"/>
      <c r="L61" s="1879"/>
      <c r="O61" s="1996" t="s">
        <v>1173</v>
      </c>
      <c r="P61" s="1990" t="str">
        <f>K59</f>
        <v>建筑物剩余耐用年限下的土地年期修正系数Kn</v>
      </c>
      <c r="Q61" s="2028" t="e">
        <f ca="1">L59</f>
        <v>#DIV/0!</v>
      </c>
      <c r="R61" s="2028" t="s">
        <v>1201</v>
      </c>
    </row>
    <row r="62" spans="1:18" s="773" customFormat="1">
      <c r="A62" s="1835" t="s">
        <v>853</v>
      </c>
      <c r="B62" s="1940" t="s">
        <v>1089</v>
      </c>
      <c r="C62" s="1865">
        <f ca="1">IF(项目基本情况!B11="自然人","——",ROUND(F62*F63/10000,2))</f>
        <v>1.36</v>
      </c>
      <c r="D62" s="1941" t="s">
        <v>1090</v>
      </c>
      <c r="E62" s="1931" t="s">
        <v>1091</v>
      </c>
      <c r="F62" s="1850">
        <f t="shared" si="0"/>
        <v>18</v>
      </c>
      <c r="I62" s="2023" t="s">
        <v>1202</v>
      </c>
      <c r="J62" s="2024" t="s">
        <v>1203</v>
      </c>
      <c r="K62" s="2024" t="s">
        <v>1204</v>
      </c>
      <c r="L62" s="2024" t="s">
        <v>1205</v>
      </c>
      <c r="M62" s="2025" t="s">
        <v>1206</v>
      </c>
      <c r="O62" s="1989" t="s">
        <v>1179</v>
      </c>
      <c r="P62" s="1990" t="s">
        <v>1180</v>
      </c>
      <c r="Q62" s="2028">
        <f ca="1">Q56+Q57</f>
        <v>16591</v>
      </c>
      <c r="R62" s="2028" t="s">
        <v>1181</v>
      </c>
    </row>
    <row r="63" spans="1:18" s="773" customFormat="1">
      <c r="A63" s="1848"/>
      <c r="B63" s="1942"/>
      <c r="C63" s="1869"/>
      <c r="D63" s="1943"/>
      <c r="E63" s="1931" t="s">
        <v>1095</v>
      </c>
      <c r="F63" s="1807">
        <f t="shared" ca="1" si="0"/>
        <v>756.32</v>
      </c>
      <c r="I63" s="2023" t="s">
        <v>1207</v>
      </c>
      <c r="J63" s="2024">
        <v>70</v>
      </c>
      <c r="K63" s="2024">
        <v>50</v>
      </c>
      <c r="L63" s="2024">
        <v>80</v>
      </c>
      <c r="M63" s="2026">
        <v>0.02</v>
      </c>
      <c r="O63" s="1977" t="s">
        <v>1208</v>
      </c>
      <c r="P63" s="2010"/>
      <c r="Q63" s="2010"/>
      <c r="R63" s="2010"/>
    </row>
    <row r="64" spans="1:18" s="773" customFormat="1">
      <c r="A64" s="1835" t="s">
        <v>827</v>
      </c>
      <c r="B64" s="1931" t="s">
        <v>1097</v>
      </c>
      <c r="C64" s="293">
        <f ca="1">ROUND(C57*F64,1)</f>
        <v>25.7</v>
      </c>
      <c r="D64" s="1939" t="s">
        <v>1132</v>
      </c>
      <c r="E64" s="1931" t="s">
        <v>1067</v>
      </c>
      <c r="F64" s="1872">
        <f t="shared" ca="1" si="0"/>
        <v>0.01</v>
      </c>
      <c r="I64" s="2023" t="s">
        <v>1209</v>
      </c>
      <c r="J64" s="2024">
        <v>50</v>
      </c>
      <c r="K64" s="2024">
        <v>35</v>
      </c>
      <c r="L64" s="2024">
        <v>60</v>
      </c>
      <c r="M64" s="2025">
        <v>0</v>
      </c>
      <c r="O64" s="1982" t="s">
        <v>1140</v>
      </c>
      <c r="P64" s="1983" t="s">
        <v>1141</v>
      </c>
      <c r="Q64" s="2027" t="s">
        <v>1142</v>
      </c>
      <c r="R64" s="2027" t="s">
        <v>1143</v>
      </c>
    </row>
    <row r="65" spans="1:18" s="773" customFormat="1">
      <c r="A65" s="1835" t="s">
        <v>873</v>
      </c>
      <c r="B65" s="1931" t="s">
        <v>1101</v>
      </c>
      <c r="C65" s="293">
        <f ca="1">ROUND(C56*F65,1)</f>
        <v>2.9</v>
      </c>
      <c r="D65" s="1939" t="s">
        <v>1102</v>
      </c>
      <c r="E65" s="1931" t="s">
        <v>1067</v>
      </c>
      <c r="F65" s="1873">
        <f t="shared" ca="1" si="0"/>
        <v>1.5E-3</v>
      </c>
      <c r="I65" s="2023" t="s">
        <v>1210</v>
      </c>
      <c r="J65" s="2024">
        <v>40</v>
      </c>
      <c r="K65" s="2024">
        <v>30</v>
      </c>
      <c r="L65" s="2024">
        <v>50</v>
      </c>
      <c r="M65" s="2026">
        <v>0.02</v>
      </c>
      <c r="O65" s="1989" t="s">
        <v>1146</v>
      </c>
      <c r="P65" s="1990" t="s">
        <v>1147</v>
      </c>
      <c r="Q65" s="2028">
        <f ca="1">C40+J29</f>
        <v>16591</v>
      </c>
      <c r="R65" s="2028" t="s">
        <v>1148</v>
      </c>
    </row>
    <row r="66" spans="1:18" s="773" customFormat="1" ht="15.6">
      <c r="A66" s="1835" t="s">
        <v>876</v>
      </c>
      <c r="B66" s="1931" t="s">
        <v>1087</v>
      </c>
      <c r="C66" s="293">
        <f ca="1">ROUND(C48*F66,1)</f>
        <v>0</v>
      </c>
      <c r="D66" s="1939" t="s">
        <v>1105</v>
      </c>
      <c r="E66" s="1931" t="s">
        <v>1067</v>
      </c>
      <c r="F66" s="1814">
        <f t="shared" ca="1" si="0"/>
        <v>0.02</v>
      </c>
      <c r="O66" s="1989" t="s">
        <v>1153</v>
      </c>
      <c r="P66" s="1990" t="s">
        <v>1190</v>
      </c>
      <c r="Q66" s="2028">
        <f ca="1">L60</f>
        <v>0</v>
      </c>
      <c r="R66" s="2028" t="s">
        <v>1191</v>
      </c>
    </row>
    <row r="67" spans="1:18" s="773" customFormat="1" ht="24">
      <c r="A67" s="1926" t="s">
        <v>1108</v>
      </c>
      <c r="B67" s="2030" t="s">
        <v>1109</v>
      </c>
      <c r="C67" s="292">
        <f ca="1">C48-C58</f>
        <v>-246</v>
      </c>
      <c r="D67" s="1938" t="s">
        <v>1110</v>
      </c>
      <c r="E67" s="2031"/>
      <c r="F67" s="2032"/>
      <c r="O67" s="1996" t="s">
        <v>1161</v>
      </c>
      <c r="P67" s="1990" t="s">
        <v>1194</v>
      </c>
      <c r="Q67" s="2052">
        <f ca="1">L51</f>
        <v>14503</v>
      </c>
      <c r="R67" s="2028" t="s">
        <v>1211</v>
      </c>
    </row>
    <row r="68" spans="1:18" s="773" customFormat="1" ht="15.6">
      <c r="A68" s="2033" t="s">
        <v>1114</v>
      </c>
      <c r="B68" s="2034" t="s">
        <v>1133</v>
      </c>
      <c r="C68" s="1878">
        <f ca="1">ROUND(C67*(1-((1+F70)/(1+F68))^F69)/(F68-F70),0)</f>
        <v>-3146</v>
      </c>
      <c r="D68" s="1941" t="s">
        <v>1116</v>
      </c>
      <c r="E68" s="1931" t="s">
        <v>1117</v>
      </c>
      <c r="F68" s="1814">
        <f ca="1">F40</f>
        <v>5.5E-2</v>
      </c>
      <c r="O68" s="1996" t="s">
        <v>1165</v>
      </c>
      <c r="P68" s="2051" t="s">
        <v>1212</v>
      </c>
      <c r="Q68" s="2028">
        <f ca="1">ROUND(Q69-Q70*Q71,0)</f>
        <v>845</v>
      </c>
      <c r="R68" s="2028" t="s">
        <v>1213</v>
      </c>
    </row>
    <row r="69" spans="1:18" s="773" customFormat="1">
      <c r="A69" s="2035"/>
      <c r="B69" s="2036"/>
      <c r="C69" s="1813"/>
      <c r="D69" s="2037" t="s">
        <v>1120</v>
      </c>
      <c r="E69" s="1931" t="s">
        <v>1121</v>
      </c>
      <c r="F69" s="1882">
        <f ca="1">F41</f>
        <v>22.7</v>
      </c>
      <c r="O69" s="1996" t="s">
        <v>1214</v>
      </c>
      <c r="P69" s="2051" t="s">
        <v>1215</v>
      </c>
      <c r="Q69" s="2028">
        <f ca="1">C39</f>
        <v>988</v>
      </c>
      <c r="R69" s="2028" t="s">
        <v>1148</v>
      </c>
    </row>
    <row r="70" spans="1:18" s="773" customFormat="1">
      <c r="A70" s="2038"/>
      <c r="B70" s="2039"/>
      <c r="C70" s="1832"/>
      <c r="D70" s="1943"/>
      <c r="E70" s="1931" t="s">
        <v>1124</v>
      </c>
      <c r="F70" s="1921"/>
      <c r="O70" s="1996" t="s">
        <v>1216</v>
      </c>
      <c r="P70" s="2051" t="s">
        <v>1217</v>
      </c>
      <c r="Q70" s="2028">
        <f ca="1">C13</f>
        <v>1904</v>
      </c>
      <c r="R70" s="2028" t="s">
        <v>1148</v>
      </c>
    </row>
    <row r="71" spans="1:18" s="773" customFormat="1">
      <c r="A71" s="2040" t="s">
        <v>1127</v>
      </c>
      <c r="B71" s="2041" t="s">
        <v>1134</v>
      </c>
      <c r="C71" s="1886">
        <f ca="1">ROUND(C68*10000/F71,0)</f>
        <v>-5370</v>
      </c>
      <c r="D71" s="2042" t="s">
        <v>1135</v>
      </c>
      <c r="E71" s="2043" t="s">
        <v>1136</v>
      </c>
      <c r="F71" s="1889">
        <f ca="1">F43</f>
        <v>5858.09</v>
      </c>
      <c r="O71" s="1996" t="s">
        <v>1218</v>
      </c>
      <c r="P71" s="2051" t="s">
        <v>1219</v>
      </c>
      <c r="Q71" s="2029">
        <f ca="1">C76</f>
        <v>7.4999999999999997E-2</v>
      </c>
      <c r="R71" s="2028"/>
    </row>
    <row r="72" spans="1:18" s="773" customFormat="1">
      <c r="B72" s="327"/>
      <c r="C72" s="327"/>
      <c r="O72" s="1996" t="s">
        <v>1169</v>
      </c>
      <c r="P72" s="1990" t="s">
        <v>1196</v>
      </c>
      <c r="Q72" s="2029">
        <f>L52</f>
        <v>0</v>
      </c>
      <c r="R72" s="2028"/>
    </row>
    <row r="73" spans="1:18" ht="15.6">
      <c r="A73" s="773"/>
      <c r="B73" s="327"/>
      <c r="C73" s="327"/>
      <c r="D73" s="773"/>
      <c r="E73" s="773"/>
      <c r="F73" s="773"/>
      <c r="O73" s="1996" t="s">
        <v>1173</v>
      </c>
      <c r="P73" s="1990" t="s">
        <v>1199</v>
      </c>
      <c r="Q73" s="2028" t="e">
        <f ca="1">L58</f>
        <v>#DIV/0!</v>
      </c>
      <c r="R73" s="2028" t="s">
        <v>1200</v>
      </c>
    </row>
    <row r="74" spans="1:18">
      <c r="A74" s="773"/>
      <c r="B74" s="228" t="s">
        <v>1220</v>
      </c>
      <c r="C74" s="2044"/>
      <c r="D74" s="773"/>
      <c r="E74" s="773"/>
      <c r="F74" s="773"/>
      <c r="O74" s="1996" t="s">
        <v>1221</v>
      </c>
      <c r="P74" s="1990" t="str">
        <f>K59</f>
        <v>建筑物剩余耐用年限下的土地年期修正系数Kn</v>
      </c>
      <c r="Q74" s="2028" t="e">
        <f ca="1">L59</f>
        <v>#DIV/0!</v>
      </c>
      <c r="R74" s="2028" t="s">
        <v>1201</v>
      </c>
    </row>
    <row r="75" spans="1:18">
      <c r="A75" s="773"/>
      <c r="B75" s="2045" t="s">
        <v>1222</v>
      </c>
      <c r="C75" s="2046">
        <f ca="1">ROUND(C13*C76,0)</f>
        <v>143</v>
      </c>
      <c r="D75" s="773"/>
      <c r="E75" s="773"/>
      <c r="F75" s="773"/>
      <c r="K75" s="1976"/>
      <c r="L75" s="773"/>
      <c r="O75" s="1989" t="s">
        <v>1179</v>
      </c>
      <c r="P75" s="1990" t="s">
        <v>1180</v>
      </c>
      <c r="Q75" s="2028">
        <f ca="1">Q65+Q66</f>
        <v>16591</v>
      </c>
      <c r="R75" s="2028" t="s">
        <v>1181</v>
      </c>
    </row>
    <row r="76" spans="1:18">
      <c r="B76" s="592" t="s">
        <v>1223</v>
      </c>
      <c r="C76" s="2047">
        <f ca="1">INDIRECT("'数据-取费表'!j"&amp;$G$1)</f>
        <v>7.4999999999999997E-2</v>
      </c>
      <c r="I76" s="773"/>
      <c r="J76" s="773"/>
      <c r="K76" s="1976"/>
      <c r="L76" s="773"/>
    </row>
    <row r="77" spans="1:18">
      <c r="B77" s="2048" t="s">
        <v>1224</v>
      </c>
      <c r="C77" s="2049"/>
      <c r="I77" s="773"/>
      <c r="J77" s="773"/>
      <c r="K77" s="1976"/>
      <c r="L77" s="773"/>
    </row>
    <row r="78" spans="1:18">
      <c r="B78" s="226" t="s">
        <v>1225</v>
      </c>
      <c r="C78" s="2050"/>
    </row>
    <row r="79" spans="1:18">
      <c r="B79" s="2045" t="s">
        <v>1226</v>
      </c>
      <c r="C79" s="229">
        <f ca="1">1-C80</f>
        <v>0.85499999999999998</v>
      </c>
    </row>
    <row r="80" spans="1:18">
      <c r="B80" s="2045" t="s">
        <v>1227</v>
      </c>
      <c r="C80" s="229">
        <f ca="1">ROUND(C75/C39,3)</f>
        <v>0.14499999999999999</v>
      </c>
    </row>
    <row r="81" spans="2:3">
      <c r="B81" s="226" t="s">
        <v>1228</v>
      </c>
      <c r="C81" s="196"/>
    </row>
    <row r="82" spans="2:3">
      <c r="B82" s="228" t="s">
        <v>1229</v>
      </c>
      <c r="C82" s="230">
        <f ca="1">1-C83</f>
        <v>0.88500000000000001</v>
      </c>
    </row>
    <row r="83" spans="2:3">
      <c r="B83" s="228" t="s">
        <v>1230</v>
      </c>
      <c r="C83" s="229">
        <f ca="1">ROUND(C13/C40,3)</f>
        <v>0.115</v>
      </c>
    </row>
  </sheetData>
  <sheetProtection formatCells="0" formatColumns="0" formatRows="0"/>
  <mergeCells count="3">
    <mergeCell ref="K53:L53"/>
    <mergeCell ref="B6:B9"/>
    <mergeCell ref="I6:I9"/>
  </mergeCells>
  <phoneticPr fontId="22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5"/>
  <sheetViews>
    <sheetView workbookViewId="0">
      <pane xSplit="4" ySplit="2" topLeftCell="E3" activePane="bottomRight" state="frozen"/>
      <selection pane="topRight"/>
      <selection pane="bottomLeft"/>
      <selection pane="bottomRight" activeCell="G30" sqref="G30"/>
    </sheetView>
  </sheetViews>
  <sheetFormatPr defaultColWidth="9" defaultRowHeight="14.4"/>
  <cols>
    <col min="1" max="1" width="6.44140625" style="2169" customWidth="1"/>
    <col min="2" max="2" width="29.21875" style="2169" customWidth="1"/>
    <col min="3" max="3" width="27.44140625" style="2170" customWidth="1"/>
    <col min="4" max="4" width="8.44140625" style="2169" customWidth="1"/>
    <col min="5" max="5" width="19.44140625" style="2169" customWidth="1"/>
    <col min="6" max="6" width="9.21875" style="2169" customWidth="1"/>
    <col min="7" max="7" width="12.77734375" style="2171" customWidth="1"/>
    <col min="8" max="8" width="13.77734375" style="2169" customWidth="1"/>
    <col min="9" max="9" width="23.44140625" style="2169" customWidth="1"/>
    <col min="10" max="10" width="7.44140625" style="2169" customWidth="1"/>
    <col min="11" max="11" width="13.33203125" style="2170" customWidth="1"/>
    <col min="12" max="16384" width="9" style="2169"/>
  </cols>
  <sheetData>
    <row r="1" spans="1:11">
      <c r="A1" s="3509" t="s">
        <v>1231</v>
      </c>
      <c r="B1" s="3509"/>
      <c r="C1" s="3509"/>
      <c r="D1" s="3509"/>
      <c r="E1" s="3509"/>
      <c r="F1" s="3509"/>
      <c r="G1" s="3509"/>
      <c r="H1" s="3509"/>
      <c r="I1" s="3509"/>
      <c r="J1" s="3509"/>
      <c r="K1" s="3509"/>
    </row>
    <row r="2" spans="1:11">
      <c r="A2" s="2172" t="s">
        <v>1232</v>
      </c>
      <c r="B2" s="2172" t="s">
        <v>1233</v>
      </c>
      <c r="C2" s="2173" t="s">
        <v>1234</v>
      </c>
      <c r="D2" s="2172" t="s">
        <v>1235</v>
      </c>
      <c r="E2" s="2172" t="s">
        <v>1236</v>
      </c>
      <c r="F2" s="2172" t="s">
        <v>1237</v>
      </c>
      <c r="G2" s="2174" t="s">
        <v>1238</v>
      </c>
      <c r="H2" s="2172" t="s">
        <v>1239</v>
      </c>
      <c r="I2" s="2192" t="s">
        <v>1240</v>
      </c>
      <c r="J2" s="2192" t="s">
        <v>1241</v>
      </c>
      <c r="K2" s="2193" t="s">
        <v>1242</v>
      </c>
    </row>
    <row r="3" spans="1:11" s="2166" customFormat="1" ht="15" customHeight="1">
      <c r="A3" s="2175">
        <v>1</v>
      </c>
      <c r="B3" s="2176" t="s">
        <v>1243</v>
      </c>
      <c r="C3" s="2177" t="s">
        <v>1244</v>
      </c>
      <c r="D3" s="2175">
        <v>104</v>
      </c>
      <c r="E3" s="2178" t="s">
        <v>1245</v>
      </c>
      <c r="F3" s="2179">
        <v>3</v>
      </c>
      <c r="G3" s="2180">
        <v>7.5</v>
      </c>
      <c r="H3" s="2181">
        <f t="shared" ref="H3:H11" si="0">D3*365*G3</f>
        <v>284700</v>
      </c>
      <c r="I3" s="2194" t="s">
        <v>1246</v>
      </c>
      <c r="J3" s="2194">
        <v>50000</v>
      </c>
      <c r="K3" s="2195" t="s">
        <v>1247</v>
      </c>
    </row>
    <row r="4" spans="1:11" s="2166" customFormat="1" ht="15" customHeight="1">
      <c r="A4" s="2175">
        <v>2</v>
      </c>
      <c r="B4" s="2176" t="s">
        <v>1248</v>
      </c>
      <c r="C4" s="2177" t="s">
        <v>1249</v>
      </c>
      <c r="D4" s="2175">
        <v>276</v>
      </c>
      <c r="E4" s="2175" t="s">
        <v>1250</v>
      </c>
      <c r="F4" s="2179">
        <v>5</v>
      </c>
      <c r="G4" s="2180">
        <v>6.5</v>
      </c>
      <c r="H4" s="2181">
        <f t="shared" si="0"/>
        <v>654810</v>
      </c>
      <c r="I4" s="2194" t="s">
        <v>1251</v>
      </c>
      <c r="J4" s="2194">
        <v>110000</v>
      </c>
      <c r="K4" s="2195" t="s">
        <v>1252</v>
      </c>
    </row>
    <row r="5" spans="1:11" s="2166" customFormat="1" ht="15" customHeight="1">
      <c r="A5" s="2175">
        <v>3</v>
      </c>
      <c r="B5" s="2176" t="s">
        <v>1253</v>
      </c>
      <c r="C5" s="2177">
        <v>8414</v>
      </c>
      <c r="D5" s="2175">
        <v>50</v>
      </c>
      <c r="E5" s="2176" t="s">
        <v>1254</v>
      </c>
      <c r="F5" s="2179">
        <v>6</v>
      </c>
      <c r="G5" s="2180">
        <v>6.5</v>
      </c>
      <c r="H5" s="2181">
        <f t="shared" si="0"/>
        <v>118625</v>
      </c>
      <c r="I5" s="2194" t="s">
        <v>1255</v>
      </c>
      <c r="J5" s="2194">
        <v>20000</v>
      </c>
      <c r="K5" s="2193" t="s">
        <v>1256</v>
      </c>
    </row>
    <row r="6" spans="1:11" s="2166" customFormat="1" ht="15" customHeight="1">
      <c r="A6" s="2175">
        <v>4</v>
      </c>
      <c r="B6" s="2176" t="s">
        <v>1257</v>
      </c>
      <c r="C6" s="2182" t="s">
        <v>1258</v>
      </c>
      <c r="D6" s="2176">
        <v>533</v>
      </c>
      <c r="E6" s="2176" t="s">
        <v>1259</v>
      </c>
      <c r="F6" s="2183" t="s">
        <v>1260</v>
      </c>
      <c r="G6" s="2180">
        <v>6.22</v>
      </c>
      <c r="H6" s="2184">
        <f t="shared" si="0"/>
        <v>1210069.8999999999</v>
      </c>
      <c r="I6" s="2196" t="s">
        <v>1251</v>
      </c>
      <c r="J6" s="2197">
        <v>211000</v>
      </c>
      <c r="K6" s="2198" t="s">
        <v>1261</v>
      </c>
    </row>
    <row r="7" spans="1:11" s="2167" customFormat="1" ht="15" customHeight="1">
      <c r="A7" s="2175">
        <v>5</v>
      </c>
      <c r="B7" s="2185"/>
      <c r="C7" s="2182" t="s">
        <v>1262</v>
      </c>
      <c r="D7" s="2176">
        <v>59</v>
      </c>
      <c r="E7" s="2176"/>
      <c r="F7" s="2186"/>
      <c r="G7" s="2180"/>
      <c r="H7" s="2184">
        <f t="shared" si="0"/>
        <v>0</v>
      </c>
      <c r="I7" s="2197"/>
      <c r="J7" s="2197"/>
      <c r="K7" s="2199"/>
    </row>
    <row r="8" spans="1:11" s="2166" customFormat="1" ht="15" customHeight="1">
      <c r="A8" s="2175">
        <v>6</v>
      </c>
      <c r="B8" s="2176" t="s">
        <v>1263</v>
      </c>
      <c r="C8" s="2177" t="s">
        <v>1264</v>
      </c>
      <c r="D8" s="2175"/>
      <c r="E8" s="2176"/>
      <c r="F8" s="2179"/>
      <c r="G8" s="2180"/>
      <c r="H8" s="2181">
        <f t="shared" si="0"/>
        <v>0</v>
      </c>
      <c r="I8" s="2194"/>
      <c r="J8" s="2194"/>
      <c r="K8" s="2193"/>
    </row>
    <row r="9" spans="1:11" s="2166" customFormat="1" ht="15" customHeight="1">
      <c r="A9" s="2175">
        <v>7</v>
      </c>
      <c r="B9" s="2176"/>
      <c r="C9" s="2177" t="s">
        <v>1265</v>
      </c>
      <c r="D9" s="2175">
        <v>333</v>
      </c>
      <c r="E9" s="2176"/>
      <c r="F9" s="2179"/>
      <c r="G9" s="2180"/>
      <c r="H9" s="2181">
        <f t="shared" si="0"/>
        <v>0</v>
      </c>
      <c r="I9" s="2194"/>
      <c r="J9" s="2194"/>
      <c r="K9" s="2193"/>
    </row>
    <row r="10" spans="1:11" s="2166" customFormat="1" ht="15" customHeight="1">
      <c r="A10" s="2175">
        <v>8</v>
      </c>
      <c r="B10" s="2176" t="s">
        <v>1266</v>
      </c>
      <c r="C10" s="2177" t="s">
        <v>1267</v>
      </c>
      <c r="D10" s="2175">
        <v>318</v>
      </c>
      <c r="E10" s="2175" t="s">
        <v>1268</v>
      </c>
      <c r="F10" s="2187">
        <v>5</v>
      </c>
      <c r="G10" s="2180">
        <v>6.95</v>
      </c>
      <c r="H10" s="2181">
        <f t="shared" si="0"/>
        <v>806686.5</v>
      </c>
      <c r="I10" s="2192" t="s">
        <v>1251</v>
      </c>
      <c r="J10" s="2194">
        <v>116000</v>
      </c>
      <c r="K10" s="2193" t="s">
        <v>1269</v>
      </c>
    </row>
    <row r="11" spans="1:11" s="2166" customFormat="1" ht="15" customHeight="1">
      <c r="A11" s="2175">
        <v>9</v>
      </c>
      <c r="B11" s="2176" t="s">
        <v>1270</v>
      </c>
      <c r="C11" s="2177" t="s">
        <v>1271</v>
      </c>
      <c r="D11" s="2175">
        <v>454</v>
      </c>
      <c r="E11" s="2176" t="s">
        <v>1272</v>
      </c>
      <c r="F11" s="2179">
        <v>3</v>
      </c>
      <c r="G11" s="2180">
        <v>6.5</v>
      </c>
      <c r="H11" s="2181">
        <f t="shared" si="0"/>
        <v>1077115</v>
      </c>
      <c r="I11" s="2194" t="s">
        <v>1273</v>
      </c>
      <c r="J11" s="2194">
        <v>180000</v>
      </c>
      <c r="K11" s="2195" t="s">
        <v>1274</v>
      </c>
    </row>
    <row r="12" spans="1:11" s="2167" customFormat="1" ht="15" customHeight="1">
      <c r="A12" s="2175">
        <v>10</v>
      </c>
      <c r="B12" s="2176" t="s">
        <v>1275</v>
      </c>
      <c r="C12" s="2182" t="s">
        <v>1276</v>
      </c>
      <c r="D12" s="2176">
        <v>234</v>
      </c>
      <c r="E12" s="2176" t="s">
        <v>1277</v>
      </c>
      <c r="F12" s="2186" t="s">
        <v>1278</v>
      </c>
      <c r="G12" s="2180">
        <v>6.83</v>
      </c>
      <c r="H12" s="2184">
        <f>219.5*365*G12</f>
        <v>547202.52500000002</v>
      </c>
      <c r="I12" s="2197" t="s">
        <v>1251</v>
      </c>
      <c r="J12" s="2197">
        <v>90000</v>
      </c>
      <c r="K12" s="2199" t="s">
        <v>1279</v>
      </c>
    </row>
    <row r="13" spans="1:11" s="2167" customFormat="1" ht="15" customHeight="1">
      <c r="A13" s="2175">
        <v>11</v>
      </c>
      <c r="B13" s="2176" t="s">
        <v>1275</v>
      </c>
      <c r="C13" s="2182" t="s">
        <v>1280</v>
      </c>
      <c r="D13" s="2176">
        <v>76</v>
      </c>
      <c r="E13" s="2176" t="s">
        <v>1281</v>
      </c>
      <c r="F13" s="2186" t="s">
        <v>1282</v>
      </c>
      <c r="G13" s="2180">
        <v>6.83</v>
      </c>
      <c r="H13" s="2181">
        <f t="shared" ref="H13:H20" si="1">D13*365*G13</f>
        <v>189464.2</v>
      </c>
      <c r="I13" s="2197" t="s">
        <v>1251</v>
      </c>
      <c r="J13" s="2197">
        <v>30000</v>
      </c>
      <c r="K13" s="2199" t="s">
        <v>1283</v>
      </c>
    </row>
    <row r="14" spans="1:11" s="2167" customFormat="1" ht="15" customHeight="1">
      <c r="A14" s="2175">
        <v>12</v>
      </c>
      <c r="B14" s="2176" t="s">
        <v>1275</v>
      </c>
      <c r="C14" s="2182" t="s">
        <v>1284</v>
      </c>
      <c r="D14" s="2176">
        <v>57</v>
      </c>
      <c r="E14" s="2176" t="s">
        <v>1277</v>
      </c>
      <c r="F14" s="2186" t="s">
        <v>1278</v>
      </c>
      <c r="G14" s="2180">
        <v>6.83</v>
      </c>
      <c r="H14" s="2184">
        <f t="shared" si="1"/>
        <v>142098.15</v>
      </c>
      <c r="I14" s="2197" t="s">
        <v>1251</v>
      </c>
      <c r="J14" s="2197">
        <v>23000</v>
      </c>
      <c r="K14" s="2199" t="s">
        <v>1279</v>
      </c>
    </row>
    <row r="15" spans="1:11" s="2167" customFormat="1" ht="15" customHeight="1">
      <c r="A15" s="2175">
        <v>13</v>
      </c>
      <c r="B15" s="2176" t="s">
        <v>1285</v>
      </c>
      <c r="C15" s="2182" t="s">
        <v>1286</v>
      </c>
      <c r="D15" s="2176">
        <v>343</v>
      </c>
      <c r="E15" s="2176" t="s">
        <v>1287</v>
      </c>
      <c r="F15" s="2186" t="s">
        <v>1288</v>
      </c>
      <c r="G15" s="2180">
        <v>6.08</v>
      </c>
      <c r="H15" s="2184">
        <f t="shared" si="1"/>
        <v>761185.6</v>
      </c>
      <c r="I15" s="2197" t="s">
        <v>1251</v>
      </c>
      <c r="J15" s="2200">
        <v>121000</v>
      </c>
      <c r="K15" s="2198" t="s">
        <v>1289</v>
      </c>
    </row>
    <row r="16" spans="1:11" s="2167" customFormat="1" ht="15" customHeight="1">
      <c r="A16" s="2175">
        <v>14</v>
      </c>
      <c r="B16" s="2176"/>
      <c r="C16" s="2182" t="s">
        <v>1290</v>
      </c>
      <c r="D16" s="2176">
        <f>925-343-59-85-200</f>
        <v>238</v>
      </c>
      <c r="E16" s="2176"/>
      <c r="F16" s="2186"/>
      <c r="G16" s="2180"/>
      <c r="H16" s="2181">
        <f t="shared" si="1"/>
        <v>0</v>
      </c>
      <c r="I16" s="2196"/>
      <c r="J16" s="2201"/>
      <c r="K16" s="2198"/>
    </row>
    <row r="17" spans="1:11" s="2167" customFormat="1" ht="15" customHeight="1">
      <c r="A17" s="2175">
        <v>15</v>
      </c>
      <c r="B17" s="2176" t="s">
        <v>1291</v>
      </c>
      <c r="C17" s="2182" t="s">
        <v>1292</v>
      </c>
      <c r="D17" s="2176">
        <v>200</v>
      </c>
      <c r="E17" s="2176" t="s">
        <v>1293</v>
      </c>
      <c r="F17" s="2186">
        <v>3</v>
      </c>
      <c r="G17" s="2180">
        <v>7</v>
      </c>
      <c r="H17" s="2181">
        <f t="shared" si="1"/>
        <v>511000</v>
      </c>
      <c r="I17" s="2197" t="s">
        <v>1251</v>
      </c>
      <c r="J17" s="2201">
        <v>86000</v>
      </c>
      <c r="K17" s="2198" t="s">
        <v>1294</v>
      </c>
    </row>
    <row r="18" spans="1:11" s="2167" customFormat="1" ht="15" customHeight="1">
      <c r="A18" s="2175">
        <v>16</v>
      </c>
      <c r="B18" s="2176" t="s">
        <v>1295</v>
      </c>
      <c r="C18" s="2182" t="s">
        <v>1296</v>
      </c>
      <c r="D18" s="2176">
        <v>85</v>
      </c>
      <c r="E18" s="2176" t="s">
        <v>1297</v>
      </c>
      <c r="F18" s="2186" t="s">
        <v>1298</v>
      </c>
      <c r="G18" s="2180">
        <v>6.5</v>
      </c>
      <c r="H18" s="2181">
        <f t="shared" si="1"/>
        <v>201662.5</v>
      </c>
      <c r="I18" s="2196" t="s">
        <v>1299</v>
      </c>
      <c r="J18" s="2201">
        <v>34000</v>
      </c>
      <c r="K18" s="2198" t="s">
        <v>1300</v>
      </c>
    </row>
    <row r="19" spans="1:11" s="2166" customFormat="1" ht="15" customHeight="1">
      <c r="A19" s="2175">
        <v>17</v>
      </c>
      <c r="B19" s="2176" t="s">
        <v>1301</v>
      </c>
      <c r="C19" s="2177" t="s">
        <v>1302</v>
      </c>
      <c r="D19" s="2175">
        <v>776</v>
      </c>
      <c r="E19" s="2175" t="s">
        <v>1303</v>
      </c>
      <c r="F19" s="2179">
        <v>3</v>
      </c>
      <c r="G19" s="2180">
        <v>6.83</v>
      </c>
      <c r="H19" s="2181">
        <f t="shared" si="1"/>
        <v>1934529.2</v>
      </c>
      <c r="I19" s="2194" t="s">
        <v>1273</v>
      </c>
      <c r="J19" s="2194">
        <v>310000</v>
      </c>
      <c r="K19" s="2193" t="s">
        <v>1304</v>
      </c>
    </row>
    <row r="20" spans="1:11" s="2167" customFormat="1" ht="15" customHeight="1">
      <c r="A20" s="2175">
        <v>18</v>
      </c>
      <c r="B20" s="2176" t="s">
        <v>1305</v>
      </c>
      <c r="C20" s="2182" t="s">
        <v>1306</v>
      </c>
      <c r="D20" s="2176">
        <v>387</v>
      </c>
      <c r="E20" s="2176" t="s">
        <v>1307</v>
      </c>
      <c r="F20" s="2186">
        <v>5</v>
      </c>
      <c r="G20" s="2180">
        <v>6.21</v>
      </c>
      <c r="H20" s="2184">
        <f t="shared" si="1"/>
        <v>877193.55</v>
      </c>
      <c r="I20" s="2196" t="s">
        <v>452</v>
      </c>
      <c r="J20" s="2197">
        <v>150000</v>
      </c>
      <c r="K20" s="2198" t="s">
        <v>1308</v>
      </c>
    </row>
    <row r="21" spans="1:11" s="2166" customFormat="1" ht="15" customHeight="1">
      <c r="A21" s="2175"/>
      <c r="B21" s="2175"/>
      <c r="C21" s="2177"/>
      <c r="D21" s="2175"/>
      <c r="E21" s="2175"/>
      <c r="F21" s="2179"/>
      <c r="G21" s="2180"/>
      <c r="H21" s="2181"/>
      <c r="I21" s="2194"/>
      <c r="J21" s="2194"/>
      <c r="K21" s="2195"/>
    </row>
    <row r="22" spans="1:11" s="2168" customFormat="1" ht="15" customHeight="1">
      <c r="A22" s="2172"/>
      <c r="B22" s="2188" t="s">
        <v>1309</v>
      </c>
      <c r="C22" s="2189"/>
      <c r="D22" s="2188">
        <f>SUM(D3:D21)</f>
        <v>4523</v>
      </c>
      <c r="E22" s="2188"/>
      <c r="F22" s="2188"/>
      <c r="G22" s="2190">
        <f>H22/D22/365</f>
        <v>5.64320694229494</v>
      </c>
      <c r="H22" s="2191">
        <f>SUM(H3:H21)</f>
        <v>9316342.125</v>
      </c>
      <c r="I22" s="2202"/>
      <c r="J22" s="2202"/>
      <c r="K22" s="2203"/>
    </row>
    <row r="24" spans="1:11">
      <c r="D24" s="3260">
        <f>D22-D7-D9-D16</f>
        <v>3893</v>
      </c>
      <c r="G24" s="2171">
        <f>H22/D24/365</f>
        <v>6.5564410480349347</v>
      </c>
    </row>
    <row r="25" spans="1:11">
      <c r="H25" s="2169">
        <f ca="1">H22/10000/收益法!C6</f>
        <v>0.74471160071942444</v>
      </c>
    </row>
  </sheetData>
  <mergeCells count="1">
    <mergeCell ref="A1:K1"/>
  </mergeCells>
  <phoneticPr fontId="227" type="noConversion"/>
  <pageMargins left="0.75" right="0.75" top="1" bottom="1" header="0.5" footer="0.5"/>
  <pageSetup paperSize="9" orientation="portrait" horizontalDpi="180" verticalDpi="18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41" sqref="L41"/>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1310</v>
      </c>
      <c r="B1" s="2149" t="s">
        <v>452</v>
      </c>
      <c r="C1" s="148"/>
      <c r="D1" s="148"/>
      <c r="E1" s="148"/>
      <c r="F1" s="148"/>
      <c r="G1" s="2151">
        <f>MATCH(B1,'数据-取费表'!A6:A16,0)+5</f>
        <v>6</v>
      </c>
    </row>
    <row r="2" spans="1:9" s="138" customFormat="1" ht="18" customHeight="1">
      <c r="A2" s="150" t="s">
        <v>918</v>
      </c>
      <c r="B2" s="151">
        <f ca="1">IF(D2="——",C52,C52-E2)</f>
        <v>19451</v>
      </c>
      <c r="C2" s="149" t="s">
        <v>919</v>
      </c>
      <c r="D2" s="2152" t="s">
        <v>124</v>
      </c>
      <c r="E2" s="2153" t="e">
        <f ca="1">SUMIF(INDIRECT("'"&amp;G2&amp;"'"&amp;"!A:A"),"承租人权益价值",INDIRECT("'"&amp;G2&amp;"'"&amp;"!c:c"))</f>
        <v>#REF!</v>
      </c>
      <c r="F2" s="2154" t="s">
        <v>919</v>
      </c>
      <c r="G2" s="2155"/>
    </row>
    <row r="3" spans="1:9" s="138" customFormat="1" ht="18" customHeight="1">
      <c r="A3" s="153" t="s">
        <v>920</v>
      </c>
      <c r="B3" s="154">
        <f ca="1">ROUND(B2*10000/(IF(B1="",'数据-汇总表'!E3,INDIRECT("'数据-取费表'!k"&amp;$G$1))),0)</f>
        <v>33204</v>
      </c>
      <c r="C3" s="149" t="s">
        <v>1311</v>
      </c>
      <c r="D3" s="149"/>
      <c r="E3" s="149"/>
      <c r="F3" s="149"/>
      <c r="G3" s="149"/>
    </row>
    <row r="4" spans="1:9" s="139" customFormat="1" ht="16.2">
      <c r="A4" s="155" t="s">
        <v>1312</v>
      </c>
      <c r="B4" s="156"/>
      <c r="C4" s="156"/>
      <c r="D4" s="156"/>
      <c r="E4" s="156"/>
      <c r="F4" s="156"/>
      <c r="G4" s="157"/>
    </row>
    <row r="5" spans="1:9" s="140" customFormat="1" ht="13.5" customHeight="1">
      <c r="A5" s="158" t="s">
        <v>1313</v>
      </c>
      <c r="B5" s="159" t="s">
        <v>1314</v>
      </c>
      <c r="C5" s="160">
        <f ca="1">C6+C7+C8</f>
        <v>12856</v>
      </c>
      <c r="D5" s="160" t="s">
        <v>1315</v>
      </c>
      <c r="E5" s="161" t="s">
        <v>1316</v>
      </c>
      <c r="F5" s="161" t="s">
        <v>818</v>
      </c>
      <c r="G5" s="162"/>
    </row>
    <row r="6" spans="1:9" s="140" customFormat="1" ht="13.5" customHeight="1">
      <c r="A6" s="163" t="s">
        <v>1317</v>
      </c>
      <c r="B6" s="164" t="s">
        <v>1318</v>
      </c>
      <c r="C6" s="165">
        <f>[2]基准地价修正!$B$2</f>
        <v>12362</v>
      </c>
      <c r="D6" s="166"/>
      <c r="E6" s="167"/>
      <c r="F6" s="167"/>
      <c r="G6" s="168"/>
    </row>
    <row r="7" spans="1:9" s="140" customFormat="1" ht="13.5" customHeight="1">
      <c r="A7" s="163" t="s">
        <v>1319</v>
      </c>
      <c r="B7" s="164" t="s">
        <v>1320</v>
      </c>
      <c r="C7" s="169">
        <f>ROUND(C6*F7,0)</f>
        <v>377</v>
      </c>
      <c r="D7" s="169"/>
      <c r="E7" s="167"/>
      <c r="F7" s="170">
        <f>IF(项目基本情况!B8="出让",0,'数据-取费表'!B48+'数据-取费表'!B49)</f>
        <v>3.0499999999999999E-2</v>
      </c>
      <c r="G7" s="168"/>
    </row>
    <row r="8" spans="1:9" s="141" customFormat="1">
      <c r="A8" s="163" t="s">
        <v>1321</v>
      </c>
      <c r="B8" s="164" t="s">
        <v>1322</v>
      </c>
      <c r="C8" s="169">
        <f ca="1">IF(G8="已包含在土地购买价格中","0",IF(B1="",'数据-取费表'!B29,IF(G9="全部缴纳",C9+C10,H9)))</f>
        <v>117</v>
      </c>
      <c r="D8" s="171"/>
      <c r="E8" s="169"/>
      <c r="F8" s="170"/>
      <c r="G8" s="2156" t="s">
        <v>1323</v>
      </c>
    </row>
    <row r="9" spans="1:9" s="140" customFormat="1" ht="13.5" customHeight="1">
      <c r="A9" s="173" t="s">
        <v>1146</v>
      </c>
      <c r="B9" s="174" t="s">
        <v>1324</v>
      </c>
      <c r="C9" s="175">
        <f ca="1">ROUND(D9*E9/10000,0)</f>
        <v>0</v>
      </c>
      <c r="D9" s="176">
        <f ca="1">IF(B1="",'数据-汇总表'!E5,IF(INDIRECT("'数据-取费表'!c"&amp;$G$1)="住宅",INDIRECT("'数据-取费表'!k"&amp;$G$1),0))</f>
        <v>0</v>
      </c>
      <c r="E9" s="175">
        <f>'数据-取费表'!B27</f>
        <v>0</v>
      </c>
      <c r="F9" s="170"/>
      <c r="G9" s="2163" t="s">
        <v>1325</v>
      </c>
      <c r="H9" s="2164"/>
      <c r="I9" s="2165" t="s">
        <v>1326</v>
      </c>
    </row>
    <row r="10" spans="1:9" s="140" customFormat="1" ht="13.5" customHeight="1">
      <c r="A10" s="173" t="s">
        <v>1153</v>
      </c>
      <c r="B10" s="174" t="s">
        <v>1327</v>
      </c>
      <c r="C10" s="175">
        <f ca="1">ROUND(D10*E10/10000,0)</f>
        <v>117</v>
      </c>
      <c r="D10" s="176">
        <f ca="1">IF(B1="",'数据-汇总表'!E6,IF(INDIRECT("'数据-取费表'!c"&amp;$G$1)="住宅",INDIRECT("'数据-取费表'!s"&amp;$G$1),INDIRECT("'数据-取费表'!k"&amp;$G$1)+INDIRECT("'数据-取费表'!s"&amp;$G$1)))</f>
        <v>5858.09</v>
      </c>
      <c r="E10" s="175">
        <f>'数据-取费表'!B28</f>
        <v>200</v>
      </c>
      <c r="F10" s="170"/>
      <c r="G10" s="177"/>
    </row>
    <row r="11" spans="1:9" s="140" customFormat="1" ht="13.5" hidden="1" customHeight="1">
      <c r="A11" s="178" t="s">
        <v>1328</v>
      </c>
      <c r="B11" s="164" t="s">
        <v>1329</v>
      </c>
      <c r="C11" s="160"/>
      <c r="D11" s="179"/>
      <c r="E11" s="167"/>
      <c r="F11" s="167"/>
      <c r="G11" s="168"/>
    </row>
    <row r="12" spans="1:9" s="140" customFormat="1" ht="13.5" hidden="1" customHeight="1">
      <c r="A12" s="178" t="s">
        <v>1330</v>
      </c>
      <c r="B12" s="164" t="s">
        <v>854</v>
      </c>
      <c r="C12" s="160">
        <v>0</v>
      </c>
      <c r="D12" s="179"/>
      <c r="E12" s="180"/>
      <c r="F12" s="170">
        <v>3.0499999999999999E-2</v>
      </c>
      <c r="G12" s="168"/>
    </row>
    <row r="13" spans="1:9" s="140" customFormat="1" ht="13.5" hidden="1" customHeight="1">
      <c r="A13" s="178" t="s">
        <v>1331</v>
      </c>
      <c r="B13" s="164" t="s">
        <v>1332</v>
      </c>
      <c r="C13" s="160"/>
      <c r="D13" s="179"/>
      <c r="E13" s="167"/>
      <c r="F13" s="167"/>
      <c r="G13" s="168"/>
    </row>
    <row r="14" spans="1:9" s="140" customFormat="1" ht="13.5" hidden="1" customHeight="1">
      <c r="A14" s="178" t="s">
        <v>1333</v>
      </c>
      <c r="B14" s="164" t="s">
        <v>1322</v>
      </c>
      <c r="C14" s="160"/>
      <c r="D14" s="179"/>
      <c r="E14" s="167"/>
      <c r="F14" s="167"/>
      <c r="G14" s="168" t="s">
        <v>1334</v>
      </c>
    </row>
    <row r="15" spans="1:9" s="140" customFormat="1" ht="13.5" hidden="1" customHeight="1">
      <c r="A15" s="178" t="s">
        <v>1335</v>
      </c>
      <c r="B15" s="164" t="s">
        <v>1336</v>
      </c>
      <c r="C15" s="169"/>
      <c r="D15" s="179"/>
      <c r="E15" s="167"/>
      <c r="F15" s="167"/>
      <c r="G15" s="168" t="s">
        <v>1337</v>
      </c>
    </row>
    <row r="16" spans="1:9" s="140" customFormat="1" ht="13.5" hidden="1" customHeight="1">
      <c r="A16" s="178" t="s">
        <v>1338</v>
      </c>
      <c r="B16" s="164" t="s">
        <v>1322</v>
      </c>
      <c r="C16" s="169"/>
      <c r="D16" s="179"/>
      <c r="E16" s="167"/>
      <c r="F16" s="167"/>
      <c r="G16" s="168"/>
    </row>
    <row r="17" spans="1:7" s="140" customFormat="1" ht="13.5" hidden="1" customHeight="1">
      <c r="A17" s="178" t="s">
        <v>1339</v>
      </c>
      <c r="B17" s="164" t="s">
        <v>1340</v>
      </c>
      <c r="C17" s="181"/>
      <c r="D17" s="182"/>
      <c r="E17" s="181"/>
      <c r="F17" s="181"/>
      <c r="G17" s="168" t="s">
        <v>1337</v>
      </c>
    </row>
    <row r="18" spans="1:7" s="140" customFormat="1" ht="13.5" hidden="1" customHeight="1">
      <c r="A18" s="178" t="s">
        <v>1341</v>
      </c>
      <c r="B18" s="164" t="s">
        <v>1342</v>
      </c>
      <c r="C18" s="169">
        <v>0</v>
      </c>
      <c r="D18" s="179"/>
      <c r="E18" s="167"/>
      <c r="F18" s="170">
        <v>3.0499999999999999E-2</v>
      </c>
      <c r="G18" s="168" t="s">
        <v>1343</v>
      </c>
    </row>
    <row r="19" spans="1:7" s="141" customFormat="1" ht="13.5" customHeight="1">
      <c r="A19" s="158" t="s">
        <v>1344</v>
      </c>
      <c r="B19" s="159" t="s">
        <v>1345</v>
      </c>
      <c r="C19" s="160" t="str">
        <f>IF(G19="已包含在土地取得成本中","0",ROUND(D19*E19/10000,0))</f>
        <v>0</v>
      </c>
      <c r="D19" s="184">
        <f ca="1">D9+D10</f>
        <v>5858.09</v>
      </c>
      <c r="E19" s="160">
        <f>'数据-取费表'!B31</f>
        <v>200</v>
      </c>
      <c r="F19" s="185"/>
      <c r="G19" s="2156" t="s">
        <v>1346</v>
      </c>
    </row>
    <row r="20" spans="1:7" s="140" customFormat="1" ht="13.5" customHeight="1">
      <c r="A20" s="158" t="s">
        <v>1347</v>
      </c>
      <c r="B20" s="159" t="s">
        <v>1348</v>
      </c>
      <c r="C20" s="186">
        <f ca="1">ROUND((C5+C19)*F20,0)</f>
        <v>257</v>
      </c>
      <c r="D20" s="186"/>
      <c r="E20" s="186"/>
      <c r="F20" s="187">
        <f>'数据-取费表'!B37</f>
        <v>0.02</v>
      </c>
      <c r="G20" s="191" t="s">
        <v>1349</v>
      </c>
    </row>
    <row r="21" spans="1:7" s="140" customFormat="1" ht="13.5" customHeight="1">
      <c r="A21" s="158" t="s">
        <v>1350</v>
      </c>
      <c r="B21" s="159" t="s">
        <v>1351</v>
      </c>
      <c r="C21" s="189">
        <f>F21</f>
        <v>0.02</v>
      </c>
      <c r="D21" s="190" t="s">
        <v>1352</v>
      </c>
      <c r="E21" s="186"/>
      <c r="F21" s="187">
        <f>'数据-取费表'!B38</f>
        <v>0.02</v>
      </c>
      <c r="G21" s="191" t="s">
        <v>1353</v>
      </c>
    </row>
    <row r="22" spans="1:7" s="140" customFormat="1" ht="13.5" customHeight="1">
      <c r="A22" s="158" t="s">
        <v>1354</v>
      </c>
      <c r="B22" s="159" t="s">
        <v>1355</v>
      </c>
      <c r="C22" s="192">
        <f ca="1">ROUND(SUM(C23:C25),0)</f>
        <v>1114</v>
      </c>
      <c r="D22" s="189">
        <f ca="1">C26</f>
        <v>8.0000000000000004E-4</v>
      </c>
      <c r="E22" s="190" t="s">
        <v>1352</v>
      </c>
      <c r="F22" s="193">
        <f ca="1">'数据-取费表'!B40</f>
        <v>4.2000000000000003E-2</v>
      </c>
      <c r="G22" s="191" t="str">
        <f>IF('数据-取费表'!B22&lt;=1,"单利计息","复利计息")</f>
        <v>复利计息</v>
      </c>
    </row>
    <row r="23" spans="1:7" s="140" customFormat="1" ht="13.5" customHeight="1">
      <c r="A23" s="194" t="s">
        <v>1317</v>
      </c>
      <c r="B23" s="164" t="s">
        <v>1356</v>
      </c>
      <c r="C23" s="195">
        <f ca="1">ROUND(IF('数据-取费表'!B22&lt;=1,C5*F22*'数据-取费表'!B23,C5*(POWER((1+F22),'数据-取费表'!B23)-1)),0)</f>
        <v>1103</v>
      </c>
      <c r="D23" s="196"/>
      <c r="E23" s="196"/>
      <c r="F23" s="197"/>
      <c r="G23" s="198" t="s">
        <v>1357</v>
      </c>
    </row>
    <row r="24" spans="1:7" s="140" customFormat="1" ht="13.5" customHeight="1">
      <c r="A24" s="194" t="s">
        <v>1319</v>
      </c>
      <c r="B24" s="164" t="s">
        <v>1358</v>
      </c>
      <c r="C24" s="195">
        <f ca="1">ROUND(IF('数据-取费表'!B22&lt;=1,C19*F22*('数据-取费表'!B19/2+'数据-取费表'!B21),C19*(POWER((1+F22),('数据-取费表'!B19/2+'数据-取费表'!B21))-1)),0)</f>
        <v>0</v>
      </c>
      <c r="D24" s="196"/>
      <c r="E24" s="196"/>
      <c r="F24" s="197"/>
      <c r="G24" s="198" t="s">
        <v>1359</v>
      </c>
    </row>
    <row r="25" spans="1:7" s="140" customFormat="1" ht="24">
      <c r="A25" s="194" t="s">
        <v>1321</v>
      </c>
      <c r="B25" s="164" t="s">
        <v>1360</v>
      </c>
      <c r="C25" s="195">
        <f ca="1">ROUND(IF('数据-取费表'!B22&lt;=1,C20*F22*'数据-取费表'!B23/2,C20*(POWER((1+F22),'数据-取费表'!B23/2)-1)),0)</f>
        <v>11</v>
      </c>
      <c r="D25" s="196"/>
      <c r="E25" s="199"/>
      <c r="F25" s="197"/>
      <c r="G25" s="200" t="s">
        <v>1361</v>
      </c>
    </row>
    <row r="26" spans="1:7" s="140" customFormat="1">
      <c r="A26" s="194" t="s">
        <v>1362</v>
      </c>
      <c r="B26" s="164" t="s">
        <v>1363</v>
      </c>
      <c r="C26" s="196">
        <f ca="1">ROUND(IF('数据-取费表'!B22&lt;=1,F21*F22*'数据-取费表'!B23/2,F21*(POWER((1+F22),'数据-取费表'!B23/2)-1)),4)</f>
        <v>8.0000000000000004E-4</v>
      </c>
      <c r="D26" s="196"/>
      <c r="E26" s="199"/>
      <c r="F26" s="197"/>
      <c r="G26" s="201"/>
    </row>
    <row r="27" spans="1:7" s="140" customFormat="1" ht="26.4">
      <c r="A27" s="158" t="s">
        <v>1364</v>
      </c>
      <c r="B27" s="202" t="s">
        <v>1365</v>
      </c>
      <c r="C27" s="203">
        <f ca="1">C28</f>
        <v>1967</v>
      </c>
      <c r="D27" s="189">
        <f ca="1">C29</f>
        <v>3.0000000000000001E-3</v>
      </c>
      <c r="E27" s="190" t="s">
        <v>1352</v>
      </c>
      <c r="F27" s="204">
        <f ca="1">IF(B1="",'数据-取费表'!Q16,INDIRECT("'数据-取费表'!q"&amp;$G$1))</f>
        <v>0.15</v>
      </c>
      <c r="G27" s="205" t="s">
        <v>1366</v>
      </c>
    </row>
    <row r="28" spans="1:7" s="140" customFormat="1" ht="13.5" customHeight="1">
      <c r="A28" s="194" t="s">
        <v>1317</v>
      </c>
      <c r="B28" s="206" t="s">
        <v>1367</v>
      </c>
      <c r="C28" s="207">
        <f ca="1">ROUND((C5+C19+C20)*F27*'数据-取费表'!B21/'数据-取费表'!B20,0)</f>
        <v>1967</v>
      </c>
      <c r="D28" s="189"/>
      <c r="E28" s="190"/>
      <c r="F28" s="204"/>
      <c r="G28" s="205"/>
    </row>
    <row r="29" spans="1:7" s="140" customFormat="1" ht="13.5" customHeight="1">
      <c r="A29" s="194" t="s">
        <v>1319</v>
      </c>
      <c r="B29" s="206" t="s">
        <v>1368</v>
      </c>
      <c r="C29" s="196">
        <f ca="1">ROUND(C21*F27*'数据-取费表'!B21/'数据-取费表'!B20,4)</f>
        <v>3.0000000000000001E-3</v>
      </c>
      <c r="D29" s="189"/>
      <c r="E29" s="190"/>
      <c r="F29" s="204"/>
      <c r="G29" s="205"/>
    </row>
    <row r="30" spans="1:7" s="140" customFormat="1" ht="13.5" customHeight="1">
      <c r="A30" s="158" t="s">
        <v>1369</v>
      </c>
      <c r="B30" s="159" t="s">
        <v>1370</v>
      </c>
      <c r="C30" s="189">
        <f>ROUND(F30/(1+'数据-取费表'!C42),4)</f>
        <v>5.33E-2</v>
      </c>
      <c r="D30" s="190" t="s">
        <v>1352</v>
      </c>
      <c r="E30" s="199"/>
      <c r="F30" s="193">
        <f>'数据-取费表'!B41</f>
        <v>5.6000000000000001E-2</v>
      </c>
      <c r="G30" s="191" t="s">
        <v>1371</v>
      </c>
    </row>
    <row r="31" spans="1:7" ht="16.5" customHeight="1">
      <c r="A31" s="208">
        <v>1</v>
      </c>
      <c r="B31" s="159" t="s">
        <v>1372</v>
      </c>
      <c r="C31" s="160">
        <f ca="1">ROUND((C5+C19+C20+C22+C27)/(1-C21-D22-D27-C30),0)</f>
        <v>17547</v>
      </c>
      <c r="D31" s="209"/>
      <c r="E31" s="160"/>
      <c r="F31" s="210"/>
      <c r="G31" s="191" t="s">
        <v>1373</v>
      </c>
    </row>
    <row r="32" spans="1:7" s="139" customFormat="1" ht="16.2">
      <c r="A32" s="211" t="s">
        <v>1374</v>
      </c>
      <c r="B32" s="212"/>
      <c r="C32" s="212"/>
      <c r="D32" s="212"/>
      <c r="E32" s="212"/>
      <c r="F32" s="212"/>
      <c r="G32" s="213"/>
    </row>
    <row r="33" spans="1:7" s="140" customFormat="1" ht="13.5" customHeight="1">
      <c r="A33" s="158" t="s">
        <v>1313</v>
      </c>
      <c r="B33" s="159" t="s">
        <v>1375</v>
      </c>
      <c r="C33" s="214">
        <f ca="1">SUM(C34:C38)</f>
        <v>1953</v>
      </c>
      <c r="D33" s="186"/>
      <c r="E33" s="161"/>
      <c r="F33" s="199"/>
      <c r="G33" s="191"/>
    </row>
    <row r="34" spans="1:7" s="142" customFormat="1" ht="13.5" customHeight="1">
      <c r="A34" s="194" t="s">
        <v>1317</v>
      </c>
      <c r="B34" s="164" t="s">
        <v>1376</v>
      </c>
      <c r="C34" s="169">
        <f ca="1">IF(B1="",IF(F34=100%,'数据-取费表'!M16,'数据-取费表'!O16),IF(F34=100%,INDIRECT("'数据-取费表'!m"&amp;$G$1)+INDIRECT("'数据-取费表'!t"&amp;$G$1),INDIRECT("'数据-取费表'!o"&amp;$G$1)+INDIRECT("'数据-取费表'!aq"&amp;$G$1)))</f>
        <v>1757</v>
      </c>
      <c r="D34" s="166"/>
      <c r="E34" s="169"/>
      <c r="F34" s="215">
        <f ca="1">IF('数据-取费表'!B24=0,1,IF(B1="",'数据-取费表'!N16,INDIRECT("'数据-取费表'!n"&amp;$G$1)))</f>
        <v>1</v>
      </c>
      <c r="G34" s="168" t="s">
        <v>1377</v>
      </c>
    </row>
    <row r="35" spans="1:7" ht="13.5" customHeight="1">
      <c r="A35" s="194" t="s">
        <v>1319</v>
      </c>
      <c r="B35" s="164" t="s">
        <v>1378</v>
      </c>
      <c r="C35" s="169">
        <f ca="1">ROUND(C34*F35,0)</f>
        <v>53</v>
      </c>
      <c r="D35" s="169"/>
      <c r="E35" s="169"/>
      <c r="F35" s="216">
        <f>'数据-取费表'!B33</f>
        <v>0.03</v>
      </c>
      <c r="G35" s="168" t="s">
        <v>1379</v>
      </c>
    </row>
    <row r="36" spans="1:7" ht="24">
      <c r="A36" s="194" t="s">
        <v>1321</v>
      </c>
      <c r="B36" s="164" t="s">
        <v>1380</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1381</v>
      </c>
    </row>
    <row r="37" spans="1:7" s="142" customFormat="1" ht="13.5" customHeight="1">
      <c r="A37" s="194" t="s">
        <v>1362</v>
      </c>
      <c r="B37" s="164" t="s">
        <v>1382</v>
      </c>
      <c r="C37" s="207">
        <f ca="1">ROUND(E37*D37*F34/10000,0)</f>
        <v>117</v>
      </c>
      <c r="D37" s="166">
        <f ca="1">D19</f>
        <v>5858.09</v>
      </c>
      <c r="E37" s="207">
        <f>'数据-取费表'!B35</f>
        <v>200</v>
      </c>
      <c r="F37" s="216"/>
      <c r="G37" s="218" t="s">
        <v>1383</v>
      </c>
    </row>
    <row r="38" spans="1:7" ht="13.5" customHeight="1">
      <c r="A38" s="194" t="s">
        <v>1384</v>
      </c>
      <c r="B38" s="164" t="s">
        <v>854</v>
      </c>
      <c r="C38" s="169">
        <f ca="1">ROUND(C34*F38,0)</f>
        <v>26</v>
      </c>
      <c r="D38" s="169"/>
      <c r="E38" s="169"/>
      <c r="F38" s="216">
        <f>'数据-取费表'!B36</f>
        <v>1.4999999999999999E-2</v>
      </c>
      <c r="G38" s="168" t="s">
        <v>1379</v>
      </c>
    </row>
    <row r="39" spans="1:7" s="140" customFormat="1" ht="13.5" customHeight="1">
      <c r="A39" s="158" t="s">
        <v>1344</v>
      </c>
      <c r="B39" s="159" t="s">
        <v>1348</v>
      </c>
      <c r="C39" s="186">
        <f ca="1">ROUND(C33*F20,0)</f>
        <v>39</v>
      </c>
      <c r="D39" s="186"/>
      <c r="E39" s="186"/>
      <c r="F39" s="2159">
        <f>F20</f>
        <v>0.02</v>
      </c>
      <c r="G39" s="191" t="s">
        <v>1385</v>
      </c>
    </row>
    <row r="40" spans="1:7" s="140" customFormat="1" ht="13.5" customHeight="1">
      <c r="A40" s="158" t="s">
        <v>1347</v>
      </c>
      <c r="B40" s="159" t="s">
        <v>1351</v>
      </c>
      <c r="C40" s="2160">
        <f>F21</f>
        <v>0.02</v>
      </c>
      <c r="D40" s="190" t="s">
        <v>1386</v>
      </c>
      <c r="E40" s="186"/>
      <c r="F40" s="2159">
        <f>F21</f>
        <v>0.02</v>
      </c>
      <c r="G40" s="191" t="s">
        <v>1387</v>
      </c>
    </row>
    <row r="41" spans="1:7" s="140" customFormat="1" ht="13.5" customHeight="1">
      <c r="A41" s="158" t="s">
        <v>1350</v>
      </c>
      <c r="B41" s="159" t="s">
        <v>1355</v>
      </c>
      <c r="C41" s="186">
        <f ca="1">ROUND(SUM(C42:C43),0)</f>
        <v>84</v>
      </c>
      <c r="D41" s="189">
        <f ca="1">C44</f>
        <v>8.0000000000000004E-4</v>
      </c>
      <c r="E41" s="190" t="s">
        <v>1386</v>
      </c>
      <c r="F41" s="2161">
        <f ca="1">F22</f>
        <v>4.2000000000000003E-2</v>
      </c>
      <c r="G41" s="191" t="str">
        <f>IF('数据-取费表'!B22&lt;=1,"单利计息","复利计息")</f>
        <v>复利计息</v>
      </c>
    </row>
    <row r="42" spans="1:7" ht="13.5" customHeight="1">
      <c r="A42" s="194" t="s">
        <v>1317</v>
      </c>
      <c r="B42" s="164" t="s">
        <v>1356</v>
      </c>
      <c r="C42" s="196">
        <f ca="1">ROUND(IF('数据-取费表'!B22&lt;=1,C33*F22*'数据-取费表'!B21/2,C33*(POWER((1+F22),'数据-取费表'!B21/2)-1)),0)</f>
        <v>82</v>
      </c>
      <c r="D42" s="196"/>
      <c r="E42" s="196"/>
      <c r="F42" s="197"/>
      <c r="G42" s="3510" t="s">
        <v>1388</v>
      </c>
    </row>
    <row r="43" spans="1:7" ht="13.5" customHeight="1">
      <c r="A43" s="194" t="s">
        <v>1319</v>
      </c>
      <c r="B43" s="164" t="s">
        <v>1358</v>
      </c>
      <c r="C43" s="196">
        <f ca="1">ROUND(IF('数据-取费表'!B22&lt;=1,C39*F22*'数据-取费表'!B21/2,C39*(POWER((1+F22),'数据-取费表'!B21/2)-1)),0)</f>
        <v>2</v>
      </c>
      <c r="D43" s="196"/>
      <c r="E43" s="196"/>
      <c r="F43" s="197"/>
      <c r="G43" s="3511"/>
    </row>
    <row r="44" spans="1:7" ht="13.5" customHeight="1">
      <c r="A44" s="194" t="s">
        <v>1321</v>
      </c>
      <c r="B44" s="164" t="s">
        <v>1360</v>
      </c>
      <c r="C44" s="196">
        <f ca="1">ROUND(IF('数据-取费表'!B22&lt;=1,C40*F22*'数据-取费表'!B21/2,C40*(POWER((1+F22),'数据-取费表'!B21/2)-1)),4)</f>
        <v>8.0000000000000004E-4</v>
      </c>
      <c r="D44" s="196"/>
      <c r="E44" s="196"/>
      <c r="F44" s="197"/>
      <c r="G44" s="3512"/>
    </row>
    <row r="45" spans="1:7" s="140" customFormat="1" ht="13.5" customHeight="1">
      <c r="A45" s="158" t="s">
        <v>1354</v>
      </c>
      <c r="B45" s="202" t="s">
        <v>1365</v>
      </c>
      <c r="C45" s="203">
        <f ca="1">C46</f>
        <v>299</v>
      </c>
      <c r="D45" s="189">
        <f ca="1">C47</f>
        <v>3.0000000000000001E-3</v>
      </c>
      <c r="E45" s="190" t="s">
        <v>1386</v>
      </c>
      <c r="F45" s="2162">
        <f ca="1">F27</f>
        <v>0.15</v>
      </c>
      <c r="G45" s="205" t="s">
        <v>1389</v>
      </c>
    </row>
    <row r="46" spans="1:7" s="140" customFormat="1" ht="13.5" customHeight="1">
      <c r="A46" s="194" t="s">
        <v>1317</v>
      </c>
      <c r="B46" s="206" t="s">
        <v>1390</v>
      </c>
      <c r="C46" s="207">
        <f ca="1">ROUND((C33+C39)*F27,0)</f>
        <v>299</v>
      </c>
      <c r="D46" s="220"/>
      <c r="E46" s="190"/>
      <c r="F46" s="204"/>
      <c r="G46" s="205"/>
    </row>
    <row r="47" spans="1:7" s="140" customFormat="1" ht="13.5" customHeight="1">
      <c r="A47" s="194" t="s">
        <v>1319</v>
      </c>
      <c r="B47" s="206" t="s">
        <v>1391</v>
      </c>
      <c r="C47" s="196">
        <f ca="1">ROUND(C40*F27,4)</f>
        <v>3.0000000000000001E-3</v>
      </c>
      <c r="D47" s="220"/>
      <c r="E47" s="190"/>
      <c r="F47" s="204"/>
      <c r="G47" s="205"/>
    </row>
    <row r="48" spans="1:7" s="140" customFormat="1" ht="13.5" customHeight="1">
      <c r="A48" s="158" t="s">
        <v>1364</v>
      </c>
      <c r="B48" s="159" t="s">
        <v>1370</v>
      </c>
      <c r="C48" s="2160">
        <f>ROUND(F30/(1+'数据-取费表'!C42),4)</f>
        <v>5.33E-2</v>
      </c>
      <c r="D48" s="190" t="s">
        <v>1386</v>
      </c>
      <c r="E48" s="186"/>
      <c r="F48" s="2161">
        <f>F30</f>
        <v>5.6000000000000001E-2</v>
      </c>
      <c r="G48" s="191" t="s">
        <v>1392</v>
      </c>
    </row>
    <row r="49" spans="1:7" ht="16.5" customHeight="1">
      <c r="A49" s="158" t="s">
        <v>1369</v>
      </c>
      <c r="B49" s="159" t="s">
        <v>1393</v>
      </c>
      <c r="C49" s="186">
        <f ca="1">ROUND((C33+C39+C41+C45)/(1-C40-D41-D45-C48),0)</f>
        <v>2573</v>
      </c>
      <c r="D49" s="186"/>
      <c r="E49" s="186"/>
      <c r="F49" s="221"/>
      <c r="G49" s="191" t="s">
        <v>1394</v>
      </c>
    </row>
    <row r="50" spans="1:7" s="142" customFormat="1" ht="24">
      <c r="A50" s="158" t="s">
        <v>1395</v>
      </c>
      <c r="B50" s="159" t="s">
        <v>1396</v>
      </c>
      <c r="C50" s="186"/>
      <c r="D50" s="186"/>
      <c r="E50" s="186"/>
      <c r="F50" s="221">
        <f>IF('数据-取费表'!B24=0,'数据-取费表'!N16,1)</f>
        <v>0.74</v>
      </c>
      <c r="G50" s="205" t="s">
        <v>1397</v>
      </c>
    </row>
    <row r="51" spans="1:7" ht="16.5" customHeight="1">
      <c r="A51" s="158" t="s">
        <v>1398</v>
      </c>
      <c r="B51" s="159" t="s">
        <v>1399</v>
      </c>
      <c r="C51" s="186">
        <f ca="1">ROUND(C49*F50,0)</f>
        <v>1904</v>
      </c>
      <c r="D51" s="186"/>
      <c r="E51" s="186"/>
      <c r="F51" s="221"/>
      <c r="G51" s="191" t="s">
        <v>1400</v>
      </c>
    </row>
    <row r="52" spans="1:7" s="139" customFormat="1" ht="16.2">
      <c r="A52" s="222" t="s">
        <v>1401</v>
      </c>
      <c r="B52" s="223"/>
      <c r="C52" s="224">
        <f ca="1">C31+C51</f>
        <v>19451</v>
      </c>
      <c r="D52" s="223"/>
      <c r="E52" s="223"/>
      <c r="F52" s="223"/>
      <c r="G52" s="225"/>
    </row>
    <row r="55" spans="1:7" ht="15">
      <c r="B55" s="226" t="s">
        <v>1402</v>
      </c>
      <c r="C55" s="227"/>
    </row>
    <row r="56" spans="1:7">
      <c r="B56" s="228" t="s">
        <v>1229</v>
      </c>
      <c r="C56" s="230">
        <f ca="1">1-C57</f>
        <v>0.90200000000000002</v>
      </c>
    </row>
    <row r="57" spans="1:7">
      <c r="B57" s="228" t="s">
        <v>1230</v>
      </c>
      <c r="C57" s="229">
        <f ca="1">ROUND(C51/C52,3)</f>
        <v>9.8000000000000004E-2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1310</v>
      </c>
      <c r="B1" s="2149"/>
      <c r="C1" s="2150" t="s">
        <v>1403</v>
      </c>
      <c r="D1" s="148"/>
      <c r="E1" s="148"/>
      <c r="F1" s="148"/>
      <c r="G1" s="2151">
        <f>MATCH(B1,'数据-取费表'!A6:A16,0)+5</f>
        <v>7</v>
      </c>
      <c r="H1" s="1526" t="str">
        <f>IF(ISERROR(FIND("住宅",B1)),"非住宅","住宅")</f>
        <v>非住宅</v>
      </c>
    </row>
    <row r="2" spans="1:8" s="138" customFormat="1" ht="18" customHeight="1">
      <c r="A2" s="150" t="s">
        <v>918</v>
      </c>
      <c r="B2" s="151">
        <f ca="1">ROUND(IF(D2="——",C52/10000,C52/10000-E2),0)</f>
        <v>2224</v>
      </c>
      <c r="C2" s="149" t="s">
        <v>919</v>
      </c>
      <c r="D2" s="2152" t="s">
        <v>124</v>
      </c>
      <c r="E2" s="2153" t="e">
        <f ca="1">SUMIF(INDIRECT("'"&amp;G2&amp;"'"&amp;"!A:A"),"承租人权益价值",INDIRECT("'"&amp;G2&amp;"'"&amp;"!c:c"))</f>
        <v>#REF!</v>
      </c>
      <c r="F2" s="2154" t="s">
        <v>919</v>
      </c>
      <c r="G2" s="2155"/>
    </row>
    <row r="3" spans="1:8" s="138" customFormat="1" ht="18" customHeight="1">
      <c r="A3" s="153" t="s">
        <v>920</v>
      </c>
      <c r="B3" s="154">
        <f ca="1">ROUND(B2*10000/(IF(B1="",'数据-汇总表'!E3,INDIRECT("'数据-取费表'!k"&amp;$G$1))),0)</f>
        <v>3796</v>
      </c>
      <c r="C3" s="149" t="s">
        <v>1311</v>
      </c>
      <c r="D3" s="149"/>
      <c r="E3" s="149"/>
      <c r="F3" s="149"/>
      <c r="G3" s="149"/>
    </row>
    <row r="4" spans="1:8" s="139" customFormat="1" ht="16.2">
      <c r="A4" s="155" t="s">
        <v>1312</v>
      </c>
      <c r="B4" s="156"/>
      <c r="C4" s="156"/>
      <c r="D4" s="156"/>
      <c r="E4" s="156"/>
      <c r="F4" s="156"/>
      <c r="G4" s="157"/>
    </row>
    <row r="5" spans="1:8" s="140" customFormat="1" ht="13.5" customHeight="1">
      <c r="A5" s="158" t="s">
        <v>1313</v>
      </c>
      <c r="B5" s="159" t="s">
        <v>1314</v>
      </c>
      <c r="C5" s="160">
        <f ca="1">C6+C7+C8</f>
        <v>1171618</v>
      </c>
      <c r="D5" s="160" t="s">
        <v>1315</v>
      </c>
      <c r="E5" s="161" t="s">
        <v>1316</v>
      </c>
      <c r="F5" s="161" t="s">
        <v>818</v>
      </c>
      <c r="G5" s="162"/>
    </row>
    <row r="6" spans="1:8" s="140" customFormat="1" ht="13.5" customHeight="1">
      <c r="A6" s="163" t="s">
        <v>1317</v>
      </c>
      <c r="B6" s="164" t="s">
        <v>1318</v>
      </c>
      <c r="C6" s="165"/>
      <c r="D6" s="166"/>
      <c r="E6" s="167"/>
      <c r="F6" s="167"/>
      <c r="G6" s="168"/>
    </row>
    <row r="7" spans="1:8" s="140" customFormat="1" ht="13.5" customHeight="1">
      <c r="A7" s="163" t="s">
        <v>1319</v>
      </c>
      <c r="B7" s="164" t="s">
        <v>1320</v>
      </c>
      <c r="C7" s="169">
        <f>ROUND(C6*F7,0)</f>
        <v>0</v>
      </c>
      <c r="D7" s="169"/>
      <c r="E7" s="167"/>
      <c r="F7" s="170">
        <f>IF(项目基本情况!B8="出让",0,'数据-取费表'!B48+'数据-取费表'!B49)</f>
        <v>3.0499999999999999E-2</v>
      </c>
      <c r="G7" s="168"/>
    </row>
    <row r="8" spans="1:8" s="141" customFormat="1">
      <c r="A8" s="163" t="s">
        <v>1321</v>
      </c>
      <c r="B8" s="164" t="s">
        <v>1322</v>
      </c>
      <c r="C8" s="169">
        <f ca="1">IF(G8="已包含在土地购买价格中",0,C9+C10)</f>
        <v>1171618</v>
      </c>
      <c r="D8" s="171"/>
      <c r="E8" s="169"/>
      <c r="F8" s="170"/>
      <c r="G8" s="2156"/>
    </row>
    <row r="9" spans="1:8" s="140" customFormat="1" ht="13.5" customHeight="1">
      <c r="A9" s="173" t="s">
        <v>1146</v>
      </c>
      <c r="B9" s="174" t="s">
        <v>1324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1153</v>
      </c>
      <c r="B10" s="174" t="s">
        <v>1327</v>
      </c>
      <c r="C10" s="175">
        <f ca="1">ROUND(D10*E10,0)</f>
        <v>1171618</v>
      </c>
      <c r="D10" s="176">
        <f ca="1">IF(B1="",'数据-汇总表'!E6,IF(INDIRECT("'数据-取费表'!c"&amp;$G$1)="住宅",INDIRECT("'数据-取费表'!s"&amp;$G$1),INDIRECT("'数据-取费表'!k"&amp;$G$1)+INDIRECT("'数据-取费表'!s"&amp;$G$1)))</f>
        <v>5858.09</v>
      </c>
      <c r="E10" s="175">
        <f>'数据-取费表'!B28</f>
        <v>200</v>
      </c>
      <c r="F10" s="170"/>
      <c r="G10" s="177"/>
    </row>
    <row r="11" spans="1:8" s="140" customFormat="1" ht="13.5" hidden="1" customHeight="1">
      <c r="A11" s="178" t="s">
        <v>1328</v>
      </c>
      <c r="B11" s="164" t="s">
        <v>1329</v>
      </c>
      <c r="C11" s="160"/>
      <c r="D11" s="179"/>
      <c r="E11" s="167"/>
      <c r="F11" s="167"/>
      <c r="G11" s="168"/>
    </row>
    <row r="12" spans="1:8" s="140" customFormat="1" ht="13.5" hidden="1" customHeight="1">
      <c r="A12" s="178" t="s">
        <v>1330</v>
      </c>
      <c r="B12" s="164" t="s">
        <v>854</v>
      </c>
      <c r="C12" s="160">
        <v>0</v>
      </c>
      <c r="D12" s="179"/>
      <c r="E12" s="180"/>
      <c r="F12" s="170">
        <v>3.0499999999999999E-2</v>
      </c>
      <c r="G12" s="168"/>
    </row>
    <row r="13" spans="1:8" s="140" customFormat="1" ht="13.5" hidden="1" customHeight="1">
      <c r="A13" s="178" t="s">
        <v>1331</v>
      </c>
      <c r="B13" s="164" t="s">
        <v>1332</v>
      </c>
      <c r="C13" s="160"/>
      <c r="D13" s="179"/>
      <c r="E13" s="167"/>
      <c r="F13" s="167"/>
      <c r="G13" s="168"/>
    </row>
    <row r="14" spans="1:8" s="140" customFormat="1" ht="13.5" hidden="1" customHeight="1">
      <c r="A14" s="178" t="s">
        <v>1333</v>
      </c>
      <c r="B14" s="164" t="s">
        <v>1322</v>
      </c>
      <c r="C14" s="160"/>
      <c r="D14" s="179"/>
      <c r="E14" s="167"/>
      <c r="F14" s="167"/>
      <c r="G14" s="168" t="s">
        <v>1334</v>
      </c>
    </row>
    <row r="15" spans="1:8" s="140" customFormat="1" ht="13.5" hidden="1" customHeight="1">
      <c r="A15" s="178" t="s">
        <v>1335</v>
      </c>
      <c r="B15" s="164" t="s">
        <v>1336</v>
      </c>
      <c r="C15" s="169"/>
      <c r="D15" s="179"/>
      <c r="E15" s="167"/>
      <c r="F15" s="167"/>
      <c r="G15" s="168" t="s">
        <v>1337</v>
      </c>
    </row>
    <row r="16" spans="1:8" s="140" customFormat="1" ht="13.5" hidden="1" customHeight="1">
      <c r="A16" s="178" t="s">
        <v>1338</v>
      </c>
      <c r="B16" s="164" t="s">
        <v>1322</v>
      </c>
      <c r="C16" s="169"/>
      <c r="D16" s="179"/>
      <c r="E16" s="167"/>
      <c r="F16" s="167"/>
      <c r="G16" s="168"/>
    </row>
    <row r="17" spans="1:7" s="140" customFormat="1" ht="13.5" hidden="1" customHeight="1">
      <c r="A17" s="178" t="s">
        <v>1339</v>
      </c>
      <c r="B17" s="164" t="s">
        <v>1340</v>
      </c>
      <c r="C17" s="181"/>
      <c r="D17" s="182"/>
      <c r="E17" s="181"/>
      <c r="F17" s="181"/>
      <c r="G17" s="168" t="s">
        <v>1337</v>
      </c>
    </row>
    <row r="18" spans="1:7" s="140" customFormat="1" ht="13.5" hidden="1" customHeight="1">
      <c r="A18" s="178" t="s">
        <v>1341</v>
      </c>
      <c r="B18" s="164" t="s">
        <v>1342</v>
      </c>
      <c r="C18" s="169">
        <v>0</v>
      </c>
      <c r="D18" s="179"/>
      <c r="E18" s="167"/>
      <c r="F18" s="170">
        <v>3.0499999999999999E-2</v>
      </c>
      <c r="G18" s="168" t="s">
        <v>1343</v>
      </c>
    </row>
    <row r="19" spans="1:7" s="141" customFormat="1" ht="13.5" customHeight="1">
      <c r="A19" s="158" t="s">
        <v>1344</v>
      </c>
      <c r="B19" s="159" t="s">
        <v>1345</v>
      </c>
      <c r="C19" s="160">
        <f ca="1">IF(G19="已包含在土地取得成本中","0",ROUND(D19*E19,0))</f>
        <v>1171618</v>
      </c>
      <c r="D19" s="184">
        <f ca="1">D9+D10</f>
        <v>5858.09</v>
      </c>
      <c r="E19" s="160">
        <f>'数据-取费表'!B31</f>
        <v>200</v>
      </c>
      <c r="F19" s="185"/>
      <c r="G19" s="2156"/>
    </row>
    <row r="20" spans="1:7" s="140" customFormat="1" ht="13.5" customHeight="1">
      <c r="A20" s="158" t="s">
        <v>1347</v>
      </c>
      <c r="B20" s="159" t="s">
        <v>1348</v>
      </c>
      <c r="C20" s="186">
        <f ca="1">ROUND((C5+C19)*F20,0)</f>
        <v>46865</v>
      </c>
      <c r="D20" s="186"/>
      <c r="E20" s="186"/>
      <c r="F20" s="187">
        <f>'数据-取费表'!B37</f>
        <v>0.02</v>
      </c>
      <c r="G20" s="191" t="s">
        <v>1349</v>
      </c>
    </row>
    <row r="21" spans="1:7" s="140" customFormat="1" ht="13.5" customHeight="1">
      <c r="A21" s="158" t="s">
        <v>1350</v>
      </c>
      <c r="B21" s="159" t="s">
        <v>1351</v>
      </c>
      <c r="C21" s="189">
        <f>F21</f>
        <v>0.02</v>
      </c>
      <c r="D21" s="190" t="s">
        <v>1352</v>
      </c>
      <c r="E21" s="186"/>
      <c r="F21" s="187">
        <f>'数据-取费表'!B38</f>
        <v>0.02</v>
      </c>
      <c r="G21" s="191" t="s">
        <v>1353</v>
      </c>
    </row>
    <row r="22" spans="1:7" s="140" customFormat="1" ht="13.5" customHeight="1">
      <c r="A22" s="158" t="s">
        <v>1354</v>
      </c>
      <c r="B22" s="159" t="s">
        <v>1355</v>
      </c>
      <c r="C22" s="2157">
        <f ca="1">ROUND(SUM(C23:C25),0)</f>
        <v>202934</v>
      </c>
      <c r="D22" s="189">
        <f ca="1">C26</f>
        <v>8.0000000000000004E-4</v>
      </c>
      <c r="E22" s="190" t="s">
        <v>1352</v>
      </c>
      <c r="F22" s="193">
        <f ca="1">'数据-取费表'!B40</f>
        <v>4.2000000000000003E-2</v>
      </c>
      <c r="G22" s="191" t="str">
        <f>IF('数据-取费表'!B22&lt;=1,"单利计息","复利计息")</f>
        <v>复利计息</v>
      </c>
    </row>
    <row r="23" spans="1:7" s="140" customFormat="1" ht="13.5" customHeight="1">
      <c r="A23" s="194" t="s">
        <v>1317</v>
      </c>
      <c r="B23" s="164" t="s">
        <v>1356</v>
      </c>
      <c r="C23" s="2158">
        <f ca="1">ROUND(IF('数据-取费表'!B22&lt;=1,C5*F22*'数据-取费表'!B22,C5*(POWER((1+F22),'数据-取费表'!B22)-1)),0)</f>
        <v>100483</v>
      </c>
      <c r="D23" s="196"/>
      <c r="E23" s="196"/>
      <c r="F23" s="197"/>
      <c r="G23" s="198" t="s">
        <v>1357</v>
      </c>
    </row>
    <row r="24" spans="1:7" s="140" customFormat="1" ht="13.5" customHeight="1">
      <c r="A24" s="194" t="s">
        <v>1319</v>
      </c>
      <c r="B24" s="164" t="s">
        <v>1358</v>
      </c>
      <c r="C24" s="2158">
        <f ca="1">ROUND(IF('数据-取费表'!B22&lt;=1,C19*F22*('数据-取费表'!B19/2+'数据-取费表'!B20),C19*(POWER((1+F22),('数据-取费表'!B19/2+'数据-取费表'!B20))-1)),0)</f>
        <v>100483</v>
      </c>
      <c r="D24" s="196"/>
      <c r="E24" s="196"/>
      <c r="F24" s="197"/>
      <c r="G24" s="198" t="s">
        <v>1359</v>
      </c>
    </row>
    <row r="25" spans="1:7" s="140" customFormat="1" ht="24">
      <c r="A25" s="194" t="s">
        <v>1321</v>
      </c>
      <c r="B25" s="164" t="s">
        <v>1360</v>
      </c>
      <c r="C25" s="2158">
        <f ca="1">ROUND(IF('数据-取费表'!B22&lt;=1,C20*F22*'数据-取费表'!B22/2,C20*(POWER((1+F22),'数据-取费表'!B22/2)-1)),0)</f>
        <v>1968</v>
      </c>
      <c r="D25" s="196"/>
      <c r="E25" s="199"/>
      <c r="F25" s="197"/>
      <c r="G25" s="200" t="s">
        <v>1361</v>
      </c>
    </row>
    <row r="26" spans="1:7" s="140" customFormat="1">
      <c r="A26" s="194" t="s">
        <v>1362</v>
      </c>
      <c r="B26" s="164" t="s">
        <v>1363</v>
      </c>
      <c r="C26" s="196">
        <f ca="1">ROUND(IF('数据-取费表'!B22&lt;=1,F21*F22*'数据-取费表'!B22/2,F21*(POWER((1+F22),'数据-取费表'!B22/2)-1)),4)</f>
        <v>8.0000000000000004E-4</v>
      </c>
      <c r="D26" s="196"/>
      <c r="E26" s="199"/>
      <c r="F26" s="197"/>
      <c r="G26" s="201"/>
    </row>
    <row r="27" spans="1:7" s="140" customFormat="1" ht="26.4">
      <c r="A27" s="158" t="s">
        <v>1364</v>
      </c>
      <c r="B27" s="202" t="s">
        <v>1365</v>
      </c>
      <c r="C27" s="203">
        <f ca="1">C28</f>
        <v>358515</v>
      </c>
      <c r="D27" s="189">
        <f ca="1">C29</f>
        <v>3.0000000000000001E-3</v>
      </c>
      <c r="E27" s="190" t="s">
        <v>1352</v>
      </c>
      <c r="F27" s="204">
        <f ca="1">IF(B1="",'数据-取费表'!Q16,INDIRECT("'数据-取费表'!q"&amp;$G$1))</f>
        <v>0.15</v>
      </c>
      <c r="G27" s="205" t="s">
        <v>1366</v>
      </c>
    </row>
    <row r="28" spans="1:7" s="140" customFormat="1" ht="13.5" customHeight="1">
      <c r="A28" s="194" t="s">
        <v>1317</v>
      </c>
      <c r="B28" s="206" t="s">
        <v>1367</v>
      </c>
      <c r="C28" s="207">
        <f ca="1">ROUND((C5+C19+C20)*F27,0)</f>
        <v>358515</v>
      </c>
      <c r="D28" s="189"/>
      <c r="E28" s="190"/>
      <c r="F28" s="204"/>
      <c r="G28" s="205"/>
    </row>
    <row r="29" spans="1:7" s="140" customFormat="1" ht="13.5" customHeight="1">
      <c r="A29" s="194" t="s">
        <v>1319</v>
      </c>
      <c r="B29" s="206" t="s">
        <v>1368</v>
      </c>
      <c r="C29" s="196">
        <f ca="1">ROUND(C21*F27,4)</f>
        <v>3.0000000000000001E-3</v>
      </c>
      <c r="D29" s="189"/>
      <c r="E29" s="190"/>
      <c r="F29" s="204"/>
      <c r="G29" s="205"/>
    </row>
    <row r="30" spans="1:7" s="140" customFormat="1" ht="13.5" customHeight="1">
      <c r="A30" s="158" t="s">
        <v>1369</v>
      </c>
      <c r="B30" s="159" t="s">
        <v>1370</v>
      </c>
      <c r="C30" s="189">
        <f>ROUND(F30/(1+'数据-取费表'!C42),4)</f>
        <v>5.33E-2</v>
      </c>
      <c r="D30" s="190" t="s">
        <v>1352</v>
      </c>
      <c r="E30" s="199"/>
      <c r="F30" s="193">
        <f>'数据-取费表'!B41</f>
        <v>5.6000000000000001E-2</v>
      </c>
      <c r="G30" s="191" t="s">
        <v>1371</v>
      </c>
    </row>
    <row r="31" spans="1:7" ht="16.5" customHeight="1">
      <c r="A31" s="208">
        <v>1</v>
      </c>
      <c r="B31" s="159" t="s">
        <v>1372</v>
      </c>
      <c r="C31" s="160">
        <f ca="1">ROUND((C5+C19+C20+C22+C27)/(1-C21-D22-D27-C30),0)</f>
        <v>3198125</v>
      </c>
      <c r="D31" s="209"/>
      <c r="E31" s="160"/>
      <c r="F31" s="210"/>
      <c r="G31" s="191" t="s">
        <v>1373</v>
      </c>
    </row>
    <row r="32" spans="1:7" s="139" customFormat="1" ht="16.2">
      <c r="A32" s="211" t="s">
        <v>1404</v>
      </c>
      <c r="B32" s="212"/>
      <c r="C32" s="212"/>
      <c r="D32" s="212"/>
      <c r="E32" s="212"/>
      <c r="F32" s="212"/>
      <c r="G32" s="213"/>
    </row>
    <row r="33" spans="1:7" s="140" customFormat="1" ht="13.5" customHeight="1">
      <c r="A33" s="158" t="s">
        <v>1313</v>
      </c>
      <c r="B33" s="159" t="s">
        <v>1405</v>
      </c>
      <c r="C33" s="214">
        <f ca="1">SUM(C34:C38)</f>
        <v>19536730</v>
      </c>
      <c r="D33" s="186"/>
      <c r="E33" s="161"/>
      <c r="F33" s="199"/>
      <c r="G33" s="191"/>
    </row>
    <row r="34" spans="1:7" s="142" customFormat="1" ht="13.5" customHeight="1">
      <c r="A34" s="194" t="s">
        <v>1317</v>
      </c>
      <c r="B34" s="164" t="s">
        <v>1376</v>
      </c>
      <c r="C34" s="169">
        <f ca="1">ROUND(IF(B1="",SUMPRODUCT('数据-取费表'!K6:K14,'数据-取费表'!L6:L14),INDIRECT("'数据-取费表'!l"&amp;$G$1)*INDIRECT("'数据-取费表'!k"&amp;$G$1)+'数据-取费表'!L14*INDIRECT("'数据-取费表'!S"&amp;$G$1)),0)</f>
        <v>17574270</v>
      </c>
      <c r="D34" s="166"/>
      <c r="E34" s="169"/>
      <c r="F34" s="215"/>
      <c r="G34" s="168"/>
    </row>
    <row r="35" spans="1:7" ht="13.5" customHeight="1">
      <c r="A35" s="194" t="s">
        <v>1319</v>
      </c>
      <c r="B35" s="164" t="s">
        <v>1378</v>
      </c>
      <c r="C35" s="169">
        <f ca="1">ROUND(C34*F35,0)</f>
        <v>527228</v>
      </c>
      <c r="D35" s="169"/>
      <c r="E35" s="169"/>
      <c r="F35" s="216">
        <f>'数据-取费表'!B33</f>
        <v>0.03</v>
      </c>
      <c r="G35" s="168" t="s">
        <v>1379</v>
      </c>
    </row>
    <row r="36" spans="1:7" ht="24">
      <c r="A36" s="194" t="s">
        <v>1321</v>
      </c>
      <c r="B36" s="164" t="s">
        <v>1380</v>
      </c>
      <c r="C36" s="169">
        <f ca="1">ROUND(IF(B1="",SUM('数据-取费表'!AP6:AP13)*F36,IF(INDIRECT("'数据-取费表'!c"&amp;$G$1)="住宅",INDIRECT("'数据-取费表'!k"&amp;$G$1)*INDIRECT("'数据-取费表'!l"&amp;$G$1)*F36,0)),0)</f>
        <v>0</v>
      </c>
      <c r="D36" s="169"/>
      <c r="E36" s="169"/>
      <c r="F36" s="216">
        <f>'数据-取费表'!B34</f>
        <v>0</v>
      </c>
      <c r="G36" s="217" t="s">
        <v>1381</v>
      </c>
    </row>
    <row r="37" spans="1:7" s="142" customFormat="1" ht="13.5" customHeight="1">
      <c r="A37" s="194" t="s">
        <v>1362</v>
      </c>
      <c r="B37" s="164" t="s">
        <v>1382</v>
      </c>
      <c r="C37" s="207">
        <f ca="1">ROUND(E37*D37,0)</f>
        <v>1171618</v>
      </c>
      <c r="D37" s="166">
        <f ca="1">D19</f>
        <v>5858.09</v>
      </c>
      <c r="E37" s="207">
        <f>'数据-取费表'!B35</f>
        <v>200</v>
      </c>
      <c r="F37" s="216"/>
      <c r="G37" s="218"/>
    </row>
    <row r="38" spans="1:7" ht="13.5" customHeight="1">
      <c r="A38" s="194" t="s">
        <v>1384</v>
      </c>
      <c r="B38" s="164" t="s">
        <v>854</v>
      </c>
      <c r="C38" s="169">
        <f ca="1">ROUND(C34*F38,0)</f>
        <v>263614</v>
      </c>
      <c r="D38" s="169"/>
      <c r="E38" s="169"/>
      <c r="F38" s="216">
        <f>'数据-取费表'!B36</f>
        <v>1.4999999999999999E-2</v>
      </c>
      <c r="G38" s="168" t="s">
        <v>1379</v>
      </c>
    </row>
    <row r="39" spans="1:7" s="140" customFormat="1" ht="13.5" customHeight="1">
      <c r="A39" s="158" t="s">
        <v>1344</v>
      </c>
      <c r="B39" s="159" t="s">
        <v>1348</v>
      </c>
      <c r="C39" s="186">
        <f ca="1">ROUND(C33*F20,0)</f>
        <v>390735</v>
      </c>
      <c r="D39" s="186"/>
      <c r="E39" s="186"/>
      <c r="F39" s="2159">
        <f>F20</f>
        <v>0.02</v>
      </c>
      <c r="G39" s="191" t="s">
        <v>1385</v>
      </c>
    </row>
    <row r="40" spans="1:7" s="140" customFormat="1" ht="13.5" customHeight="1">
      <c r="A40" s="158" t="s">
        <v>1347</v>
      </c>
      <c r="B40" s="159" t="s">
        <v>1351</v>
      </c>
      <c r="C40" s="2160">
        <f>F21</f>
        <v>0.02</v>
      </c>
      <c r="D40" s="190" t="s">
        <v>1386</v>
      </c>
      <c r="E40" s="186"/>
      <c r="F40" s="2159">
        <f>F21</f>
        <v>0.02</v>
      </c>
      <c r="G40" s="191" t="s">
        <v>1387</v>
      </c>
    </row>
    <row r="41" spans="1:7" s="140" customFormat="1" ht="13.5" customHeight="1">
      <c r="A41" s="158" t="s">
        <v>1350</v>
      </c>
      <c r="B41" s="159" t="s">
        <v>1355</v>
      </c>
      <c r="C41" s="186">
        <f ca="1">ROUND(SUM(C42:C43),0)</f>
        <v>836954</v>
      </c>
      <c r="D41" s="189">
        <f ca="1">C44</f>
        <v>8.0000000000000004E-4</v>
      </c>
      <c r="E41" s="190" t="s">
        <v>1386</v>
      </c>
      <c r="F41" s="2161">
        <f ca="1">F22</f>
        <v>4.2000000000000003E-2</v>
      </c>
      <c r="G41" s="191" t="str">
        <f>IF('数据-取费表'!B22&lt;=1,"单利计息","复利计息")</f>
        <v>复利计息</v>
      </c>
    </row>
    <row r="42" spans="1:7" ht="13.5" customHeight="1">
      <c r="A42" s="194" t="s">
        <v>1317</v>
      </c>
      <c r="B42" s="164" t="s">
        <v>1356</v>
      </c>
      <c r="C42" s="196">
        <f ca="1">ROUND(IF('数据-取费表'!B22&lt;=1,C33*F22*'数据-取费表'!B20/2,C33*(POWER((1+F22),'数据-取费表'!B20/2)-1)),0)</f>
        <v>820543</v>
      </c>
      <c r="D42" s="196"/>
      <c r="E42" s="196"/>
      <c r="F42" s="197"/>
      <c r="G42" s="3510" t="s">
        <v>1406</v>
      </c>
    </row>
    <row r="43" spans="1:7" ht="13.5" customHeight="1">
      <c r="A43" s="194" t="s">
        <v>1319</v>
      </c>
      <c r="B43" s="164" t="s">
        <v>1358</v>
      </c>
      <c r="C43" s="196">
        <f ca="1">ROUND(IF('数据-取费表'!B22&lt;=1,C39*F22*'数据-取费表'!B20/2,C39*(POWER((1+F22),'数据-取费表'!B20/2)-1)),0)</f>
        <v>16411</v>
      </c>
      <c r="D43" s="196"/>
      <c r="E43" s="196"/>
      <c r="F43" s="197"/>
      <c r="G43" s="3511"/>
    </row>
    <row r="44" spans="1:7" ht="13.5" customHeight="1">
      <c r="A44" s="194" t="s">
        <v>1321</v>
      </c>
      <c r="B44" s="164" t="s">
        <v>1360</v>
      </c>
      <c r="C44" s="196">
        <f ca="1">ROUND(IF('数据-取费表'!B22&lt;=1,C40*F22*'数据-取费表'!B20/2,C40*(POWER((1+F22),'数据-取费表'!B20/2)-1)),4)</f>
        <v>8.0000000000000004E-4</v>
      </c>
      <c r="D44" s="196"/>
      <c r="E44" s="196"/>
      <c r="F44" s="197"/>
      <c r="G44" s="3512"/>
    </row>
    <row r="45" spans="1:7" s="140" customFormat="1" ht="13.5" customHeight="1">
      <c r="A45" s="158" t="s">
        <v>1354</v>
      </c>
      <c r="B45" s="202" t="s">
        <v>1365</v>
      </c>
      <c r="C45" s="203">
        <f ca="1">C46</f>
        <v>2989120</v>
      </c>
      <c r="D45" s="189">
        <f ca="1">C47</f>
        <v>3.0000000000000001E-3</v>
      </c>
      <c r="E45" s="190" t="s">
        <v>1386</v>
      </c>
      <c r="F45" s="2162">
        <f ca="1">F27</f>
        <v>0.15</v>
      </c>
      <c r="G45" s="205" t="s">
        <v>1389</v>
      </c>
    </row>
    <row r="46" spans="1:7" s="140" customFormat="1" ht="13.5" customHeight="1">
      <c r="A46" s="194" t="s">
        <v>1317</v>
      </c>
      <c r="B46" s="206" t="s">
        <v>1390</v>
      </c>
      <c r="C46" s="207">
        <f ca="1">ROUND((C33+C39)*F27,0)</f>
        <v>2989120</v>
      </c>
      <c r="D46" s="220"/>
      <c r="E46" s="190"/>
      <c r="F46" s="204"/>
      <c r="G46" s="205"/>
    </row>
    <row r="47" spans="1:7" s="140" customFormat="1" ht="13.5" customHeight="1">
      <c r="A47" s="194" t="s">
        <v>1319</v>
      </c>
      <c r="B47" s="206" t="s">
        <v>1391</v>
      </c>
      <c r="C47" s="196">
        <f ca="1">ROUND(C40*F27,4)</f>
        <v>3.0000000000000001E-3</v>
      </c>
      <c r="D47" s="220"/>
      <c r="E47" s="190"/>
      <c r="F47" s="204"/>
      <c r="G47" s="205"/>
    </row>
    <row r="48" spans="1:7" s="140" customFormat="1" ht="13.5" customHeight="1">
      <c r="A48" s="158" t="s">
        <v>1364</v>
      </c>
      <c r="B48" s="159" t="s">
        <v>1370</v>
      </c>
      <c r="C48" s="219">
        <f>ROUND(F30/(1+'数据-取费表'!C42),4)</f>
        <v>5.33E-2</v>
      </c>
      <c r="D48" s="190" t="s">
        <v>1386</v>
      </c>
      <c r="E48" s="186"/>
      <c r="F48" s="2161">
        <f>F30</f>
        <v>5.6000000000000001E-2</v>
      </c>
      <c r="G48" s="191" t="s">
        <v>1392</v>
      </c>
    </row>
    <row r="49" spans="1:7" ht="16.5" customHeight="1">
      <c r="A49" s="158" t="s">
        <v>1369</v>
      </c>
      <c r="B49" s="159" t="s">
        <v>1407</v>
      </c>
      <c r="C49" s="186">
        <f ca="1">ROUND((C33+C39+C41+C45)/(1-C40-D41-D45-C48),0)</f>
        <v>25737934</v>
      </c>
      <c r="D49" s="186"/>
      <c r="E49" s="186"/>
      <c r="F49" s="221"/>
      <c r="G49" s="191" t="s">
        <v>1394</v>
      </c>
    </row>
    <row r="50" spans="1:7" s="142" customFormat="1">
      <c r="A50" s="158" t="s">
        <v>1395</v>
      </c>
      <c r="B50" s="159" t="s">
        <v>1396</v>
      </c>
      <c r="C50" s="186"/>
      <c r="D50" s="186"/>
      <c r="E50" s="186"/>
      <c r="F50" s="221">
        <f>IF('数据-取费表'!B24=0,'数据-取费表'!N16,1)</f>
        <v>0.74</v>
      </c>
      <c r="G50" s="205"/>
    </row>
    <row r="51" spans="1:7" ht="16.5" customHeight="1">
      <c r="A51" s="158" t="s">
        <v>1398</v>
      </c>
      <c r="B51" s="159" t="s">
        <v>1408</v>
      </c>
      <c r="C51" s="186">
        <f ca="1">ROUND(C49*F50,0)</f>
        <v>19046071</v>
      </c>
      <c r="D51" s="186"/>
      <c r="E51" s="186"/>
      <c r="F51" s="221"/>
      <c r="G51" s="191" t="s">
        <v>1400</v>
      </c>
    </row>
    <row r="52" spans="1:7" s="139" customFormat="1" ht="16.2">
      <c r="A52" s="222" t="s">
        <v>1401</v>
      </c>
      <c r="B52" s="223"/>
      <c r="C52" s="224">
        <f ca="1">C31+C51</f>
        <v>22244196</v>
      </c>
      <c r="D52" s="223"/>
      <c r="E52" s="223"/>
      <c r="F52" s="223"/>
      <c r="G52" s="225"/>
    </row>
    <row r="55" spans="1:7" ht="15">
      <c r="B55" s="226" t="s">
        <v>1402</v>
      </c>
      <c r="C55" s="227"/>
    </row>
    <row r="56" spans="1:7">
      <c r="B56" s="228" t="s">
        <v>1229</v>
      </c>
      <c r="C56" s="230">
        <f ca="1">1-C57</f>
        <v>0.14400000000000002</v>
      </c>
    </row>
    <row r="57" spans="1:7">
      <c r="B57" s="228" t="s">
        <v>1230</v>
      </c>
      <c r="C57" s="229">
        <f ca="1">ROUND(C51/C52,3)</f>
        <v>0.85599999999999998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5" customWidth="1"/>
    <col min="2" max="2" width="25.77734375" style="2062" customWidth="1"/>
    <col min="3" max="3" width="10.33203125" style="2063" customWidth="1"/>
    <col min="4" max="4" width="9.88671875" style="2062" customWidth="1"/>
    <col min="5" max="5" width="9.44140625" style="335" customWidth="1"/>
    <col min="6" max="6" width="10.109375" style="2062" customWidth="1"/>
    <col min="7" max="7" width="10.77734375" style="2062" customWidth="1"/>
    <col min="8" max="8" width="10" style="2062" customWidth="1"/>
    <col min="9" max="11" width="9.44140625" style="2062" customWidth="1"/>
    <col min="12" max="12" width="9" style="2062" customWidth="1"/>
    <col min="13" max="13" width="10.44140625" style="2062" customWidth="1"/>
    <col min="14" max="254" width="9" style="2062" customWidth="1"/>
    <col min="255" max="16384" width="6.6640625" style="2062"/>
  </cols>
  <sheetData>
    <row r="1" spans="1:33" ht="21">
      <c r="A1" s="146" t="s">
        <v>1409</v>
      </c>
      <c r="B1" s="1883"/>
      <c r="C1" s="2064"/>
      <c r="D1" s="2065"/>
      <c r="E1" s="2066"/>
      <c r="F1" s="2066"/>
      <c r="G1" s="2067"/>
      <c r="H1" s="2066"/>
      <c r="I1" s="2066"/>
      <c r="J1" s="2066"/>
      <c r="K1" s="2136">
        <f>MATCH(C1,'数据-取费表'!A6:A16,0)+5</f>
        <v>7</v>
      </c>
    </row>
    <row r="2" spans="1:33" ht="18" customHeight="1">
      <c r="A2" s="150" t="s">
        <v>918</v>
      </c>
      <c r="B2" s="154">
        <f ca="1">C32</f>
        <v>0</v>
      </c>
      <c r="C2" s="2068" t="s">
        <v>1410</v>
      </c>
      <c r="D2" s="2068"/>
      <c r="E2" s="2066"/>
      <c r="F2" s="2066"/>
      <c r="G2" s="2066"/>
      <c r="H2" s="2066"/>
      <c r="I2" s="2066"/>
      <c r="J2" s="2066"/>
      <c r="K2" s="2066"/>
    </row>
    <row r="3" spans="1:33" ht="18" customHeight="1">
      <c r="A3" s="153" t="s">
        <v>920</v>
      </c>
      <c r="B3" s="154">
        <f ca="1">ROUND(B2*10000/IF(C1="",'数据-汇总表'!E3,INDIRECT("'数据-取费表'!K"&amp;$K$1)),0)</f>
        <v>0</v>
      </c>
      <c r="C3" s="2068" t="s">
        <v>1411</v>
      </c>
      <c r="D3" s="2068"/>
      <c r="E3" s="2066"/>
      <c r="F3" s="2066"/>
      <c r="G3" s="2066"/>
      <c r="H3" s="2066"/>
      <c r="I3" s="2066"/>
      <c r="J3" s="2066"/>
      <c r="K3" s="2066"/>
    </row>
    <row r="4" spans="1:33" s="2053" customFormat="1" ht="16.5" customHeight="1">
      <c r="A4" s="2069" t="s">
        <v>1412</v>
      </c>
      <c r="B4" s="2070"/>
      <c r="C4" s="2071">
        <f>SUM(C8:K8)</f>
        <v>0</v>
      </c>
      <c r="D4" s="2070"/>
      <c r="E4" s="2070"/>
      <c r="F4" s="2070"/>
      <c r="G4" s="2070"/>
      <c r="H4" s="2070"/>
      <c r="I4" s="2070"/>
      <c r="J4" s="2070"/>
      <c r="K4" s="2137"/>
    </row>
    <row r="5" spans="1:33" s="2054" customFormat="1" ht="25.2">
      <c r="A5" s="2072" t="s">
        <v>1413</v>
      </c>
      <c r="B5" s="2073" t="s">
        <v>1414</v>
      </c>
      <c r="C5" s="2074" t="s">
        <v>1415</v>
      </c>
      <c r="D5" s="2074" t="s">
        <v>1416</v>
      </c>
      <c r="E5" s="2074" t="s">
        <v>1417</v>
      </c>
      <c r="F5" s="2074"/>
      <c r="G5" s="2074"/>
      <c r="H5" s="2074"/>
      <c r="I5" s="2074"/>
      <c r="J5" s="2074"/>
      <c r="K5" s="2074"/>
      <c r="L5" s="2138"/>
      <c r="M5" s="2138"/>
      <c r="N5" s="2138"/>
      <c r="O5" s="2138"/>
      <c r="P5" s="2138"/>
      <c r="Q5" s="2138"/>
      <c r="R5" s="2138"/>
      <c r="S5" s="2138"/>
      <c r="T5" s="2138"/>
      <c r="U5" s="2138"/>
      <c r="V5" s="2138"/>
      <c r="W5" s="2138"/>
      <c r="X5" s="2138"/>
      <c r="Y5" s="2138"/>
      <c r="Z5" s="2138"/>
      <c r="AA5" s="2138"/>
      <c r="AB5" s="2138"/>
      <c r="AC5" s="2138"/>
      <c r="AD5" s="2138"/>
      <c r="AE5" s="2138"/>
      <c r="AF5" s="2138"/>
      <c r="AG5" s="2138"/>
    </row>
    <row r="6" spans="1:33" s="2055" customFormat="1" ht="13.5" customHeight="1">
      <c r="A6" s="2075" t="s">
        <v>823</v>
      </c>
      <c r="B6" s="1846" t="s">
        <v>1418</v>
      </c>
      <c r="C6" s="2076"/>
      <c r="D6" s="2076"/>
      <c r="E6" s="2076"/>
      <c r="F6" s="2076"/>
      <c r="G6" s="2076"/>
      <c r="H6" s="2076"/>
      <c r="I6" s="2076"/>
      <c r="J6" s="2076"/>
      <c r="K6" s="2139"/>
      <c r="L6" s="2140"/>
      <c r="M6" s="2140"/>
      <c r="N6" s="2140"/>
      <c r="O6" s="2140"/>
      <c r="P6" s="2140"/>
      <c r="Q6" s="2140"/>
      <c r="R6" s="2140"/>
      <c r="S6" s="2140"/>
      <c r="T6" s="2140"/>
      <c r="U6" s="2140"/>
      <c r="V6" s="2140"/>
      <c r="W6" s="2140"/>
      <c r="X6" s="2140"/>
      <c r="Y6" s="2140"/>
      <c r="Z6" s="2140"/>
      <c r="AA6" s="2140"/>
      <c r="AB6" s="2140"/>
      <c r="AC6" s="2140"/>
      <c r="AD6" s="2140"/>
      <c r="AE6" s="2140"/>
      <c r="AF6" s="2140"/>
      <c r="AG6" s="2140"/>
    </row>
    <row r="7" spans="1:33" s="2055" customFormat="1" ht="13.5" customHeight="1">
      <c r="A7" s="2075" t="s">
        <v>827</v>
      </c>
      <c r="B7" s="1846" t="s">
        <v>361</v>
      </c>
      <c r="C7" s="2077">
        <f>SUMIF('数据-汇总表'!$C19:$C33,假设开发法!C5,'数据-汇总表'!$E19:$E33)</f>
        <v>0</v>
      </c>
      <c r="D7" s="2077">
        <f>SUMIF('数据-汇总表'!$C19:$C33,假设开发法!D5,'数据-汇总表'!$E19:$E33)</f>
        <v>0</v>
      </c>
      <c r="E7" s="2077">
        <f>SUMIF('数据-汇总表'!$C19:$C33,假设开发法!E5,'数据-汇总表'!$E19:$E33)</f>
        <v>0</v>
      </c>
      <c r="F7" s="2077">
        <f>SUMIF('数据-汇总表'!$C19:$C33,假设开发法!F5,'数据-汇总表'!$E19:$E33)</f>
        <v>0</v>
      </c>
      <c r="G7" s="2077">
        <f>SUMIF('数据-汇总表'!$C19:$C33,假设开发法!G5,'数据-汇总表'!$E19:$E33)</f>
        <v>0</v>
      </c>
      <c r="H7" s="2077">
        <f>SUMIF('数据-汇总表'!$C19:$C33,假设开发法!H5,'数据-汇总表'!$E19:$E33)</f>
        <v>0</v>
      </c>
      <c r="I7" s="2077">
        <f>SUMIF('数据-汇总表'!$C19:$C33,假设开发法!I5,'数据-汇总表'!$E19:$E33)</f>
        <v>0</v>
      </c>
      <c r="J7" s="2077">
        <f>SUMIF('数据-汇总表'!$C19:$C33,假设开发法!J5,'数据-汇总表'!$E19:$E33)</f>
        <v>0</v>
      </c>
      <c r="K7" s="2141">
        <f>SUMIF('数据-汇总表'!$C19:$C33,假设开发法!K5,'数据-汇总表'!$E19:$E33)</f>
        <v>0</v>
      </c>
      <c r="L7" s="2140"/>
      <c r="M7" s="2140"/>
      <c r="N7" s="2140"/>
      <c r="O7" s="2140"/>
      <c r="P7" s="2140"/>
      <c r="Q7" s="2140"/>
      <c r="R7" s="2140"/>
      <c r="S7" s="2140"/>
      <c r="T7" s="2140"/>
      <c r="U7" s="2140"/>
      <c r="V7" s="2140"/>
      <c r="W7" s="2140"/>
      <c r="X7" s="2140"/>
      <c r="Y7" s="2140"/>
      <c r="Z7" s="2140"/>
      <c r="AA7" s="2140"/>
      <c r="AB7" s="2140"/>
      <c r="AC7" s="2140"/>
      <c r="AD7" s="2140"/>
      <c r="AE7" s="2140"/>
      <c r="AF7" s="2140"/>
      <c r="AG7" s="2140"/>
    </row>
    <row r="8" spans="1:33" s="2055" customFormat="1" ht="13.5" customHeight="1">
      <c r="A8" s="2078" t="s">
        <v>873</v>
      </c>
      <c r="B8" s="2079" t="s">
        <v>1419</v>
      </c>
      <c r="C8" s="2080"/>
      <c r="D8" s="2080"/>
      <c r="E8" s="2080"/>
      <c r="F8" s="2081"/>
      <c r="G8" s="2081"/>
      <c r="H8" s="2081"/>
      <c r="I8" s="2081"/>
      <c r="J8" s="2081"/>
      <c r="K8" s="2142"/>
      <c r="L8" s="2140"/>
      <c r="M8" s="2140"/>
      <c r="N8" s="2140"/>
      <c r="O8" s="2140"/>
      <c r="P8" s="2140"/>
      <c r="Q8" s="2140"/>
      <c r="R8" s="2140"/>
      <c r="S8" s="2140"/>
      <c r="T8" s="2140"/>
      <c r="U8" s="2140"/>
      <c r="V8" s="2140"/>
      <c r="W8" s="2140"/>
      <c r="X8" s="2140"/>
      <c r="Y8" s="2140"/>
      <c r="Z8" s="2140"/>
      <c r="AA8" s="2140"/>
      <c r="AB8" s="2140"/>
      <c r="AC8" s="2140"/>
      <c r="AD8" s="2140"/>
      <c r="AE8" s="2140"/>
      <c r="AF8" s="2140"/>
      <c r="AG8" s="2140"/>
    </row>
    <row r="9" spans="1:33" s="2053" customFormat="1" ht="16.5" customHeight="1">
      <c r="A9" s="2069" t="s">
        <v>1420</v>
      </c>
      <c r="B9" s="2070"/>
      <c r="C9" s="2070"/>
      <c r="D9" s="2070"/>
      <c r="E9" s="2070"/>
      <c r="F9" s="2070"/>
      <c r="G9" s="2070"/>
      <c r="H9" s="2070"/>
      <c r="I9" s="2070"/>
      <c r="J9" s="2070"/>
      <c r="K9" s="2137"/>
    </row>
    <row r="10" spans="1:33" s="2056" customFormat="1" ht="13.5" customHeight="1">
      <c r="A10" s="2072" t="s">
        <v>1413</v>
      </c>
      <c r="B10" s="2082" t="s">
        <v>1414</v>
      </c>
      <c r="C10" s="2083" t="s">
        <v>1421</v>
      </c>
      <c r="D10" s="2084" t="s">
        <v>1422</v>
      </c>
      <c r="E10" s="2084" t="s">
        <v>1423</v>
      </c>
      <c r="F10" s="2084" t="s">
        <v>1424</v>
      </c>
      <c r="G10" s="2082"/>
      <c r="H10" s="2085"/>
      <c r="I10" s="2085"/>
      <c r="J10" s="2085"/>
      <c r="K10" s="2143"/>
    </row>
    <row r="11" spans="1:33" s="2057" customFormat="1" ht="13.5" customHeight="1">
      <c r="A11" s="2086" t="s">
        <v>1146</v>
      </c>
      <c r="B11" s="2087" t="s">
        <v>1425</v>
      </c>
      <c r="C11" s="2088">
        <f ca="1">IF(C1="",'数据-取费表'!P16,INDIRECT("'数据-取费表'!p"&amp;$K$1)+INDIRECT("'数据-取费表'!ar"&amp;$K$1))</f>
        <v>0</v>
      </c>
      <c r="D11" s="2089"/>
      <c r="E11" s="1849"/>
      <c r="F11" s="2090">
        <f ca="1">1-IF('数据-取费表'!B24=0,1,IF(C1="",'数据-取费表'!N16,INDIRECT("'数据-取费表'!n"&amp;$K$1)))</f>
        <v>0</v>
      </c>
      <c r="G11" s="2082"/>
      <c r="H11" s="2085"/>
      <c r="I11" s="2085"/>
      <c r="J11" s="2085"/>
      <c r="K11" s="2143"/>
    </row>
    <row r="12" spans="1:33" s="2057" customFormat="1" ht="13.5" customHeight="1">
      <c r="A12" s="2086" t="s">
        <v>1153</v>
      </c>
      <c r="B12" s="2087" t="s">
        <v>1065</v>
      </c>
      <c r="C12" s="293">
        <f ca="1">ROUND(C11*F12,0)</f>
        <v>0</v>
      </c>
      <c r="D12" s="2089"/>
      <c r="E12" s="1849"/>
      <c r="F12" s="2091">
        <f>'数据-取费表'!B33</f>
        <v>0.03</v>
      </c>
      <c r="G12" s="2082" t="s">
        <v>1426</v>
      </c>
      <c r="H12" s="2085"/>
      <c r="I12" s="2085"/>
      <c r="J12" s="2085"/>
      <c r="K12" s="2143"/>
    </row>
    <row r="13" spans="1:33" s="2057" customFormat="1" ht="13.5" customHeight="1">
      <c r="A13" s="2086" t="s">
        <v>1179</v>
      </c>
      <c r="B13" s="2087" t="s">
        <v>1068</v>
      </c>
      <c r="C13" s="293">
        <f ca="1">ROUND(IF(C1="",SUMIF('数据-取费表'!C:C,"住宅",'数据-取费表'!P:P)*F13,IF(INDIRECT("'数据-取费表'!c"&amp;$K$1)="住宅",INDIRECT("'数据-取费表'!P"&amp;$K$1)*F13,0)),0)</f>
        <v>0</v>
      </c>
      <c r="D13" s="2092"/>
      <c r="E13" s="1849"/>
      <c r="F13" s="2091">
        <f>'数据-取费表'!B34</f>
        <v>0</v>
      </c>
      <c r="G13" s="2082" t="s">
        <v>1427</v>
      </c>
      <c r="H13" s="2085"/>
      <c r="I13" s="2085"/>
      <c r="J13" s="2085"/>
      <c r="K13" s="2143"/>
    </row>
    <row r="14" spans="1:33" s="2058" customFormat="1" ht="13.5" customHeight="1">
      <c r="A14" s="2086" t="s">
        <v>1428</v>
      </c>
      <c r="B14" s="2087" t="s">
        <v>1429</v>
      </c>
      <c r="C14" s="293">
        <f ca="1">ROUND(D14*E14*F11/10000,0)</f>
        <v>0</v>
      </c>
      <c r="D14" s="2092">
        <f ca="1">IF(C1="",'数据-汇总表'!E3,INDIRECT("'数据-取费表'!K"&amp;$K$1)+INDIRECT("'数据-取费表'!S"&amp;$K$1))</f>
        <v>5858.09</v>
      </c>
      <c r="E14" s="293">
        <f>'数据-取费表'!B35</f>
        <v>200</v>
      </c>
      <c r="F14" s="2091"/>
      <c r="G14" s="2082" t="s">
        <v>1430</v>
      </c>
      <c r="H14" s="2085"/>
      <c r="I14" s="2085"/>
      <c r="J14" s="2085"/>
      <c r="K14" s="2143"/>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row>
    <row r="15" spans="1:33" s="2058" customFormat="1" ht="13.5" customHeight="1">
      <c r="A15" s="2086" t="s">
        <v>1431</v>
      </c>
      <c r="B15" s="2087" t="s">
        <v>1080</v>
      </c>
      <c r="C15" s="2093">
        <f ca="1">ROUND(C11*F15,0)</f>
        <v>0</v>
      </c>
      <c r="D15" s="2094"/>
      <c r="E15" s="2093"/>
      <c r="F15" s="2095">
        <f>'数据-取费表'!B36</f>
        <v>1.4999999999999999E-2</v>
      </c>
      <c r="G15" s="1846" t="s">
        <v>1432</v>
      </c>
      <c r="H15" s="1960"/>
      <c r="I15" s="1960"/>
      <c r="J15" s="1960"/>
      <c r="K15" s="1961"/>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row>
    <row r="16" spans="1:33" s="2058" customFormat="1" ht="13.5" customHeight="1">
      <c r="A16" s="2086" t="s">
        <v>846</v>
      </c>
      <c r="B16" s="2087" t="s">
        <v>1433</v>
      </c>
      <c r="C16" s="2093">
        <f ca="1">SUM(C11:C15)</f>
        <v>0</v>
      </c>
      <c r="D16" s="2094"/>
      <c r="E16" s="2093"/>
      <c r="F16" s="2095"/>
      <c r="G16" s="1846"/>
      <c r="H16" s="2096"/>
      <c r="I16" s="1960"/>
      <c r="J16" s="1960"/>
      <c r="K16" s="1961"/>
      <c r="L16" s="2057"/>
      <c r="M16" s="2057"/>
      <c r="N16" s="2057"/>
      <c r="O16" s="2057"/>
      <c r="P16" s="2057"/>
      <c r="Q16" s="2057"/>
      <c r="R16" s="2057"/>
      <c r="S16" s="2057"/>
      <c r="T16" s="2057"/>
      <c r="U16" s="2057"/>
      <c r="V16" s="2057"/>
      <c r="W16" s="2057"/>
      <c r="X16" s="2057"/>
      <c r="Y16" s="2057"/>
      <c r="Z16" s="2057"/>
      <c r="AA16" s="2057"/>
      <c r="AB16" s="2057"/>
      <c r="AC16" s="2057"/>
      <c r="AD16" s="2057"/>
      <c r="AE16" s="2057"/>
      <c r="AF16" s="2057"/>
      <c r="AG16" s="2057"/>
    </row>
    <row r="17" spans="1:33" s="2058" customFormat="1" ht="13.5" customHeight="1">
      <c r="A17" s="2086" t="s">
        <v>850</v>
      </c>
      <c r="B17" s="2087" t="s">
        <v>1434</v>
      </c>
      <c r="C17" s="293">
        <f ca="1">ROUND(D17*E17/10000,0)</f>
        <v>0</v>
      </c>
      <c r="D17" s="2092">
        <f ca="1">D14</f>
        <v>5858.09</v>
      </c>
      <c r="E17" s="293">
        <f>'数据-取费表'!B32</f>
        <v>0</v>
      </c>
      <c r="F17" s="2094"/>
      <c r="G17" s="1846" t="s">
        <v>1435</v>
      </c>
      <c r="H17" s="2096"/>
      <c r="I17" s="1960"/>
      <c r="J17" s="1960"/>
      <c r="K17" s="1961"/>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row>
    <row r="18" spans="1:33" s="2057" customFormat="1" ht="13.5" customHeight="1">
      <c r="A18" s="2086" t="s">
        <v>1436</v>
      </c>
      <c r="B18" s="2087" t="s">
        <v>1437</v>
      </c>
      <c r="C18" s="293">
        <f ca="1">C19+C20-IF(C1="",'数据-取费表'!B29,IF(G18="已全部缴纳",C19+C20,H18))</f>
        <v>0</v>
      </c>
      <c r="D18" s="2092"/>
      <c r="E18" s="293"/>
      <c r="F18" s="2091"/>
      <c r="G18" s="2097"/>
      <c r="H18" s="2098"/>
      <c r="I18" s="2144" t="s">
        <v>1438</v>
      </c>
      <c r="J18" s="1960"/>
      <c r="K18" s="1961"/>
    </row>
    <row r="19" spans="1:33" s="2057" customFormat="1" ht="13.5" customHeight="1">
      <c r="A19" s="2086" t="s">
        <v>1146</v>
      </c>
      <c r="B19" s="2087" t="s">
        <v>349</v>
      </c>
      <c r="C19" s="293">
        <f ca="1">ROUND(D19*E19/10000,0)</f>
        <v>0</v>
      </c>
      <c r="D19" s="2092">
        <f ca="1">IF(C1="",'数据-汇总表'!E5,IF(INDIRECT("'数据-取费表'!c"&amp;$K$1)="住宅",INDIRECT("'数据-取费表'!k"&amp;$K$1),0))</f>
        <v>0</v>
      </c>
      <c r="E19" s="293">
        <f>'数据-取费表'!B27</f>
        <v>0</v>
      </c>
      <c r="F19" s="2091"/>
      <c r="G19" s="1959"/>
      <c r="H19" s="2099"/>
      <c r="I19" s="2100"/>
      <c r="J19" s="2100"/>
      <c r="K19" s="2145"/>
    </row>
    <row r="20" spans="1:33" s="2057" customFormat="1" ht="13.5" customHeight="1">
      <c r="A20" s="2086" t="s">
        <v>1153</v>
      </c>
      <c r="B20" s="2087" t="s">
        <v>1439</v>
      </c>
      <c r="C20" s="293">
        <f ca="1">ROUND(D20*E20/10000,0)</f>
        <v>117</v>
      </c>
      <c r="D20" s="2092">
        <f ca="1">IF(C1="",'数据-汇总表'!E6,IF(INDIRECT("'数据-取费表'!c"&amp;$K$1)="住宅",INDIRECT("'数据-取费表'!s"&amp;$K$1),INDIRECT("'数据-取费表'!k"&amp;$K$1)+INDIRECT("'数据-取费表'!s"&amp;$K$1)))</f>
        <v>5858.09</v>
      </c>
      <c r="E20" s="293">
        <f>'数据-取费表'!B28</f>
        <v>200</v>
      </c>
      <c r="F20" s="2091"/>
      <c r="G20" s="1959"/>
      <c r="H20" s="2100"/>
      <c r="I20" s="2100"/>
      <c r="J20" s="2100"/>
      <c r="K20" s="2145"/>
    </row>
    <row r="21" spans="1:33" s="2057" customFormat="1" ht="13.5" customHeight="1">
      <c r="A21" s="2075" t="s">
        <v>823</v>
      </c>
      <c r="B21" s="2101" t="s">
        <v>1440</v>
      </c>
      <c r="C21" s="2102">
        <f ca="1">C16+C17+C18</f>
        <v>0</v>
      </c>
      <c r="D21" s="2103"/>
      <c r="E21" s="2104"/>
      <c r="F21" s="2104"/>
      <c r="G21" s="1846" t="s">
        <v>1441</v>
      </c>
      <c r="H21" s="1960"/>
      <c r="I21" s="1960"/>
      <c r="J21" s="1960"/>
      <c r="K21" s="1961"/>
    </row>
    <row r="22" spans="1:33" s="2057" customFormat="1" ht="13.5" customHeight="1">
      <c r="A22" s="2075" t="s">
        <v>827</v>
      </c>
      <c r="B22" s="2101" t="s">
        <v>1442</v>
      </c>
      <c r="C22" s="2102">
        <f ca="1">ROUND(C21*F22,0)</f>
        <v>0</v>
      </c>
      <c r="D22" s="2104"/>
      <c r="E22" s="2104"/>
      <c r="F22" s="2105">
        <f>'数据-取费表'!B37</f>
        <v>0.02</v>
      </c>
      <c r="G22" s="2082" t="s">
        <v>1443</v>
      </c>
      <c r="H22" s="2085"/>
      <c r="I22" s="2085"/>
      <c r="J22" s="2085"/>
      <c r="K22" s="2143"/>
    </row>
    <row r="23" spans="1:33" s="2057" customFormat="1" ht="13.5" customHeight="1">
      <c r="A23" s="2075" t="s">
        <v>873</v>
      </c>
      <c r="B23" s="2101" t="s">
        <v>1444</v>
      </c>
      <c r="C23" s="2102">
        <f ca="1">ROUND(C4*F23*F11,0)</f>
        <v>0</v>
      </c>
      <c r="D23" s="2104"/>
      <c r="E23" s="2104"/>
      <c r="F23" s="2105">
        <f>'数据-取费表'!B38</f>
        <v>0.02</v>
      </c>
      <c r="G23" s="2082" t="s">
        <v>1445</v>
      </c>
      <c r="H23" s="2085"/>
      <c r="I23" s="2085"/>
      <c r="J23" s="2085"/>
      <c r="K23" s="2143"/>
    </row>
    <row r="24" spans="1:33" s="2057" customFormat="1" ht="13.5" customHeight="1">
      <c r="A24" s="2075" t="s">
        <v>876</v>
      </c>
      <c r="B24" s="2101" t="s">
        <v>1446</v>
      </c>
      <c r="C24" s="2106">
        <f>ROUND(F24/(1+'数据-取费表'!C42),4)</f>
        <v>2.9000000000000001E-2</v>
      </c>
      <c r="D24" s="2104" t="s">
        <v>1447</v>
      </c>
      <c r="E24" s="2104"/>
      <c r="F24" s="2105">
        <f>IF(项目基本情况!B8="出让",0,'数据-取费表'!B48+'数据-取费表'!B49)</f>
        <v>3.0499999999999999E-2</v>
      </c>
      <c r="G24" s="2082" t="s">
        <v>1448</v>
      </c>
      <c r="H24" s="2107"/>
      <c r="I24" s="2107"/>
      <c r="J24" s="2107"/>
      <c r="K24" s="2146"/>
    </row>
    <row r="25" spans="1:33" s="2057" customFormat="1" ht="13.5" customHeight="1">
      <c r="A25" s="2075" t="s">
        <v>880</v>
      </c>
      <c r="B25" s="2103" t="s">
        <v>1449</v>
      </c>
      <c r="C25" s="2108">
        <f ca="1">C27</f>
        <v>0</v>
      </c>
      <c r="D25" s="2106">
        <f ca="1">C26</f>
        <v>0</v>
      </c>
      <c r="E25" s="2109" t="s">
        <v>1447</v>
      </c>
      <c r="F25" s="2110">
        <f ca="1">'数据-取费表'!B40</f>
        <v>4.2000000000000003E-2</v>
      </c>
      <c r="G25" s="1846" t="str">
        <f>IF('数据-取费表'!B22&lt;=1,"单利计息。","复利计息。")&amp;"后续开发成本、管理费用及销售费用产生的利息。"</f>
        <v>复利计息。后续开发成本、管理费用及销售费用产生的利息。</v>
      </c>
      <c r="H25" s="2107"/>
      <c r="I25" s="2107"/>
      <c r="J25" s="2107"/>
      <c r="K25" s="2146"/>
    </row>
    <row r="26" spans="1:33" s="2059" customFormat="1" ht="13.5" customHeight="1">
      <c r="A26" s="2086" t="s">
        <v>846</v>
      </c>
      <c r="B26" s="2111" t="s">
        <v>1450</v>
      </c>
      <c r="C26" s="2112">
        <f ca="1">ROUND(IF('数据-取费表'!B22&lt;=1,(1+C24)*F25*'数据-取费表'!B24,(1+C24)*(POWER((1+F25),'数据-取费表'!B24)-1)),4)</f>
        <v>0</v>
      </c>
      <c r="D26" s="2113"/>
      <c r="E26" s="2114"/>
      <c r="F26" s="2115"/>
      <c r="G26" s="2116" t="str">
        <f>IF('数据-取费表'!B22&lt;=1,"（(1)+取得税费率/(1+5%)）×年利率×建设期","（(1)+取得税费率）/(1+5%)×((1+年利率)^建设期-1)")</f>
        <v>（(1)+取得税费率）/(1+5%)×((1+年利率)^建设期-1)</v>
      </c>
      <c r="H26" s="1960"/>
      <c r="I26" s="1960"/>
      <c r="J26" s="1960"/>
      <c r="K26" s="1961"/>
    </row>
    <row r="27" spans="1:33" s="2059" customFormat="1" ht="13.5" customHeight="1">
      <c r="A27" s="2086" t="s">
        <v>850</v>
      </c>
      <c r="B27" s="2111" t="s">
        <v>1451</v>
      </c>
      <c r="C27" s="2117">
        <f ca="1">ROUND(IF('数据-取费表'!B22&lt;=1,(C21+C22+C23)*F25*'数据-取费表'!B24/2,(C21+C22+C23)*(POWER((1+F25),'数据-取费表'!B24/2)-1)),0)</f>
        <v>0</v>
      </c>
      <c r="D27" s="2113"/>
      <c r="E27" s="2114"/>
      <c r="F27" s="2115"/>
      <c r="G27" s="2116" t="str">
        <f>IF('数据-取费表'!B22&lt;=1,"（1）-（3）项×年利率×建设期÷2","（1）-（3）项×((1+年利率)^(建设期÷2)-1)")</f>
        <v>（1）-（3）项×((1+年利率)^(建设期÷2)-1)</v>
      </c>
      <c r="H27" s="1960"/>
      <c r="I27" s="1960"/>
      <c r="J27" s="1960"/>
      <c r="K27" s="1961"/>
    </row>
    <row r="28" spans="1:33" s="2060" customFormat="1" ht="13.5" customHeight="1">
      <c r="A28" s="2075" t="s">
        <v>881</v>
      </c>
      <c r="B28" s="2118" t="s">
        <v>1452</v>
      </c>
      <c r="C28" s="2119">
        <f ca="1">C30</f>
        <v>0</v>
      </c>
      <c r="D28" s="2106">
        <f ca="1">C29</f>
        <v>0</v>
      </c>
      <c r="E28" s="2109" t="s">
        <v>1447</v>
      </c>
      <c r="F28" s="1139">
        <f ca="1">IF(C1="",'数据-取费表'!Q16,INDIRECT("'数据-取费表'!q"&amp;$K$1))</f>
        <v>0.15</v>
      </c>
      <c r="G28" s="2120"/>
      <c r="H28" s="2107"/>
      <c r="I28" s="2107"/>
      <c r="J28" s="2107"/>
      <c r="K28" s="2146"/>
    </row>
    <row r="29" spans="1:33" s="2061" customFormat="1" ht="13.5" customHeight="1">
      <c r="A29" s="2086" t="s">
        <v>846</v>
      </c>
      <c r="B29" s="2121" t="s">
        <v>1453</v>
      </c>
      <c r="C29" s="2113">
        <f ca="1">ROUND((1+C24)*F28*'数据-取费表'!B24/'数据-取费表'!B20,4)</f>
        <v>0</v>
      </c>
      <c r="D29" s="2113"/>
      <c r="E29" s="2114"/>
      <c r="F29" s="2122"/>
      <c r="G29" s="1846" t="s">
        <v>1454</v>
      </c>
      <c r="H29" s="1960"/>
      <c r="I29" s="1960"/>
      <c r="J29" s="1960"/>
      <c r="K29" s="1961"/>
    </row>
    <row r="30" spans="1:33" s="2061" customFormat="1" ht="13.5" customHeight="1">
      <c r="A30" s="2086" t="s">
        <v>850</v>
      </c>
      <c r="B30" s="2121" t="s">
        <v>1455</v>
      </c>
      <c r="C30" s="2123">
        <f ca="1">ROUND((C21+C22+C23)*F28,0)</f>
        <v>0</v>
      </c>
      <c r="D30" s="2113"/>
      <c r="E30" s="2114"/>
      <c r="F30" s="2122"/>
      <c r="G30" s="1846"/>
      <c r="H30" s="1960"/>
      <c r="I30" s="1960"/>
      <c r="J30" s="1960"/>
      <c r="K30" s="1961"/>
    </row>
    <row r="31" spans="1:33" s="2057" customFormat="1" ht="13.5" customHeight="1">
      <c r="A31" s="2124" t="s">
        <v>1125</v>
      </c>
      <c r="B31" s="2125" t="s">
        <v>1456</v>
      </c>
      <c r="C31" s="2126">
        <f>ROUND(C4*F31/(1+'数据-取费表'!C42),0)</f>
        <v>0</v>
      </c>
      <c r="D31" s="2127"/>
      <c r="E31" s="2128"/>
      <c r="F31" s="2129">
        <f>'数据-取费表'!B41</f>
        <v>5.6000000000000001E-2</v>
      </c>
      <c r="G31" s="2130" t="s">
        <v>1457</v>
      </c>
      <c r="H31" s="2131"/>
      <c r="I31" s="2131"/>
      <c r="J31" s="2131"/>
      <c r="K31" s="2147"/>
    </row>
    <row r="32" spans="1:33" s="2056" customFormat="1" ht="13.5" customHeight="1">
      <c r="A32" s="2132" t="s">
        <v>1458</v>
      </c>
      <c r="B32" s="2133"/>
      <c r="C32" s="2134">
        <f ca="1">ROUND((C4-C21-C22-C23-C25-C28-C31)/(1+C24+D25+D28),0)</f>
        <v>0</v>
      </c>
      <c r="D32" s="2133"/>
      <c r="E32" s="2133"/>
      <c r="F32" s="2133"/>
      <c r="G32" s="2135" t="s">
        <v>1459</v>
      </c>
      <c r="H32" s="2133"/>
      <c r="I32" s="2133"/>
      <c r="J32" s="2133"/>
      <c r="K32" s="214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775"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73" customFormat="1" ht="21.6">
      <c r="A1" s="1776" t="s">
        <v>1030</v>
      </c>
      <c r="B1" s="1129"/>
      <c r="C1" s="1777"/>
      <c r="D1" s="1778"/>
      <c r="E1" s="1779" t="s">
        <v>1031</v>
      </c>
      <c r="F1" s="1780">
        <f ca="1">J53</f>
        <v>0</v>
      </c>
      <c r="G1" s="1781">
        <f>MATCH(C1,'数据-取费表'!A6:A16,0)+5</f>
        <v>7</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1032</v>
      </c>
      <c r="B2" s="1783" t="e">
        <f ca="1">ROUND(D2/10000,0)</f>
        <v>#DIV/0!</v>
      </c>
      <c r="C2" s="1784" t="s">
        <v>1033</v>
      </c>
      <c r="D2" s="1785" t="e">
        <f ca="1">C40+J29+L46</f>
        <v>#DIV/0!</v>
      </c>
      <c r="E2" s="1786" t="s">
        <v>1460</v>
      </c>
      <c r="F2" s="1787"/>
      <c r="G2" s="1788"/>
      <c r="H2" s="1789"/>
      <c r="I2" s="1789"/>
      <c r="J2" s="1789"/>
      <c r="K2" s="1947"/>
      <c r="L2" s="1789"/>
      <c r="M2" s="1789"/>
    </row>
    <row r="3" spans="1:37" ht="18" customHeight="1">
      <c r="A3" s="1790" t="s">
        <v>1034</v>
      </c>
      <c r="B3" s="1791">
        <f ca="1">IF(ISERROR(D2/F43),0,ROUND(D2/F43,0))</f>
        <v>0</v>
      </c>
      <c r="C3" s="1784" t="s">
        <v>1035</v>
      </c>
      <c r="D3" s="1784"/>
      <c r="E3" s="1786"/>
      <c r="F3" s="1787"/>
      <c r="G3" s="1788"/>
      <c r="H3" s="1792" t="s">
        <v>1036</v>
      </c>
      <c r="I3" s="1948"/>
      <c r="J3" s="1948"/>
      <c r="K3" s="1949"/>
      <c r="L3" s="1948"/>
      <c r="M3" s="1948"/>
    </row>
    <row r="4" spans="1:37" ht="18" customHeight="1">
      <c r="A4" s="1793" t="s">
        <v>1037</v>
      </c>
      <c r="B4" s="1794" t="s">
        <v>1038</v>
      </c>
      <c r="C4" s="1794" t="s">
        <v>1039</v>
      </c>
      <c r="D4" s="1794" t="s">
        <v>1040</v>
      </c>
      <c r="E4" s="1795" t="s">
        <v>1041</v>
      </c>
      <c r="F4" s="1796"/>
      <c r="G4" s="773"/>
      <c r="H4" s="1793" t="s">
        <v>1037</v>
      </c>
      <c r="I4" s="1794" t="s">
        <v>1038</v>
      </c>
      <c r="J4" s="1794" t="s">
        <v>1039</v>
      </c>
      <c r="K4" s="1794" t="s">
        <v>1040</v>
      </c>
      <c r="L4" s="1795" t="s">
        <v>1041</v>
      </c>
      <c r="M4" s="1796"/>
    </row>
    <row r="5" spans="1:37" ht="18" customHeight="1">
      <c r="A5" s="1797">
        <v>1</v>
      </c>
      <c r="B5" s="1798" t="s">
        <v>1042</v>
      </c>
      <c r="C5" s="1799">
        <f ca="1">C6+C10+C12</f>
        <v>0</v>
      </c>
      <c r="D5" s="1800" t="s">
        <v>1043</v>
      </c>
      <c r="E5" s="1801"/>
      <c r="F5" s="1802"/>
      <c r="G5" s="773"/>
      <c r="H5" s="1797">
        <v>1</v>
      </c>
      <c r="I5" s="1798" t="s">
        <v>1042</v>
      </c>
      <c r="J5" s="1799">
        <f ca="1">J6+J10+J12</f>
        <v>0</v>
      </c>
      <c r="K5" s="1800" t="s">
        <v>1043</v>
      </c>
      <c r="L5" s="1801"/>
      <c r="M5" s="1802"/>
    </row>
    <row r="6" spans="1:37" ht="18" customHeight="1">
      <c r="A6" s="1803" t="s">
        <v>823</v>
      </c>
      <c r="B6" s="3506" t="s">
        <v>1044</v>
      </c>
      <c r="C6" s="1804">
        <f ca="1">ROUND(F6*F8*F7*(1-F9),0)</f>
        <v>0</v>
      </c>
      <c r="D6" s="1805" t="s">
        <v>1461</v>
      </c>
      <c r="E6" s="1806" t="s">
        <v>1046</v>
      </c>
      <c r="F6" s="1807">
        <f ca="1">INDIRECT("'数据-取费表'!u"&amp;$G$1)</f>
        <v>0</v>
      </c>
      <c r="G6" s="773"/>
      <c r="H6" s="1803" t="s">
        <v>823</v>
      </c>
      <c r="I6" s="3506" t="s">
        <v>1044</v>
      </c>
      <c r="J6" s="1878">
        <f ca="1">ROUND(M6*M8*M7*(1-M9),0)</f>
        <v>0</v>
      </c>
      <c r="K6" s="1950" t="s">
        <v>1462</v>
      </c>
      <c r="L6" s="1806" t="s">
        <v>1046</v>
      </c>
      <c r="M6" s="1807">
        <f ca="1">INDIRECT("'数据-取费表'!z"&amp;$G$1)</f>
        <v>0</v>
      </c>
    </row>
    <row r="7" spans="1:37" ht="18" customHeight="1">
      <c r="A7" s="1808"/>
      <c r="B7" s="3507"/>
      <c r="C7" s="1809"/>
      <c r="D7" s="1810"/>
      <c r="E7" s="1811" t="s">
        <v>1048</v>
      </c>
      <c r="F7" s="1807">
        <f ca="1">IF(INDIRECT("'数据-取费表'!ah"&amp;$G$1)="",INDIRECT("'数据-取费表'!k"&amp;$G$1),INDIRECT("'数据-取费表'!ah"&amp;$G$1))</f>
        <v>0</v>
      </c>
      <c r="G7" s="773"/>
      <c r="H7" s="1812"/>
      <c r="I7" s="3507"/>
      <c r="J7" s="1813"/>
      <c r="K7" s="1810"/>
      <c r="L7" s="1806" t="s">
        <v>1048</v>
      </c>
      <c r="M7" s="1807">
        <f ca="1">F7</f>
        <v>0</v>
      </c>
    </row>
    <row r="8" spans="1:37" ht="18" customHeight="1">
      <c r="A8" s="1812"/>
      <c r="B8" s="3507"/>
      <c r="C8" s="1813"/>
      <c r="D8" s="1810"/>
      <c r="E8" s="1806" t="s">
        <v>1049</v>
      </c>
      <c r="F8" s="1807">
        <f ca="1">INDIRECT("'数据-取费表'!ai"&amp;$G$1)</f>
        <v>0</v>
      </c>
      <c r="G8" s="773"/>
      <c r="H8" s="1812"/>
      <c r="I8" s="3507"/>
      <c r="J8" s="1813"/>
      <c r="K8" s="1810"/>
      <c r="L8" s="1806" t="s">
        <v>1049</v>
      </c>
      <c r="M8" s="1807">
        <f ca="1">INDIRECT("'数据-取费表'!ai"&amp;$G$1)</f>
        <v>0</v>
      </c>
    </row>
    <row r="9" spans="1:37" ht="18" customHeight="1">
      <c r="A9" s="1812"/>
      <c r="B9" s="3508"/>
      <c r="C9" s="1813"/>
      <c r="D9" s="1810"/>
      <c r="E9" s="1806" t="s">
        <v>1050</v>
      </c>
      <c r="F9" s="1814">
        <f ca="1">INDIRECT("'数据-取费表'!w"&amp;$G$1)</f>
        <v>0</v>
      </c>
      <c r="G9" s="773"/>
      <c r="H9" s="1812"/>
      <c r="I9" s="3508"/>
      <c r="J9" s="1813"/>
      <c r="K9" s="1810"/>
      <c r="L9" s="1817" t="s">
        <v>1050</v>
      </c>
      <c r="M9" s="1822">
        <f ca="1">INDIRECT("'数据-取费表'!ab"&amp;$G$1)</f>
        <v>0</v>
      </c>
    </row>
    <row r="10" spans="1:37" ht="18" customHeight="1">
      <c r="A10" s="1803" t="s">
        <v>827</v>
      </c>
      <c r="B10" s="1815" t="s">
        <v>1051</v>
      </c>
      <c r="C10" s="292">
        <f ca="1">ROUND(IF(F10="押一",C6/12*F11,IF(F10="押二",C6/12*2*F11,IF(F10="押三",C6/12*3*F11,C11*F11))),0)</f>
        <v>0</v>
      </c>
      <c r="D10" s="1816" t="s">
        <v>1052</v>
      </c>
      <c r="E10" s="1817" t="s">
        <v>1053</v>
      </c>
      <c r="F10" s="1818"/>
      <c r="G10" s="773"/>
      <c r="H10" s="1803" t="s">
        <v>827</v>
      </c>
      <c r="I10" s="1815" t="s">
        <v>1051</v>
      </c>
      <c r="J10" s="1878">
        <f ca="1">ROUND(IF(M10="押一",J6/12*M11,IF(M10="押二",J6/12*2*M11,IF(M10="押三",J6/12*3*M11,J11*M11))),0)</f>
        <v>0</v>
      </c>
      <c r="K10" s="1951" t="s">
        <v>1463</v>
      </c>
      <c r="L10" s="1817" t="s">
        <v>1053</v>
      </c>
      <c r="M10" s="1818"/>
    </row>
    <row r="11" spans="1:37" ht="18" customHeight="1">
      <c r="A11" s="1819"/>
      <c r="B11" s="1820" t="s">
        <v>1464</v>
      </c>
      <c r="C11" s="1821"/>
      <c r="D11" s="1810"/>
      <c r="E11" s="1817" t="s">
        <v>1057</v>
      </c>
      <c r="F11" s="1822">
        <f ca="1">'数据-取费表'!B39</f>
        <v>1.4999999999999999E-2</v>
      </c>
      <c r="G11" s="773"/>
      <c r="H11" s="1823"/>
      <c r="I11" s="1820" t="s">
        <v>1465</v>
      </c>
      <c r="J11" s="1821"/>
      <c r="K11" s="1952"/>
      <c r="L11" s="1817" t="s">
        <v>1057</v>
      </c>
      <c r="M11" s="1953">
        <f ca="1">'数据-取费表'!B39</f>
        <v>1.4999999999999999E-2</v>
      </c>
    </row>
    <row r="12" spans="1:37" ht="18" customHeight="1">
      <c r="A12" s="1824" t="s">
        <v>873</v>
      </c>
      <c r="B12" s="1825" t="s">
        <v>1058</v>
      </c>
      <c r="C12" s="1826"/>
      <c r="D12" s="1827"/>
      <c r="E12" s="1828"/>
      <c r="F12" s="1829"/>
      <c r="G12" s="773"/>
      <c r="H12" s="1824" t="s">
        <v>873</v>
      </c>
      <c r="I12" s="1825" t="s">
        <v>1058</v>
      </c>
      <c r="J12" s="1826"/>
      <c r="K12" s="1954"/>
      <c r="L12" s="1828"/>
      <c r="M12" s="1955"/>
    </row>
    <row r="13" spans="1:37" ht="18" customHeight="1">
      <c r="A13" s="1830">
        <v>2</v>
      </c>
      <c r="B13" s="1831" t="s">
        <v>1059</v>
      </c>
      <c r="C13" s="1832">
        <f ca="1">ROUND(C29*F13,0)</f>
        <v>0</v>
      </c>
      <c r="D13" s="1833" t="s">
        <v>1060</v>
      </c>
      <c r="E13" s="1833" t="s">
        <v>1061</v>
      </c>
      <c r="F13" s="1834">
        <f ca="1">INDIRECT("'数据-取费表'!y"&amp;$G$1)</f>
        <v>0</v>
      </c>
      <c r="G13" s="773"/>
      <c r="H13" s="1830">
        <v>2</v>
      </c>
      <c r="I13" s="1831" t="s">
        <v>1059</v>
      </c>
      <c r="J13" s="1956">
        <f ca="1">ROUND(J14*J15,0)</f>
        <v>0</v>
      </c>
      <c r="K13" s="1856" t="s">
        <v>1060</v>
      </c>
      <c r="L13" s="1957"/>
      <c r="M13" s="1958"/>
    </row>
    <row r="14" spans="1:37" ht="18" customHeight="1">
      <c r="A14" s="1835" t="s">
        <v>846</v>
      </c>
      <c r="B14" s="1806" t="s">
        <v>1062</v>
      </c>
      <c r="C14" s="1836">
        <f ca="1">ROUND(INDIRECT("'数据-取费表'!l"&amp;$G$1)*F43+'数据-取费表'!L14*INDIRECT("'数据-取费表'!S"&amp;$G$1),0)</f>
        <v>0</v>
      </c>
      <c r="D14" s="1837" t="s">
        <v>1063</v>
      </c>
      <c r="E14" s="1838"/>
      <c r="F14" s="1839"/>
      <c r="G14" s="773"/>
      <c r="H14" s="1835" t="s">
        <v>823</v>
      </c>
      <c r="I14" s="1806" t="s">
        <v>1064</v>
      </c>
      <c r="J14" s="293">
        <f ca="1">C29</f>
        <v>0</v>
      </c>
      <c r="K14" s="1959"/>
      <c r="L14" s="1960"/>
      <c r="M14" s="1961"/>
    </row>
    <row r="15" spans="1:37" s="1774" customFormat="1" ht="18" customHeight="1">
      <c r="A15" s="1835" t="s">
        <v>850</v>
      </c>
      <c r="B15" s="1806" t="s">
        <v>1065</v>
      </c>
      <c r="C15" s="293">
        <f ca="1">ROUND(C14*F15,0)</f>
        <v>0</v>
      </c>
      <c r="D15" s="1840" t="s">
        <v>1066</v>
      </c>
      <c r="E15" s="1840" t="s">
        <v>1067</v>
      </c>
      <c r="F15" s="1841">
        <f>'数据-取费表'!B33</f>
        <v>0.03</v>
      </c>
      <c r="G15" s="1842"/>
      <c r="H15" s="1843" t="s">
        <v>827</v>
      </c>
      <c r="I15" s="1828" t="s">
        <v>1061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1068</v>
      </c>
      <c r="C16" s="293">
        <f ca="1">ROUND(INDIRECT("'数据-取费表'!l"&amp;$G$1)*F43*F16,0)</f>
        <v>0</v>
      </c>
      <c r="D16" s="1806" t="s">
        <v>1066</v>
      </c>
      <c r="E16" s="1806" t="s">
        <v>1067</v>
      </c>
      <c r="F16" s="1844">
        <f ca="1">IF(INDIRECT("'数据-取费表'!c"&amp;$G$1)="住宅",'数据-取费表'!B34,0)</f>
        <v>0</v>
      </c>
      <c r="G16" s="773"/>
      <c r="H16" s="1830" t="s">
        <v>1069</v>
      </c>
      <c r="I16" s="1831" t="s">
        <v>1070</v>
      </c>
      <c r="J16" s="1832">
        <f ca="1">ROUND(J17+J22+J23+J24,0)</f>
        <v>0</v>
      </c>
      <c r="K16" s="1856" t="s">
        <v>1071</v>
      </c>
      <c r="L16" s="1857"/>
      <c r="M16" s="1802"/>
    </row>
    <row r="17" spans="1:37" s="1774" customFormat="1" ht="18" customHeight="1">
      <c r="A17" s="1835" t="s">
        <v>1072</v>
      </c>
      <c r="B17" s="1806" t="s">
        <v>1073</v>
      </c>
      <c r="C17" s="293">
        <f ca="1">ROUND(F17*(F43+INDIRECT("'数据-取费表'!S"&amp;$G$1)),0)</f>
        <v>0</v>
      </c>
      <c r="D17" s="1806" t="s">
        <v>1074</v>
      </c>
      <c r="E17" s="1806" t="s">
        <v>1075</v>
      </c>
      <c r="F17" s="1845">
        <f>'数据-取费表'!B35</f>
        <v>200</v>
      </c>
      <c r="G17" s="1842"/>
      <c r="H17" s="1835" t="s">
        <v>823</v>
      </c>
      <c r="I17" s="1806" t="s">
        <v>1076</v>
      </c>
      <c r="J17" s="1859">
        <f ca="1">ROUND(IF(AND(项目基本情况!B11="自然人",项目基本情况!B10="北京市"),J6*M17/(1+'数据-取费表'!C42),J18+J19+J20),0)</f>
        <v>0</v>
      </c>
      <c r="K17" s="1837" t="s">
        <v>1077</v>
      </c>
      <c r="L17" s="1860" t="s">
        <v>1078</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1079</v>
      </c>
      <c r="B18" s="1806" t="s">
        <v>1080</v>
      </c>
      <c r="C18" s="293">
        <f ca="1">ROUND(C14*F18,0)</f>
        <v>0</v>
      </c>
      <c r="D18" s="1806" t="s">
        <v>1066</v>
      </c>
      <c r="E18" s="1806" t="s">
        <v>1067</v>
      </c>
      <c r="F18" s="1844">
        <f>'数据-取费表'!B36</f>
        <v>1.4999999999999999E-2</v>
      </c>
      <c r="G18" s="1842"/>
      <c r="H18" s="1835" t="s">
        <v>846</v>
      </c>
      <c r="I18" s="1806" t="s">
        <v>1081</v>
      </c>
      <c r="J18" s="293">
        <f ca="1">ROUND(J6*M18/(1+'数据-取费表'!C42),0)</f>
        <v>0</v>
      </c>
      <c r="K18" s="1860" t="s">
        <v>1082</v>
      </c>
      <c r="L18" s="1806" t="s">
        <v>1067</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1083</v>
      </c>
      <c r="C19" s="293">
        <f ca="1">SUM(C14:C18)</f>
        <v>0</v>
      </c>
      <c r="D19" s="1846" t="s">
        <v>1084</v>
      </c>
      <c r="E19" s="295"/>
      <c r="F19" s="1845"/>
      <c r="G19" s="773"/>
      <c r="H19" s="1835" t="s">
        <v>850</v>
      </c>
      <c r="I19" s="1806" t="s">
        <v>1085</v>
      </c>
      <c r="J19" s="293">
        <f ca="1">IF(K19="按租金收入计税",ROUND(J6*M19/(1+'数据-取费表'!C42),0),ROUND(C29*M19*0.7,0))</f>
        <v>0</v>
      </c>
      <c r="K19" s="1863" t="s">
        <v>1086</v>
      </c>
      <c r="L19" s="1806" t="s">
        <v>1067</v>
      </c>
      <c r="M19" s="1844">
        <f>IF(K19="按租金收入计税",'数据-取费表'!B51,'数据-取费表'!B50)</f>
        <v>1.2E-2</v>
      </c>
    </row>
    <row r="20" spans="1:37" s="1774" customFormat="1" ht="18" customHeight="1">
      <c r="A20" s="1835" t="s">
        <v>827</v>
      </c>
      <c r="B20" s="1806" t="s">
        <v>1087</v>
      </c>
      <c r="C20" s="293">
        <f ca="1">ROUND(C19*F20,0)</f>
        <v>0</v>
      </c>
      <c r="D20" s="1847" t="s">
        <v>1088</v>
      </c>
      <c r="E20" s="1806" t="s">
        <v>1067</v>
      </c>
      <c r="F20" s="1844">
        <f>'数据-取费表'!B37</f>
        <v>0.02</v>
      </c>
      <c r="G20" s="1842"/>
      <c r="H20" s="1835" t="s">
        <v>853</v>
      </c>
      <c r="I20" s="1805" t="s">
        <v>1089</v>
      </c>
      <c r="J20" s="1865">
        <f ca="1">ROUND(M20*M21,0)</f>
        <v>0</v>
      </c>
      <c r="K20" s="1866" t="s">
        <v>1090</v>
      </c>
      <c r="L20" s="1806" t="s">
        <v>1091</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1092</v>
      </c>
      <c r="C21" s="293" t="s">
        <v>124</v>
      </c>
      <c r="D21" s="1847" t="s">
        <v>1093</v>
      </c>
      <c r="E21" s="1806" t="s">
        <v>1094</v>
      </c>
      <c r="F21" s="1844">
        <f>'数据-取费表'!B38</f>
        <v>0.02</v>
      </c>
      <c r="G21" s="1842"/>
      <c r="H21" s="1848"/>
      <c r="I21" s="1965"/>
      <c r="J21" s="1869"/>
      <c r="K21" s="1870"/>
      <c r="L21" s="1806" t="s">
        <v>1095</v>
      </c>
      <c r="M21" s="1807">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1096</v>
      </c>
      <c r="C22" s="293"/>
      <c r="D22" s="1846" t="str">
        <f>IF(F23&lt;=1,"单利计息。","复利计息。")&amp;"建造成本、管理费用、销售费用产生的利息。"</f>
        <v>复利计息。建造成本、管理费用、销售费用产生的利息。</v>
      </c>
      <c r="E22" s="295"/>
      <c r="F22" s="1845"/>
      <c r="G22" s="773"/>
      <c r="H22" s="1835" t="s">
        <v>827</v>
      </c>
      <c r="I22" s="1806" t="s">
        <v>1097</v>
      </c>
      <c r="J22" s="293">
        <f ca="1">ROUND(J14*M22,0)</f>
        <v>0</v>
      </c>
      <c r="K22" s="1860" t="s">
        <v>1098</v>
      </c>
      <c r="L22" s="1806" t="s">
        <v>1067</v>
      </c>
      <c r="M22" s="1872">
        <f ca="1">INDIRECT("'数据-取费表'!Ak"&amp;$G$1)</f>
        <v>0</v>
      </c>
    </row>
    <row r="23" spans="1:37" s="1774" customFormat="1" ht="18" customHeight="1">
      <c r="A23" s="1835" t="s">
        <v>846</v>
      </c>
      <c r="B23" s="1806" t="s">
        <v>1099</v>
      </c>
      <c r="C23" s="293">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6" t="s">
        <v>1100</v>
      </c>
      <c r="F23" s="1850">
        <f>'数据-取费表'!B20</f>
        <v>2</v>
      </c>
      <c r="G23" s="1842"/>
      <c r="H23" s="1835" t="s">
        <v>873</v>
      </c>
      <c r="I23" s="1806" t="s">
        <v>1101</v>
      </c>
      <c r="J23" s="293">
        <f ca="1">ROUND(J13*M23,0)</f>
        <v>0</v>
      </c>
      <c r="K23" s="1860" t="s">
        <v>1102</v>
      </c>
      <c r="L23" s="1806" t="s">
        <v>1067</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1103</v>
      </c>
      <c r="C24" s="293">
        <f ca="1">ROUND(IF('数据-取费表'!B22&lt;=1,F21*F24*F23/2,F21*(POWER((1+F24),F23/2)-1)),4)</f>
        <v>8.0000000000000004E-4</v>
      </c>
      <c r="D24" s="1849" t="str">
        <f>IF(F23&lt;=1,"销售费用×利率×(建设周期÷2)","销售费用×((1+利率)^(建设周期÷2)-1)")</f>
        <v>销售费用×((1+利率)^(建设周期÷2)-1)</v>
      </c>
      <c r="E24" s="1806" t="s">
        <v>1104</v>
      </c>
      <c r="F24" s="1851">
        <f ca="1">'数据-取费表'!B40</f>
        <v>4.2000000000000003E-2</v>
      </c>
      <c r="G24" s="1842"/>
      <c r="H24" s="1843" t="s">
        <v>876</v>
      </c>
      <c r="I24" s="1828" t="s">
        <v>1087</v>
      </c>
      <c r="J24" s="1852">
        <f ca="1">ROUND(J5*M24,0)</f>
        <v>0</v>
      </c>
      <c r="K24" s="1853" t="s">
        <v>1105</v>
      </c>
      <c r="L24" s="1828" t="s">
        <v>1067</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c r="A25" s="1835" t="s">
        <v>880</v>
      </c>
      <c r="B25" s="1806" t="s">
        <v>1106</v>
      </c>
      <c r="C25" s="293"/>
      <c r="D25" s="1846" t="s">
        <v>1107</v>
      </c>
      <c r="E25" s="295"/>
      <c r="F25" s="1845"/>
      <c r="G25" s="773"/>
      <c r="H25" s="1830" t="s">
        <v>1108</v>
      </c>
      <c r="I25" s="1874" t="s">
        <v>1109</v>
      </c>
      <c r="J25" s="1832">
        <f ca="1">J5-J16</f>
        <v>0</v>
      </c>
      <c r="K25" s="1875" t="s">
        <v>1110</v>
      </c>
      <c r="L25" s="1876"/>
      <c r="M25" s="1877"/>
    </row>
    <row r="26" spans="1:37" ht="18" customHeight="1">
      <c r="A26" s="1835" t="s">
        <v>846</v>
      </c>
      <c r="B26" s="1806" t="s">
        <v>1111</v>
      </c>
      <c r="C26" s="293">
        <f ca="1">ROUND((C19+C20)*F26,0)</f>
        <v>0</v>
      </c>
      <c r="D26" s="1847" t="s">
        <v>1112</v>
      </c>
      <c r="E26" s="1817" t="s">
        <v>1113</v>
      </c>
      <c r="F26" s="1814">
        <f ca="1">INDIRECT("'数据-取费表'!q"&amp;$G$1)</f>
        <v>0</v>
      </c>
      <c r="G26" s="773"/>
      <c r="H26" s="1797" t="s">
        <v>1114</v>
      </c>
      <c r="I26" s="1798" t="s">
        <v>1115</v>
      </c>
      <c r="J26" s="1878">
        <f ca="1">IF(J5&lt;&gt;0,ROUND(J25*(1-((1+M28)/(1+M26))^M27)/(M26-M28),0),0)</f>
        <v>0</v>
      </c>
      <c r="K26" s="1866" t="s">
        <v>1116</v>
      </c>
      <c r="L26" s="1806" t="s">
        <v>1117</v>
      </c>
      <c r="M26" s="1814">
        <f ca="1">INDIRECT("'数据-取费表'!I"&amp;$G$1)</f>
        <v>0</v>
      </c>
    </row>
    <row r="27" spans="1:37" ht="18" customHeight="1">
      <c r="A27" s="1835" t="s">
        <v>850</v>
      </c>
      <c r="B27" s="1806" t="s">
        <v>1118</v>
      </c>
      <c r="C27" s="293">
        <f ca="1">ROUND(F21*F26,4)</f>
        <v>0</v>
      </c>
      <c r="D27" s="1847" t="s">
        <v>1119</v>
      </c>
      <c r="E27" s="1840"/>
      <c r="F27" s="1841"/>
      <c r="G27" s="773"/>
      <c r="H27" s="1812"/>
      <c r="I27" s="1880"/>
      <c r="J27" s="1813"/>
      <c r="K27" s="1881" t="s">
        <v>1120</v>
      </c>
      <c r="L27" s="1806" t="s">
        <v>1121</v>
      </c>
      <c r="M27" s="1882">
        <f ca="1">INDIRECT("'数据-取费表'!ag"&amp;$G$1)</f>
        <v>0</v>
      </c>
    </row>
    <row r="28" spans="1:37" s="1774" customFormat="1" ht="18" customHeight="1">
      <c r="A28" s="1835" t="s">
        <v>881</v>
      </c>
      <c r="B28" s="1806" t="s">
        <v>1122</v>
      </c>
      <c r="C28" s="293">
        <f>ROUND(F28/(1+'数据-取费表'!C42),4)</f>
        <v>5.33E-2</v>
      </c>
      <c r="D28" s="1847" t="s">
        <v>1123</v>
      </c>
      <c r="E28" s="1806" t="s">
        <v>1067</v>
      </c>
      <c r="F28" s="1844">
        <f>'数据-取费表'!B41</f>
        <v>5.6000000000000001E-2</v>
      </c>
      <c r="G28" s="1842"/>
      <c r="H28" s="1819"/>
      <c r="I28" s="1884"/>
      <c r="J28" s="1832"/>
      <c r="K28" s="1870"/>
      <c r="L28" s="1806" t="s">
        <v>1124</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1125</v>
      </c>
      <c r="B29" s="1828" t="s">
        <v>1126</v>
      </c>
      <c r="C29" s="1852">
        <f ca="1">ROUND((C19+C20+C23+C26)/(1-F21-C24-C27-C28),0)</f>
        <v>0</v>
      </c>
      <c r="D29" s="1853"/>
      <c r="E29" s="1828"/>
      <c r="F29" s="1854"/>
      <c r="G29" s="1842"/>
      <c r="H29" s="1855" t="s">
        <v>1127</v>
      </c>
      <c r="I29" s="1885" t="s">
        <v>1128</v>
      </c>
      <c r="J29" s="1886">
        <f ca="1">ROUND(J26/(1+F40)^F41,0)</f>
        <v>0</v>
      </c>
      <c r="K29" s="1887" t="s">
        <v>1129</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1069</v>
      </c>
      <c r="B30" s="1831" t="s">
        <v>1070</v>
      </c>
      <c r="C30" s="1832">
        <f ca="1">ROUND(C31+C36+C37+C38,0)</f>
        <v>0</v>
      </c>
      <c r="D30" s="1856" t="s">
        <v>1071</v>
      </c>
      <c r="E30" s="1857"/>
      <c r="F30" s="1802"/>
      <c r="G30" s="773"/>
      <c r="H30" s="1858"/>
      <c r="I30" s="1966"/>
      <c r="J30" s="1967"/>
      <c r="K30" s="1968"/>
      <c r="L30" s="1969"/>
      <c r="M30" s="1970"/>
    </row>
    <row r="31" spans="1:37" ht="18" customHeight="1">
      <c r="A31" s="1835" t="s">
        <v>823</v>
      </c>
      <c r="B31" s="1806" t="s">
        <v>1076</v>
      </c>
      <c r="C31" s="1859">
        <f ca="1">ROUND(IF(AND(项目基本情况!B11="自然人",项目基本情况!B10="北京市"),C6*F31/(1+'数据-取费表'!C42),C32+C33+C34),0)</f>
        <v>0</v>
      </c>
      <c r="D31" s="1837" t="s">
        <v>1077</v>
      </c>
      <c r="E31" s="1860" t="s">
        <v>1078</v>
      </c>
      <c r="F31" s="1861" t="str">
        <f>IF(项目基本情况!B11="企业","——",IF('数据-取费表'!B10="住宅",IF(F6*F7*F8/12/(1+'数据-取费表'!F30)&gt;100000,4%,2.5%),IF(F6*F7*F8/12/(1+'数据-取费表'!F30)&gt;100000,12%,7%)))</f>
        <v>——</v>
      </c>
      <c r="G31" s="773"/>
      <c r="H31" s="1862" t="s">
        <v>1130</v>
      </c>
      <c r="I31" s="1966"/>
      <c r="J31" s="1967"/>
      <c r="K31" s="1968"/>
      <c r="L31" s="1969"/>
      <c r="M31" s="1970"/>
    </row>
    <row r="32" spans="1:37" ht="18" customHeight="1">
      <c r="A32" s="1835" t="s">
        <v>846</v>
      </c>
      <c r="B32" s="1806" t="s">
        <v>1081</v>
      </c>
      <c r="C32" s="293">
        <f ca="1">IF(项目基本情况!B11="自然人","——",ROUND(C6*F32/(1+'数据-取费表'!C42),0))</f>
        <v>0</v>
      </c>
      <c r="D32" s="1860" t="s">
        <v>1082</v>
      </c>
      <c r="E32" s="1806" t="s">
        <v>1067</v>
      </c>
      <c r="F32" s="1851">
        <f>'数据-取费表'!B41</f>
        <v>5.6000000000000001E-2</v>
      </c>
      <c r="G32" s="773"/>
      <c r="H32" s="1858"/>
      <c r="I32" s="1966"/>
      <c r="J32" s="1967"/>
      <c r="K32" s="1968"/>
      <c r="L32" s="1969"/>
      <c r="M32" s="1970"/>
    </row>
    <row r="33" spans="1:18" ht="18" customHeight="1">
      <c r="A33" s="1835" t="s">
        <v>850</v>
      </c>
      <c r="B33" s="1806" t="s">
        <v>1085</v>
      </c>
      <c r="C33" s="293">
        <f ca="1">IF(项目基本情况!B11="自然人","——",IF(D33="按租金收入计税",ROUND(C6*F33/(1+'数据-取费表'!C42),0),IF(D33="按房产原值计税",ROUND(C29*F33*0.7,0),INDIRECT("'数据-取费表'!Aj"&amp;$G$1))))</f>
        <v>0</v>
      </c>
      <c r="D33" s="1863" t="s">
        <v>1086</v>
      </c>
      <c r="E33" s="1806" t="s">
        <v>1067</v>
      </c>
      <c r="F33" s="1844">
        <f>IF(D33="按票据","——",IF(D33="按租金收入计税",'数据-取费表'!B51,'数据-取费表'!B50))</f>
        <v>1.2E-2</v>
      </c>
      <c r="G33" s="773"/>
      <c r="H33" s="1864"/>
      <c r="I33" s="1966"/>
      <c r="J33" s="1967"/>
      <c r="K33" s="1971"/>
      <c r="L33" s="1864"/>
      <c r="M33" s="1864"/>
    </row>
    <row r="34" spans="1:18" ht="18" customHeight="1">
      <c r="A34" s="1803" t="s">
        <v>853</v>
      </c>
      <c r="B34" s="1805" t="s">
        <v>1089</v>
      </c>
      <c r="C34" s="1865">
        <f ca="1">IF(项目基本情况!B11="自然人","——",ROUND(F34*F35,))</f>
        <v>0</v>
      </c>
      <c r="D34" s="1866" t="s">
        <v>1090</v>
      </c>
      <c r="E34" s="1806" t="s">
        <v>1091</v>
      </c>
      <c r="F34" s="1850">
        <f>'数据-取费表'!B52</f>
        <v>18</v>
      </c>
      <c r="G34" s="773"/>
      <c r="H34" s="1858"/>
      <c r="I34" s="1966"/>
      <c r="J34" s="1967"/>
      <c r="K34" s="1972"/>
      <c r="L34" s="1973"/>
      <c r="M34" s="1973"/>
    </row>
    <row r="35" spans="1:18" ht="18" customHeight="1">
      <c r="A35" s="1867"/>
      <c r="B35" s="1868"/>
      <c r="C35" s="1869"/>
      <c r="D35" s="1870"/>
      <c r="E35" s="1806" t="s">
        <v>1095</v>
      </c>
      <c r="F35" s="1807">
        <f ca="1">INDIRECT("'数据-取费表'!r"&amp;$G$1)</f>
        <v>0</v>
      </c>
      <c r="G35" s="773"/>
      <c r="H35" s="1858"/>
      <c r="I35" s="1966"/>
      <c r="J35" s="1967"/>
      <c r="K35" s="1971"/>
      <c r="L35" s="1864"/>
      <c r="M35" s="1864"/>
    </row>
    <row r="36" spans="1:18" ht="18" customHeight="1">
      <c r="A36" s="1871" t="s">
        <v>827</v>
      </c>
      <c r="B36" s="1806" t="s">
        <v>1097</v>
      </c>
      <c r="C36" s="293">
        <f ca="1">ROUND(C29*F36,0)</f>
        <v>0</v>
      </c>
      <c r="D36" s="1860" t="s">
        <v>1132</v>
      </c>
      <c r="E36" s="1806" t="s">
        <v>1067</v>
      </c>
      <c r="F36" s="1872">
        <f ca="1">INDIRECT("'数据-取费表'!Ak"&amp;$G$1)</f>
        <v>0</v>
      </c>
      <c r="G36" s="773"/>
      <c r="H36" s="1864"/>
      <c r="I36" s="1966"/>
      <c r="J36" s="1967"/>
      <c r="K36" s="1974"/>
      <c r="L36" s="1864"/>
      <c r="M36" s="1864"/>
    </row>
    <row r="37" spans="1:18" ht="18" customHeight="1">
      <c r="A37" s="1835" t="s">
        <v>873</v>
      </c>
      <c r="B37" s="1806" t="s">
        <v>1101</v>
      </c>
      <c r="C37" s="293">
        <f ca="1">ROUND(C13*F37,0)</f>
        <v>0</v>
      </c>
      <c r="D37" s="1860" t="s">
        <v>1102</v>
      </c>
      <c r="E37" s="1806" t="s">
        <v>1067</v>
      </c>
      <c r="F37" s="1873">
        <f ca="1">INDIRECT("'数据-取费表'!Al"&amp;$G$1)</f>
        <v>0</v>
      </c>
      <c r="G37" s="773"/>
      <c r="H37" s="1864"/>
      <c r="I37" s="1966"/>
      <c r="J37" s="1967"/>
      <c r="K37" s="1974"/>
      <c r="L37" s="1864"/>
      <c r="M37" s="1864"/>
    </row>
    <row r="38" spans="1:18" ht="18" customHeight="1">
      <c r="A38" s="1843" t="s">
        <v>876</v>
      </c>
      <c r="B38" s="1828" t="s">
        <v>1087</v>
      </c>
      <c r="C38" s="1852">
        <f ca="1">ROUND(C5*F38,1)</f>
        <v>0</v>
      </c>
      <c r="D38" s="1853" t="s">
        <v>1105</v>
      </c>
      <c r="E38" s="1828" t="s">
        <v>1067</v>
      </c>
      <c r="F38" s="1829">
        <f ca="1">INDIRECT("'数据-取费表'!Am"&amp;$G$1)</f>
        <v>0</v>
      </c>
      <c r="G38" s="773"/>
      <c r="H38" s="1864"/>
      <c r="I38" s="1966"/>
      <c r="J38" s="1967"/>
      <c r="K38" s="1975"/>
      <c r="L38" s="1864"/>
      <c r="M38" s="1864"/>
    </row>
    <row r="39" spans="1:18" ht="24.6" customHeight="1">
      <c r="A39" s="1830" t="s">
        <v>1108</v>
      </c>
      <c r="B39" s="1874" t="s">
        <v>1109</v>
      </c>
      <c r="C39" s="1832">
        <f ca="1">C5-C30</f>
        <v>0</v>
      </c>
      <c r="D39" s="1875" t="s">
        <v>1110</v>
      </c>
      <c r="E39" s="1876"/>
      <c r="F39" s="1877"/>
      <c r="G39" s="773"/>
      <c r="H39" s="1864"/>
      <c r="I39" s="1966"/>
      <c r="J39" s="1967"/>
      <c r="K39" s="1975"/>
      <c r="L39" s="1864"/>
      <c r="M39" s="1864"/>
    </row>
    <row r="40" spans="1:18" ht="18" customHeight="1">
      <c r="A40" s="1797" t="s">
        <v>1114</v>
      </c>
      <c r="B40" s="1798" t="s">
        <v>1133</v>
      </c>
      <c r="C40" s="1878" t="e">
        <f ca="1">ROUND(C39*(1-((1+F42)/(1+F40))^F41)/(F40-F42),0)</f>
        <v>#DIV/0!</v>
      </c>
      <c r="D40" s="1866" t="s">
        <v>1116</v>
      </c>
      <c r="E40" s="1806" t="s">
        <v>1117</v>
      </c>
      <c r="F40" s="1814">
        <f ca="1">INDIRECT("'数据-取费表'!I"&amp;$G$1)</f>
        <v>0</v>
      </c>
      <c r="G40" s="773"/>
      <c r="H40" s="1879"/>
      <c r="I40" s="1966"/>
      <c r="J40" s="1967"/>
      <c r="K40" s="1975"/>
      <c r="L40" s="1879"/>
      <c r="M40" s="1879"/>
    </row>
    <row r="41" spans="1:18" ht="18" customHeight="1">
      <c r="A41" s="1812"/>
      <c r="B41" s="1880"/>
      <c r="C41" s="1813"/>
      <c r="D41" s="1881" t="s">
        <v>1120</v>
      </c>
      <c r="E41" s="1806" t="s">
        <v>1121</v>
      </c>
      <c r="F41" s="1882">
        <f ca="1">IF(INDIRECT("'数据-取费表'!af"&amp;$G$1)=0,INDIRECT("'数据-取费表'!ae"&amp;$G$1),INDIRECT("'数据-取费表'!af"&amp;$G$1))</f>
        <v>0</v>
      </c>
      <c r="G41" s="773"/>
      <c r="H41" s="1883"/>
      <c r="I41" s="1966"/>
      <c r="J41" s="1967"/>
      <c r="K41" s="1974"/>
      <c r="L41" s="1883"/>
      <c r="M41" s="1883"/>
    </row>
    <row r="42" spans="1:18" ht="18" customHeight="1">
      <c r="A42" s="1819"/>
      <c r="B42" s="1884"/>
      <c r="C42" s="1832"/>
      <c r="D42" s="1870"/>
      <c r="E42" s="1806" t="s">
        <v>1124</v>
      </c>
      <c r="F42" s="1814">
        <f ca="1">INDIRECT("'数据-取费表'!v"&amp;$G$1)</f>
        <v>0</v>
      </c>
      <c r="G42" s="773"/>
      <c r="H42" s="1883"/>
      <c r="I42" s="1966"/>
      <c r="J42" s="1967"/>
      <c r="K42" s="1974"/>
      <c r="L42" s="1883"/>
      <c r="M42" s="1883"/>
    </row>
    <row r="43" spans="1:18" ht="18" customHeight="1">
      <c r="A43" s="1855" t="s">
        <v>1127</v>
      </c>
      <c r="B43" s="1885" t="s">
        <v>1134</v>
      </c>
      <c r="C43" s="1886" t="e">
        <f ca="1">ROUND(C40/F43,0)</f>
        <v>#DIV/0!</v>
      </c>
      <c r="D43" s="1887" t="s">
        <v>1135</v>
      </c>
      <c r="E43" s="1888" t="s">
        <v>1136</v>
      </c>
      <c r="F43" s="1889">
        <f ca="1">INDIRECT("'数据-取费表'!k"&amp;$G$1)</f>
        <v>0</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2" t="e">
        <f ca="1">C68-C40</f>
        <v>#DIV/0!</v>
      </c>
      <c r="D45" s="1893" t="s">
        <v>1466</v>
      </c>
      <c r="E45" s="1890"/>
      <c r="F45" s="1890"/>
      <c r="O45" s="1977" t="s">
        <v>1137</v>
      </c>
      <c r="P45" s="1879"/>
      <c r="Q45" s="1879"/>
      <c r="R45" s="1879"/>
    </row>
    <row r="46" spans="1:18" s="773" customFormat="1">
      <c r="A46" s="1894" t="s">
        <v>1138</v>
      </c>
      <c r="C46" s="1895" t="e">
        <f ca="1">ROUND(C45/10000,0)</f>
        <v>#DIV/0!</v>
      </c>
      <c r="D46" s="1896" t="str">
        <f>C2</f>
        <v>万元</v>
      </c>
      <c r="I46" s="1978" t="s">
        <v>1139</v>
      </c>
      <c r="J46" s="1979"/>
      <c r="K46" s="1980"/>
      <c r="L46" s="1981" t="e">
        <f ca="1">IF(M47="住宅",0,IF(L48&gt;J51,L60,J60))</f>
        <v>#DIV/0!</v>
      </c>
      <c r="O46" s="1982" t="s">
        <v>1140</v>
      </c>
      <c r="P46" s="1983" t="s">
        <v>1141</v>
      </c>
      <c r="Q46" s="2027" t="s">
        <v>1142</v>
      </c>
      <c r="R46" s="2027" t="s">
        <v>1143</v>
      </c>
    </row>
    <row r="47" spans="1:18" s="773" customFormat="1">
      <c r="A47" s="1897" t="s">
        <v>1037</v>
      </c>
      <c r="B47" s="1898" t="s">
        <v>1038</v>
      </c>
      <c r="C47" s="1898" t="s">
        <v>1039</v>
      </c>
      <c r="D47" s="1898" t="s">
        <v>1040</v>
      </c>
      <c r="E47" s="1899" t="s">
        <v>1041</v>
      </c>
      <c r="F47" s="286"/>
      <c r="G47" s="1900"/>
      <c r="I47" s="1984" t="s">
        <v>1144</v>
      </c>
      <c r="J47" s="1985"/>
      <c r="K47" s="1986" t="s">
        <v>1145</v>
      </c>
      <c r="L47" s="1987">
        <f ca="1">INDIRECT("'数据-取费表'!d"&amp;$G$1)</f>
        <v>0</v>
      </c>
      <c r="M47" s="1988" t="str">
        <f>IF(ISNUMBER(FIND("住宅",C1)),"住宅","非住宅")</f>
        <v>非住宅</v>
      </c>
      <c r="O47" s="1989" t="s">
        <v>1146</v>
      </c>
      <c r="P47" s="1990" t="s">
        <v>1147</v>
      </c>
      <c r="Q47" s="2028" t="e">
        <f ca="1">C40+J29</f>
        <v>#DIV/0!</v>
      </c>
      <c r="R47" s="2028" t="s">
        <v>1148</v>
      </c>
    </row>
    <row r="48" spans="1:18" s="773" customFormat="1" ht="39.6">
      <c r="A48" s="1901" t="s">
        <v>1149</v>
      </c>
      <c r="B48" s="1798" t="s">
        <v>1042</v>
      </c>
      <c r="C48" s="294">
        <f ca="1">C49+C53+C55</f>
        <v>0</v>
      </c>
      <c r="D48" s="1902"/>
      <c r="E48" s="1903"/>
      <c r="F48" s="1904"/>
      <c r="G48" s="1900"/>
      <c r="H48" s="1905"/>
      <c r="I48" s="834" t="s">
        <v>1150</v>
      </c>
      <c r="J48" s="1991"/>
      <c r="K48" s="1992" t="s">
        <v>1152</v>
      </c>
      <c r="L48" s="1993">
        <f ca="1">INDIRECT("'数据-取费表'!f"&amp;$G$1)</f>
        <v>0</v>
      </c>
      <c r="O48" s="1989" t="s">
        <v>1153</v>
      </c>
      <c r="P48" s="1990" t="s">
        <v>1154</v>
      </c>
      <c r="Q48" s="2028" t="e">
        <f ca="1">J60</f>
        <v>#DIV/0!</v>
      </c>
      <c r="R48" s="2028" t="s">
        <v>1155</v>
      </c>
    </row>
    <row r="49" spans="1:18" s="773" customFormat="1">
      <c r="A49" s="1906" t="s">
        <v>1156</v>
      </c>
      <c r="B49" s="1907" t="s">
        <v>1157</v>
      </c>
      <c r="C49" s="1908">
        <f ca="1">ROUND(F49*F51*F50*(1-F52),0)</f>
        <v>0</v>
      </c>
      <c r="D49" s="1909" t="s">
        <v>1467</v>
      </c>
      <c r="E49" s="1910" t="s">
        <v>1158</v>
      </c>
      <c r="F49" s="1911"/>
      <c r="G49" s="1912"/>
      <c r="H49" s="1905"/>
      <c r="I49" s="834" t="s">
        <v>1159</v>
      </c>
      <c r="J49" s="1994"/>
      <c r="K49" s="1992" t="s">
        <v>1160</v>
      </c>
      <c r="L49" s="1995"/>
      <c r="O49" s="1996" t="s">
        <v>1161</v>
      </c>
      <c r="P49" s="1990" t="s">
        <v>1162</v>
      </c>
      <c r="Q49" s="2028">
        <f ca="1">C29</f>
        <v>0</v>
      </c>
      <c r="R49" s="2028" t="s">
        <v>1148</v>
      </c>
    </row>
    <row r="50" spans="1:18" s="773" customFormat="1">
      <c r="A50" s="1913"/>
      <c r="B50" s="1914"/>
      <c r="C50" s="1915"/>
      <c r="D50" s="1916"/>
      <c r="E50" s="1917" t="s">
        <v>1048</v>
      </c>
      <c r="F50" s="1918">
        <f ca="1">F7</f>
        <v>0</v>
      </c>
      <c r="H50" s="1905"/>
      <c r="I50" s="834" t="s">
        <v>1163</v>
      </c>
      <c r="J50" s="1997">
        <f>SUMPRODUCT((I63:I65=J47)*(J62:L62=J48)*(J63:L65))</f>
        <v>0</v>
      </c>
      <c r="K50" s="1992" t="s">
        <v>1164</v>
      </c>
      <c r="L50" s="1995"/>
      <c r="M50" s="1998"/>
      <c r="O50" s="1996" t="s">
        <v>1165</v>
      </c>
      <c r="P50" s="1990" t="s">
        <v>1166</v>
      </c>
      <c r="Q50" s="2029" t="e">
        <f ca="1">J58</f>
        <v>#DIV/0!</v>
      </c>
      <c r="R50" s="2028"/>
    </row>
    <row r="51" spans="1:18" s="773" customFormat="1">
      <c r="A51" s="1919"/>
      <c r="B51" s="1914"/>
      <c r="C51" s="1915"/>
      <c r="D51" s="1916"/>
      <c r="E51" s="1920" t="s">
        <v>1049</v>
      </c>
      <c r="F51" s="1807">
        <f ca="1">F8</f>
        <v>0</v>
      </c>
      <c r="I51" s="1999" t="s">
        <v>1167</v>
      </c>
      <c r="J51" s="2000">
        <f>IF(J49="",J50,J49+J50-YEAR('数据-取费表'!B2))</f>
        <v>0</v>
      </c>
      <c r="K51" s="2001" t="s">
        <v>1168</v>
      </c>
      <c r="L51" s="2002">
        <f ca="1">ROUND(-PV(INDIRECT("'数据-取费表'!h"&amp;$G$1),J51,(C39-C13*C76),0),0)</f>
        <v>0</v>
      </c>
      <c r="M51" s="2003"/>
      <c r="O51" s="1996" t="s">
        <v>1169</v>
      </c>
      <c r="P51" s="1990" t="s">
        <v>1170</v>
      </c>
      <c r="Q51" s="2029">
        <f>J52</f>
        <v>0</v>
      </c>
      <c r="R51" s="2028"/>
    </row>
    <row r="52" spans="1:18" s="773" customFormat="1">
      <c r="A52" s="1919"/>
      <c r="B52" s="1914"/>
      <c r="C52" s="1915"/>
      <c r="D52" s="1916"/>
      <c r="E52" s="1920" t="s">
        <v>1050</v>
      </c>
      <c r="F52" s="1921"/>
      <c r="I52" s="2004" t="s">
        <v>1171</v>
      </c>
      <c r="J52" s="2005"/>
      <c r="K52" s="2004" t="s">
        <v>1172</v>
      </c>
      <c r="L52" s="2005"/>
      <c r="O52" s="1996" t="s">
        <v>1173</v>
      </c>
      <c r="P52" s="1990" t="s">
        <v>1174</v>
      </c>
      <c r="Q52" s="2028">
        <f ca="1">J53</f>
        <v>0</v>
      </c>
      <c r="R52" s="2028" t="s">
        <v>1175</v>
      </c>
    </row>
    <row r="53" spans="1:18" s="773" customFormat="1" ht="30.75" customHeight="1">
      <c r="A53" s="1922" t="s">
        <v>1176</v>
      </c>
      <c r="B53" s="1847" t="s">
        <v>1051</v>
      </c>
      <c r="C53" s="292">
        <f ca="1">ROUND(IF(F53="押一",C49/12*F11,IF(F53="押二",C49/12*2*F11,IF(F53="押三",C49/12*3*F11,C54*F11))),0)</f>
        <v>0</v>
      </c>
      <c r="D53" s="1816" t="s">
        <v>1468</v>
      </c>
      <c r="E53" s="1817" t="s">
        <v>1053</v>
      </c>
      <c r="F53" s="1818"/>
      <c r="I53" s="2006" t="s">
        <v>1177</v>
      </c>
      <c r="J53" s="2007">
        <f ca="1">IF(M47="住宅",IF(D1="——",MAX(J51,L48),MAX(J51,L48-'数据-取费表'!B24)),IF(D1="——",MIN(J51,L48),MIN(J51,L48-'数据-取费表'!B24)))</f>
        <v>0</v>
      </c>
      <c r="K53" s="3504" t="s">
        <v>1178</v>
      </c>
      <c r="L53" s="3505"/>
      <c r="O53" s="1989" t="s">
        <v>1179</v>
      </c>
      <c r="P53" s="1990" t="s">
        <v>1180</v>
      </c>
      <c r="Q53" s="2028" t="e">
        <f ca="1">Q47+Q48</f>
        <v>#DIV/0!</v>
      </c>
      <c r="R53" s="2028" t="s">
        <v>1181</v>
      </c>
    </row>
    <row r="54" spans="1:18" s="773" customFormat="1">
      <c r="A54" s="1906"/>
      <c r="B54" s="1923" t="s">
        <v>1465</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9"/>
      <c r="K54" s="2009"/>
      <c r="L54" s="2009"/>
      <c r="M54" s="1912"/>
      <c r="O54" s="1977" t="s">
        <v>1182</v>
      </c>
      <c r="P54" s="2010"/>
      <c r="Q54" s="2010"/>
      <c r="R54" s="2010"/>
    </row>
    <row r="55" spans="1:18" s="773" customFormat="1">
      <c r="A55" s="1824" t="s">
        <v>873</v>
      </c>
      <c r="B55" s="1825" t="s">
        <v>1058</v>
      </c>
      <c r="C55" s="1826"/>
      <c r="D55" s="1816"/>
      <c r="E55" s="1924"/>
      <c r="F55" s="1925"/>
      <c r="I55" s="2011" t="s">
        <v>1183</v>
      </c>
      <c r="J55" s="2012" t="e">
        <f ca="1">ROUND(IF(J47="钢混",J57/J50,1-(1-2%)*(J50-J57)/J50),3)</f>
        <v>#DIV/0!</v>
      </c>
      <c r="K55" s="2013" t="s">
        <v>1184</v>
      </c>
      <c r="L55" s="2014"/>
      <c r="O55" s="1982" t="s">
        <v>1140</v>
      </c>
      <c r="P55" s="1983" t="s">
        <v>1141</v>
      </c>
      <c r="Q55" s="2027" t="s">
        <v>1142</v>
      </c>
      <c r="R55" s="2027" t="s">
        <v>1143</v>
      </c>
    </row>
    <row r="56" spans="1:18" s="773" customFormat="1" ht="36" customHeight="1">
      <c r="A56" s="1926">
        <v>2</v>
      </c>
      <c r="B56" s="1927" t="s">
        <v>1059</v>
      </c>
      <c r="C56" s="186">
        <f ca="1">C13</f>
        <v>0</v>
      </c>
      <c r="D56" s="1928"/>
      <c r="E56" s="1929"/>
      <c r="F56" s="1925"/>
      <c r="I56" s="2015" t="s">
        <v>1186</v>
      </c>
      <c r="J56" s="2016"/>
      <c r="K56" s="834" t="s">
        <v>1187</v>
      </c>
      <c r="L56" s="1993">
        <f ca="1">IF(L48&lt;J51,"——",L48-J51)</f>
        <v>0</v>
      </c>
      <c r="O56" s="1989" t="s">
        <v>1146</v>
      </c>
      <c r="P56" s="1990" t="s">
        <v>1147</v>
      </c>
      <c r="Q56" s="2028" t="e">
        <f ca="1">C40+J29</f>
        <v>#DIV/0!</v>
      </c>
      <c r="R56" s="2028" t="s">
        <v>1148</v>
      </c>
    </row>
    <row r="57" spans="1:18" s="773" customFormat="1" ht="24">
      <c r="A57" s="1930"/>
      <c r="B57" s="1931" t="s">
        <v>1126</v>
      </c>
      <c r="C57" s="196">
        <f ca="1">C29</f>
        <v>0</v>
      </c>
      <c r="D57" s="1932"/>
      <c r="E57" s="1933"/>
      <c r="F57" s="1934"/>
      <c r="I57" s="2017" t="s">
        <v>1188</v>
      </c>
      <c r="J57" s="2018">
        <f ca="1">IF(OR(M47="住宅",J51&lt;L48,J56="是"),"——",J51-L48)</f>
        <v>0</v>
      </c>
      <c r="K57" s="834" t="s">
        <v>1469</v>
      </c>
      <c r="L57" s="1993">
        <f ca="1">IF(L48&lt;J51,"——",IF(L55="比较法",L49,IF(L55="基准地价",L50,L51)))</f>
        <v>0</v>
      </c>
      <c r="O57" s="1989" t="s">
        <v>1153</v>
      </c>
      <c r="P57" s="1990" t="s">
        <v>1190</v>
      </c>
      <c r="Q57" s="2028" t="e">
        <f ca="1">L60</f>
        <v>#DIV/0!</v>
      </c>
      <c r="R57" s="2028" t="s">
        <v>1191</v>
      </c>
    </row>
    <row r="58" spans="1:18" s="773" customFormat="1" ht="24">
      <c r="A58" s="1935" t="s">
        <v>1069</v>
      </c>
      <c r="B58" s="1927" t="s">
        <v>1070</v>
      </c>
      <c r="C58" s="292">
        <f ca="1">ROUND(C59+C64+C65+C66,0)</f>
        <v>0</v>
      </c>
      <c r="D58" s="1936" t="s">
        <v>1071</v>
      </c>
      <c r="E58" s="1937"/>
      <c r="F58" s="1904"/>
      <c r="I58" s="2017" t="s">
        <v>1192</v>
      </c>
      <c r="J58" s="2019" t="e">
        <f ca="1">IF(J55&lt;0.4,0.4,J55)</f>
        <v>#DIV/0!</v>
      </c>
      <c r="K58" s="2001" t="s">
        <v>1470</v>
      </c>
      <c r="L58" s="1993" t="e">
        <f ca="1">ROUND(POWER(1+L52,L47-L48)*(POWER(1+L52,L48)-1)/(POWER(1+L52,L47)-1),4)</f>
        <v>#DIV/0!</v>
      </c>
      <c r="O58" s="1996" t="s">
        <v>1161</v>
      </c>
      <c r="P58" s="1990" t="s">
        <v>1194</v>
      </c>
      <c r="Q58" s="2028">
        <f>IF(L55="比较法",L49,IF(L55="基准地价",L50,0))</f>
        <v>0</v>
      </c>
      <c r="R58" s="2028" t="s">
        <v>1148</v>
      </c>
    </row>
    <row r="59" spans="1:18" s="773" customFormat="1" ht="24">
      <c r="A59" s="1835" t="s">
        <v>823</v>
      </c>
      <c r="B59" s="1931" t="s">
        <v>1076</v>
      </c>
      <c r="C59" s="1859">
        <f ca="1">ROUND(IF(AND(项目基本情况!B11="自然人",项目基本情况!B10="北京市"),C49*F59/(1+'数据-取费表'!C42),C60+C61+C62),0)</f>
        <v>0</v>
      </c>
      <c r="D59" s="1938" t="s">
        <v>1077</v>
      </c>
      <c r="E59" s="1939" t="s">
        <v>1078</v>
      </c>
      <c r="F59" s="1861" t="str">
        <f>IF(项目基本情况!B11="企业","——",IF('数据-取费表'!B10="住宅",IF(F49*F50*F51/12/(1+'数据-取费表'!F30)&gt;100000,4%,2.5%),IF(F49*F50*F51/12/(1+'数据-取费表'!F30)&gt;100000,12%,7%)))</f>
        <v>——</v>
      </c>
      <c r="I59" s="2017" t="s">
        <v>1195</v>
      </c>
      <c r="J59" s="2018"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6" t="s">
        <v>1165</v>
      </c>
      <c r="P59" s="1990" t="s">
        <v>1196</v>
      </c>
      <c r="Q59" s="2029">
        <f>L52</f>
        <v>0</v>
      </c>
      <c r="R59" s="2028"/>
    </row>
    <row r="60" spans="1:18" s="773" customFormat="1" ht="15.6">
      <c r="A60" s="1835" t="s">
        <v>846</v>
      </c>
      <c r="B60" s="1931" t="s">
        <v>1081</v>
      </c>
      <c r="C60" s="293">
        <f ca="1">IF(项目基本情况!B11="自然人","——",ROUND(C48*F60/(1+'数据-取费表'!C42),0))</f>
        <v>0</v>
      </c>
      <c r="D60" s="1939" t="s">
        <v>1082</v>
      </c>
      <c r="E60" s="1931" t="s">
        <v>1067</v>
      </c>
      <c r="F60" s="1851">
        <f t="shared" ref="F60:F66" si="0">F32</f>
        <v>5.6000000000000001E-2</v>
      </c>
      <c r="I60" s="2020" t="s">
        <v>1197</v>
      </c>
      <c r="J60" s="2021" t="e">
        <f ca="1">IF(OR(M47="住宅",J51&lt;L48,J56="是"),"0",ROUND(J59/(1+J52)^J53,0))</f>
        <v>#DIV/0!</v>
      </c>
      <c r="K60" s="2022" t="s">
        <v>1198</v>
      </c>
      <c r="L60" s="2021" t="e">
        <f ca="1">IF(OR(M47="住宅",L48&lt;J51),0,ROUND(L57*(L58/L59-1),0))</f>
        <v>#DIV/0!</v>
      </c>
      <c r="O60" s="1996" t="s">
        <v>1169</v>
      </c>
      <c r="P60" s="1990" t="s">
        <v>1199</v>
      </c>
      <c r="Q60" s="2028" t="e">
        <f ca="1">L58</f>
        <v>#DIV/0!</v>
      </c>
      <c r="R60" s="2028" t="s">
        <v>1200</v>
      </c>
    </row>
    <row r="61" spans="1:18" s="773" customFormat="1">
      <c r="A61" s="1835" t="s">
        <v>850</v>
      </c>
      <c r="B61" s="1931" t="s">
        <v>1085</v>
      </c>
      <c r="C61" s="293">
        <f ca="1">IF(项目基本情况!B11="自然人","——",IF(D61="按租金收入计税",ROUND(C49*F61/(1+'数据-取费表'!C42),0),IF(D61="按房产原值计税",ROUND(C57*F61*0.7,0),INDIRECT("'数据-取费表'!Aj"&amp;$G$1))))</f>
        <v>0</v>
      </c>
      <c r="D61" s="1863" t="s">
        <v>1086</v>
      </c>
      <c r="E61" s="1931" t="s">
        <v>1067</v>
      </c>
      <c r="F61" s="1844">
        <f t="shared" si="0"/>
        <v>1.2E-2</v>
      </c>
      <c r="I61" s="1879"/>
      <c r="J61" s="1879"/>
      <c r="K61" s="1879"/>
      <c r="L61" s="1879"/>
      <c r="O61" s="1996" t="s">
        <v>1173</v>
      </c>
      <c r="P61" s="1990" t="str">
        <f>K59</f>
        <v>建设期及建筑物耐用年限下的土地年期修正系数Kn</v>
      </c>
      <c r="Q61" s="2028" t="e">
        <f ca="1">L59</f>
        <v>#DIV/0!</v>
      </c>
      <c r="R61" s="2028" t="s">
        <v>1201</v>
      </c>
    </row>
    <row r="62" spans="1:18" s="773" customFormat="1">
      <c r="A62" s="1835" t="s">
        <v>853</v>
      </c>
      <c r="B62" s="1940" t="s">
        <v>1089</v>
      </c>
      <c r="C62" s="1865">
        <f ca="1">IF(项目基本情况!B11="自然人","——",ROUND(F62*F63,0))</f>
        <v>0</v>
      </c>
      <c r="D62" s="1941" t="s">
        <v>1090</v>
      </c>
      <c r="E62" s="1931" t="s">
        <v>1091</v>
      </c>
      <c r="F62" s="1850">
        <f t="shared" si="0"/>
        <v>18</v>
      </c>
      <c r="I62" s="2023" t="s">
        <v>1202</v>
      </c>
      <c r="J62" s="2024" t="s">
        <v>1203</v>
      </c>
      <c r="K62" s="2024" t="s">
        <v>1204</v>
      </c>
      <c r="L62" s="2024" t="s">
        <v>1205</v>
      </c>
      <c r="M62" s="2025" t="s">
        <v>1206</v>
      </c>
      <c r="O62" s="1989" t="s">
        <v>1179</v>
      </c>
      <c r="P62" s="1990" t="s">
        <v>1180</v>
      </c>
      <c r="Q62" s="2028" t="e">
        <f ca="1">Q56+Q57</f>
        <v>#DIV/0!</v>
      </c>
      <c r="R62" s="2028" t="s">
        <v>1181</v>
      </c>
    </row>
    <row r="63" spans="1:18" s="773" customFormat="1">
      <c r="A63" s="1848"/>
      <c r="B63" s="1942"/>
      <c r="C63" s="1869"/>
      <c r="D63" s="1943"/>
      <c r="E63" s="1931" t="s">
        <v>1095</v>
      </c>
      <c r="F63" s="1807">
        <f t="shared" ca="1" si="0"/>
        <v>0</v>
      </c>
      <c r="I63" s="2023" t="s">
        <v>1207</v>
      </c>
      <c r="J63" s="2024">
        <v>70</v>
      </c>
      <c r="K63" s="2024">
        <v>50</v>
      </c>
      <c r="L63" s="2024">
        <v>80</v>
      </c>
      <c r="M63" s="2026">
        <v>0.02</v>
      </c>
      <c r="O63" s="1977" t="s">
        <v>1208</v>
      </c>
      <c r="P63" s="2010"/>
      <c r="Q63" s="2010"/>
      <c r="R63" s="2010"/>
    </row>
    <row r="64" spans="1:18" s="773" customFormat="1">
      <c r="A64" s="1835" t="s">
        <v>827</v>
      </c>
      <c r="B64" s="1931" t="s">
        <v>1097</v>
      </c>
      <c r="C64" s="293">
        <f ca="1">ROUND(C57*F64,0)</f>
        <v>0</v>
      </c>
      <c r="D64" s="1939" t="s">
        <v>1132</v>
      </c>
      <c r="E64" s="1931" t="s">
        <v>1067</v>
      </c>
      <c r="F64" s="1872">
        <f t="shared" ca="1" si="0"/>
        <v>0</v>
      </c>
      <c r="I64" s="2023" t="s">
        <v>1209</v>
      </c>
      <c r="J64" s="2024">
        <v>50</v>
      </c>
      <c r="K64" s="2024">
        <v>35</v>
      </c>
      <c r="L64" s="2024">
        <v>60</v>
      </c>
      <c r="M64" s="2025">
        <v>0</v>
      </c>
      <c r="O64" s="1982" t="s">
        <v>1140</v>
      </c>
      <c r="P64" s="1983" t="s">
        <v>1141</v>
      </c>
      <c r="Q64" s="2027" t="s">
        <v>1142</v>
      </c>
      <c r="R64" s="2027" t="s">
        <v>1143</v>
      </c>
    </row>
    <row r="65" spans="1:18" s="773" customFormat="1">
      <c r="A65" s="1835" t="s">
        <v>873</v>
      </c>
      <c r="B65" s="1931" t="s">
        <v>1101</v>
      </c>
      <c r="C65" s="293">
        <f ca="1">ROUND(C56*F65,0)</f>
        <v>0</v>
      </c>
      <c r="D65" s="1939" t="s">
        <v>1102</v>
      </c>
      <c r="E65" s="1931" t="s">
        <v>1067</v>
      </c>
      <c r="F65" s="1873">
        <f t="shared" ca="1" si="0"/>
        <v>0</v>
      </c>
      <c r="I65" s="2023" t="s">
        <v>1210</v>
      </c>
      <c r="J65" s="2024">
        <v>40</v>
      </c>
      <c r="K65" s="2024">
        <v>30</v>
      </c>
      <c r="L65" s="2024">
        <v>50</v>
      </c>
      <c r="M65" s="2026">
        <v>0.02</v>
      </c>
      <c r="O65" s="1989" t="s">
        <v>1146</v>
      </c>
      <c r="P65" s="1990" t="s">
        <v>1147</v>
      </c>
      <c r="Q65" s="2028" t="e">
        <f ca="1">C40+J29</f>
        <v>#DIV/0!</v>
      </c>
      <c r="R65" s="2028" t="s">
        <v>1148</v>
      </c>
    </row>
    <row r="66" spans="1:18" s="773" customFormat="1" ht="15.6">
      <c r="A66" s="1835" t="s">
        <v>876</v>
      </c>
      <c r="B66" s="1931" t="s">
        <v>1087</v>
      </c>
      <c r="C66" s="293">
        <f ca="1">ROUND(C48*F66,0)</f>
        <v>0</v>
      </c>
      <c r="D66" s="1939" t="s">
        <v>1105</v>
      </c>
      <c r="E66" s="1931" t="s">
        <v>1067</v>
      </c>
      <c r="F66" s="1814">
        <f t="shared" ca="1" si="0"/>
        <v>0</v>
      </c>
      <c r="O66" s="1989" t="s">
        <v>1153</v>
      </c>
      <c r="P66" s="1990" t="s">
        <v>1190</v>
      </c>
      <c r="Q66" s="2028" t="e">
        <f ca="1">L60</f>
        <v>#DIV/0!</v>
      </c>
      <c r="R66" s="2028" t="s">
        <v>1191</v>
      </c>
    </row>
    <row r="67" spans="1:18" s="773" customFormat="1" ht="24">
      <c r="A67" s="1926" t="s">
        <v>1108</v>
      </c>
      <c r="B67" s="2030" t="s">
        <v>1109</v>
      </c>
      <c r="C67" s="292">
        <f ca="1">C48-C58</f>
        <v>0</v>
      </c>
      <c r="D67" s="1938" t="s">
        <v>1110</v>
      </c>
      <c r="E67" s="2031"/>
      <c r="F67" s="2032"/>
      <c r="O67" s="1996" t="s">
        <v>1161</v>
      </c>
      <c r="P67" s="1990" t="s">
        <v>1194</v>
      </c>
      <c r="Q67" s="2052">
        <f ca="1">L51</f>
        <v>0</v>
      </c>
      <c r="R67" s="2028" t="s">
        <v>1211</v>
      </c>
    </row>
    <row r="68" spans="1:18" s="773" customFormat="1" ht="15.6">
      <c r="A68" s="2033" t="s">
        <v>1114</v>
      </c>
      <c r="B68" s="2034" t="s">
        <v>1133</v>
      </c>
      <c r="C68" s="1878" t="e">
        <f ca="1">ROUND(C67*(1-((1+F70)/(1+F68))^F69)/(F68-F70),0)</f>
        <v>#DIV/0!</v>
      </c>
      <c r="D68" s="1941" t="s">
        <v>1116</v>
      </c>
      <c r="E68" s="1931" t="s">
        <v>1117</v>
      </c>
      <c r="F68" s="1814">
        <f ca="1">F40</f>
        <v>0</v>
      </c>
      <c r="O68" s="1996" t="s">
        <v>1165</v>
      </c>
      <c r="P68" s="2051" t="s">
        <v>1212</v>
      </c>
      <c r="Q68" s="2028">
        <f ca="1">ROUND(Q69-Q70*Q71,0)</f>
        <v>0</v>
      </c>
      <c r="R68" s="2028" t="s">
        <v>1213</v>
      </c>
    </row>
    <row r="69" spans="1:18" s="773" customFormat="1">
      <c r="A69" s="2035"/>
      <c r="B69" s="2036"/>
      <c r="C69" s="1813"/>
      <c r="D69" s="2037" t="s">
        <v>1120</v>
      </c>
      <c r="E69" s="1931" t="s">
        <v>1121</v>
      </c>
      <c r="F69" s="1882">
        <f ca="1">F41</f>
        <v>0</v>
      </c>
      <c r="O69" s="1996" t="s">
        <v>1214</v>
      </c>
      <c r="P69" s="2051" t="s">
        <v>1215</v>
      </c>
      <c r="Q69" s="2028">
        <f ca="1">C39</f>
        <v>0</v>
      </c>
      <c r="R69" s="2028" t="s">
        <v>1148</v>
      </c>
    </row>
    <row r="70" spans="1:18" s="773" customFormat="1">
      <c r="A70" s="2038"/>
      <c r="B70" s="2039"/>
      <c r="C70" s="1832"/>
      <c r="D70" s="1943"/>
      <c r="E70" s="1931" t="s">
        <v>1124</v>
      </c>
      <c r="F70" s="1921">
        <f ca="1">F42</f>
        <v>0</v>
      </c>
      <c r="O70" s="1996" t="s">
        <v>1216</v>
      </c>
      <c r="P70" s="2051" t="s">
        <v>1217</v>
      </c>
      <c r="Q70" s="2028">
        <f ca="1">C13</f>
        <v>0</v>
      </c>
      <c r="R70" s="2028" t="s">
        <v>1148</v>
      </c>
    </row>
    <row r="71" spans="1:18" s="773" customFormat="1">
      <c r="A71" s="2040" t="s">
        <v>1127</v>
      </c>
      <c r="B71" s="2041" t="s">
        <v>1134</v>
      </c>
      <c r="C71" s="1886" t="e">
        <f ca="1">ROUND(C68/F71,0)</f>
        <v>#DIV/0!</v>
      </c>
      <c r="D71" s="2042" t="s">
        <v>1135</v>
      </c>
      <c r="E71" s="2043" t="s">
        <v>1136</v>
      </c>
      <c r="F71" s="1889">
        <f ca="1">F43</f>
        <v>0</v>
      </c>
      <c r="O71" s="1996" t="s">
        <v>1218</v>
      </c>
      <c r="P71" s="2051" t="s">
        <v>1219</v>
      </c>
      <c r="Q71" s="2029">
        <f ca="1">C76</f>
        <v>0</v>
      </c>
      <c r="R71" s="2028"/>
    </row>
    <row r="72" spans="1:18" s="773" customFormat="1">
      <c r="B72" s="327"/>
      <c r="C72" s="327"/>
      <c r="O72" s="1996" t="s">
        <v>1169</v>
      </c>
      <c r="P72" s="1990" t="s">
        <v>1196</v>
      </c>
      <c r="Q72" s="2029">
        <f>L52</f>
        <v>0</v>
      </c>
      <c r="R72" s="2028"/>
    </row>
    <row r="73" spans="1:18" ht="15.6">
      <c r="A73" s="773"/>
      <c r="B73" s="327"/>
      <c r="C73" s="327"/>
      <c r="D73" s="773"/>
      <c r="E73" s="773"/>
      <c r="F73" s="773"/>
      <c r="O73" s="1996" t="s">
        <v>1173</v>
      </c>
      <c r="P73" s="1990" t="s">
        <v>1199</v>
      </c>
      <c r="Q73" s="2028" t="e">
        <f ca="1">L58</f>
        <v>#DIV/0!</v>
      </c>
      <c r="R73" s="2028" t="s">
        <v>1200</v>
      </c>
    </row>
    <row r="74" spans="1:18">
      <c r="A74" s="773"/>
      <c r="B74" s="228" t="s">
        <v>1220</v>
      </c>
      <c r="C74" s="2044"/>
      <c r="D74" s="773"/>
      <c r="E74" s="773"/>
      <c r="F74" s="773"/>
      <c r="O74" s="1996" t="s">
        <v>1221</v>
      </c>
      <c r="P74" s="1990" t="str">
        <f>K59</f>
        <v>建设期及建筑物耐用年限下的土地年期修正系数Kn</v>
      </c>
      <c r="Q74" s="2028" t="e">
        <f ca="1">L59</f>
        <v>#DIV/0!</v>
      </c>
      <c r="R74" s="2028" t="s">
        <v>1201</v>
      </c>
    </row>
    <row r="75" spans="1:18">
      <c r="A75" s="773"/>
      <c r="B75" s="2045" t="s">
        <v>1222</v>
      </c>
      <c r="C75" s="2046">
        <f ca="1">ROUND(C13*C76,0)</f>
        <v>0</v>
      </c>
      <c r="D75" s="773"/>
      <c r="E75" s="773"/>
      <c r="F75" s="773"/>
      <c r="K75" s="1976"/>
      <c r="L75" s="773"/>
      <c r="O75" s="1989" t="s">
        <v>1179</v>
      </c>
      <c r="P75" s="1990" t="s">
        <v>1180</v>
      </c>
      <c r="Q75" s="2028" t="e">
        <f ca="1">Q65+Q66</f>
        <v>#DIV/0!</v>
      </c>
      <c r="R75" s="2028" t="s">
        <v>1181</v>
      </c>
    </row>
    <row r="76" spans="1:18">
      <c r="B76" s="592" t="s">
        <v>1223</v>
      </c>
      <c r="C76" s="2047">
        <f ca="1">INDIRECT("'数据-取费表'!j"&amp;$G$1)</f>
        <v>0</v>
      </c>
      <c r="I76" s="773"/>
      <c r="J76" s="773"/>
      <c r="K76" s="1976"/>
      <c r="L76" s="773"/>
    </row>
    <row r="77" spans="1:18">
      <c r="B77" s="2048" t="s">
        <v>1224</v>
      </c>
      <c r="C77" s="2049"/>
      <c r="I77" s="773"/>
      <c r="J77" s="773"/>
      <c r="K77" s="1976"/>
      <c r="L77" s="773"/>
    </row>
    <row r="78" spans="1:18">
      <c r="B78" s="226" t="s">
        <v>1225</v>
      </c>
      <c r="C78" s="2050"/>
    </row>
    <row r="79" spans="1:18">
      <c r="B79" s="2045" t="s">
        <v>1226</v>
      </c>
      <c r="C79" s="229" t="e">
        <f ca="1">1-C80</f>
        <v>#DIV/0!</v>
      </c>
    </row>
    <row r="80" spans="1:18">
      <c r="B80" s="2045" t="s">
        <v>1227</v>
      </c>
      <c r="C80" s="229" t="e">
        <f ca="1">ROUND(C75/C39,3)</f>
        <v>#DIV/0!</v>
      </c>
    </row>
    <row r="81" spans="2:3">
      <c r="B81" s="226" t="s">
        <v>1228</v>
      </c>
      <c r="C81" s="196"/>
    </row>
    <row r="82" spans="2:3">
      <c r="B82" s="228" t="s">
        <v>1229</v>
      </c>
      <c r="C82" s="230" t="e">
        <f ca="1">1-C83</f>
        <v>#DIV/0!</v>
      </c>
    </row>
    <row r="83" spans="2:3">
      <c r="B83" s="228" t="s">
        <v>1230</v>
      </c>
      <c r="C83" s="22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600" customWidth="1"/>
    <col min="2" max="2" width="8.88671875" style="1600"/>
    <col min="3" max="5" width="12.88671875" style="1600" customWidth="1"/>
    <col min="6" max="6" width="47.44140625" style="1600" customWidth="1"/>
    <col min="7" max="7" width="13" style="1601" customWidth="1"/>
    <col min="8" max="8" width="8.88671875" style="1602"/>
    <col min="9" max="9" width="8.88671875" style="1603"/>
    <col min="10" max="10" width="5.77734375" style="1604" customWidth="1"/>
    <col min="11" max="11" width="11.77734375" style="1604" customWidth="1"/>
    <col min="12" max="13" width="10.77734375" style="1604" customWidth="1"/>
    <col min="14" max="14" width="10" style="1604" customWidth="1"/>
    <col min="15" max="16" width="10.44140625" style="1604" customWidth="1"/>
    <col min="17" max="17" width="10" style="1604" customWidth="1"/>
    <col min="18" max="18" width="10.109375" style="1604" customWidth="1"/>
    <col min="19" max="19" width="10" style="1604" customWidth="1"/>
    <col min="20" max="20" width="26.109375" style="1604" customWidth="1"/>
    <col min="21" max="21" width="8.88671875" style="1604"/>
    <col min="22" max="22" width="8.88671875" style="1603"/>
    <col min="23" max="256" width="8.88671875" style="1600"/>
    <col min="257" max="257" width="9.44140625" style="1600" customWidth="1"/>
    <col min="258" max="258" width="8.88671875" style="1600"/>
    <col min="259" max="261" width="12.88671875" style="1600" customWidth="1"/>
    <col min="262" max="262" width="47.44140625" style="1600" customWidth="1"/>
    <col min="263" max="263" width="13" style="1600" customWidth="1"/>
    <col min="264" max="265" width="8.88671875" style="1600"/>
    <col min="266" max="266" width="5.77734375" style="1600" customWidth="1"/>
    <col min="267" max="267" width="11.77734375" style="1600" customWidth="1"/>
    <col min="268" max="269" width="10.77734375" style="1600" customWidth="1"/>
    <col min="270" max="270" width="10" style="1600" customWidth="1"/>
    <col min="271" max="272" width="10.44140625" style="1600" customWidth="1"/>
    <col min="273" max="273" width="10" style="1600" customWidth="1"/>
    <col min="274" max="274" width="10.109375" style="1600" customWidth="1"/>
    <col min="275" max="275" width="10" style="1600" customWidth="1"/>
    <col min="276" max="276" width="26.109375" style="1600" customWidth="1"/>
    <col min="277" max="512" width="8.88671875" style="1600"/>
    <col min="513" max="513" width="9.44140625" style="1600" customWidth="1"/>
    <col min="514" max="514" width="8.88671875" style="1600"/>
    <col min="515" max="517" width="12.88671875" style="1600" customWidth="1"/>
    <col min="518" max="518" width="47.44140625" style="1600" customWidth="1"/>
    <col min="519" max="519" width="13" style="1600" customWidth="1"/>
    <col min="520" max="521" width="8.88671875" style="1600"/>
    <col min="522" max="522" width="5.77734375" style="1600" customWidth="1"/>
    <col min="523" max="523" width="11.77734375" style="1600" customWidth="1"/>
    <col min="524" max="525" width="10.77734375" style="1600" customWidth="1"/>
    <col min="526" max="526" width="10" style="1600" customWidth="1"/>
    <col min="527" max="528" width="10.44140625" style="1600" customWidth="1"/>
    <col min="529" max="529" width="10" style="1600" customWidth="1"/>
    <col min="530" max="530" width="10.109375" style="1600" customWidth="1"/>
    <col min="531" max="531" width="10" style="1600" customWidth="1"/>
    <col min="532" max="532" width="26.109375" style="1600" customWidth="1"/>
    <col min="533" max="768" width="8.88671875" style="1600"/>
    <col min="769" max="769" width="9.44140625" style="1600" customWidth="1"/>
    <col min="770" max="770" width="8.88671875" style="1600"/>
    <col min="771" max="773" width="12.88671875" style="1600" customWidth="1"/>
    <col min="774" max="774" width="47.44140625" style="1600" customWidth="1"/>
    <col min="775" max="775" width="13" style="1600" customWidth="1"/>
    <col min="776" max="777" width="8.88671875" style="1600"/>
    <col min="778" max="778" width="5.77734375" style="1600" customWidth="1"/>
    <col min="779" max="779" width="11.77734375" style="1600" customWidth="1"/>
    <col min="780" max="781" width="10.77734375" style="1600" customWidth="1"/>
    <col min="782" max="782" width="10" style="1600" customWidth="1"/>
    <col min="783" max="784" width="10.44140625" style="1600" customWidth="1"/>
    <col min="785" max="785" width="10" style="1600" customWidth="1"/>
    <col min="786" max="786" width="10.109375" style="1600" customWidth="1"/>
    <col min="787" max="787" width="10" style="1600" customWidth="1"/>
    <col min="788" max="788" width="26.109375" style="1600" customWidth="1"/>
    <col min="789" max="1024" width="8.88671875" style="1600"/>
    <col min="1025" max="1025" width="9.44140625" style="1600" customWidth="1"/>
    <col min="1026" max="1026" width="8.88671875" style="1600"/>
    <col min="1027" max="1029" width="12.88671875" style="1600" customWidth="1"/>
    <col min="1030" max="1030" width="47.44140625" style="1600" customWidth="1"/>
    <col min="1031" max="1031" width="13" style="1600" customWidth="1"/>
    <col min="1032" max="1033" width="8.88671875" style="1600"/>
    <col min="1034" max="1034" width="5.77734375" style="1600" customWidth="1"/>
    <col min="1035" max="1035" width="11.77734375" style="1600" customWidth="1"/>
    <col min="1036" max="1037" width="10.77734375" style="1600" customWidth="1"/>
    <col min="1038" max="1038" width="10" style="1600" customWidth="1"/>
    <col min="1039" max="1040" width="10.44140625" style="1600" customWidth="1"/>
    <col min="1041" max="1041" width="10" style="1600" customWidth="1"/>
    <col min="1042" max="1042" width="10.109375" style="1600" customWidth="1"/>
    <col min="1043" max="1043" width="10" style="1600" customWidth="1"/>
    <col min="1044" max="1044" width="26.109375" style="1600" customWidth="1"/>
    <col min="1045" max="1280" width="8.88671875" style="1600"/>
    <col min="1281" max="1281" width="9.44140625" style="1600" customWidth="1"/>
    <col min="1282" max="1282" width="8.88671875" style="1600"/>
    <col min="1283" max="1285" width="12.88671875" style="1600" customWidth="1"/>
    <col min="1286" max="1286" width="47.44140625" style="1600" customWidth="1"/>
    <col min="1287" max="1287" width="13" style="1600" customWidth="1"/>
    <col min="1288" max="1289" width="8.88671875" style="1600"/>
    <col min="1290" max="1290" width="5.77734375" style="1600" customWidth="1"/>
    <col min="1291" max="1291" width="11.77734375" style="1600" customWidth="1"/>
    <col min="1292" max="1293" width="10.77734375" style="1600" customWidth="1"/>
    <col min="1294" max="1294" width="10" style="1600" customWidth="1"/>
    <col min="1295" max="1296" width="10.44140625" style="1600" customWidth="1"/>
    <col min="1297" max="1297" width="10" style="1600" customWidth="1"/>
    <col min="1298" max="1298" width="10.109375" style="1600" customWidth="1"/>
    <col min="1299" max="1299" width="10" style="1600" customWidth="1"/>
    <col min="1300" max="1300" width="26.109375" style="1600" customWidth="1"/>
    <col min="1301" max="1536" width="8.88671875" style="1600"/>
    <col min="1537" max="1537" width="9.44140625" style="1600" customWidth="1"/>
    <col min="1538" max="1538" width="8.88671875" style="1600"/>
    <col min="1539" max="1541" width="12.88671875" style="1600" customWidth="1"/>
    <col min="1542" max="1542" width="47.44140625" style="1600" customWidth="1"/>
    <col min="1543" max="1543" width="13" style="1600" customWidth="1"/>
    <col min="1544" max="1545" width="8.88671875" style="1600"/>
    <col min="1546" max="1546" width="5.77734375" style="1600" customWidth="1"/>
    <col min="1547" max="1547" width="11.77734375" style="1600" customWidth="1"/>
    <col min="1548" max="1549" width="10.77734375" style="1600" customWidth="1"/>
    <col min="1550" max="1550" width="10" style="1600" customWidth="1"/>
    <col min="1551" max="1552" width="10.44140625" style="1600" customWidth="1"/>
    <col min="1553" max="1553" width="10" style="1600" customWidth="1"/>
    <col min="1554" max="1554" width="10.109375" style="1600" customWidth="1"/>
    <col min="1555" max="1555" width="10" style="1600" customWidth="1"/>
    <col min="1556" max="1556" width="26.109375" style="1600" customWidth="1"/>
    <col min="1557" max="1792" width="8.88671875" style="1600"/>
    <col min="1793" max="1793" width="9.44140625" style="1600" customWidth="1"/>
    <col min="1794" max="1794" width="8.88671875" style="1600"/>
    <col min="1795" max="1797" width="12.88671875" style="1600" customWidth="1"/>
    <col min="1798" max="1798" width="47.44140625" style="1600" customWidth="1"/>
    <col min="1799" max="1799" width="13" style="1600" customWidth="1"/>
    <col min="1800" max="1801" width="8.88671875" style="1600"/>
    <col min="1802" max="1802" width="5.77734375" style="1600" customWidth="1"/>
    <col min="1803" max="1803" width="11.77734375" style="1600" customWidth="1"/>
    <col min="1804" max="1805" width="10.77734375" style="1600" customWidth="1"/>
    <col min="1806" max="1806" width="10" style="1600" customWidth="1"/>
    <col min="1807" max="1808" width="10.44140625" style="1600" customWidth="1"/>
    <col min="1809" max="1809" width="10" style="1600" customWidth="1"/>
    <col min="1810" max="1810" width="10.109375" style="1600" customWidth="1"/>
    <col min="1811" max="1811" width="10" style="1600" customWidth="1"/>
    <col min="1812" max="1812" width="26.109375" style="1600" customWidth="1"/>
    <col min="1813" max="2048" width="8.88671875" style="1600"/>
    <col min="2049" max="2049" width="9.44140625" style="1600" customWidth="1"/>
    <col min="2050" max="2050" width="8.88671875" style="1600"/>
    <col min="2051" max="2053" width="12.88671875" style="1600" customWidth="1"/>
    <col min="2054" max="2054" width="47.44140625" style="1600" customWidth="1"/>
    <col min="2055" max="2055" width="13" style="1600" customWidth="1"/>
    <col min="2056" max="2057" width="8.88671875" style="1600"/>
    <col min="2058" max="2058" width="5.77734375" style="1600" customWidth="1"/>
    <col min="2059" max="2059" width="11.77734375" style="1600" customWidth="1"/>
    <col min="2060" max="2061" width="10.77734375" style="1600" customWidth="1"/>
    <col min="2062" max="2062" width="10" style="1600" customWidth="1"/>
    <col min="2063" max="2064" width="10.44140625" style="1600" customWidth="1"/>
    <col min="2065" max="2065" width="10" style="1600" customWidth="1"/>
    <col min="2066" max="2066" width="10.109375" style="1600" customWidth="1"/>
    <col min="2067" max="2067" width="10" style="1600" customWidth="1"/>
    <col min="2068" max="2068" width="26.109375" style="1600" customWidth="1"/>
    <col min="2069" max="2304" width="8.88671875" style="1600"/>
    <col min="2305" max="2305" width="9.44140625" style="1600" customWidth="1"/>
    <col min="2306" max="2306" width="8.88671875" style="1600"/>
    <col min="2307" max="2309" width="12.88671875" style="1600" customWidth="1"/>
    <col min="2310" max="2310" width="47.44140625" style="1600" customWidth="1"/>
    <col min="2311" max="2311" width="13" style="1600" customWidth="1"/>
    <col min="2312" max="2313" width="8.88671875" style="1600"/>
    <col min="2314" max="2314" width="5.77734375" style="1600" customWidth="1"/>
    <col min="2315" max="2315" width="11.77734375" style="1600" customWidth="1"/>
    <col min="2316" max="2317" width="10.77734375" style="1600" customWidth="1"/>
    <col min="2318" max="2318" width="10" style="1600" customWidth="1"/>
    <col min="2319" max="2320" width="10.44140625" style="1600" customWidth="1"/>
    <col min="2321" max="2321" width="10" style="1600" customWidth="1"/>
    <col min="2322" max="2322" width="10.109375" style="1600" customWidth="1"/>
    <col min="2323" max="2323" width="10" style="1600" customWidth="1"/>
    <col min="2324" max="2324" width="26.109375" style="1600" customWidth="1"/>
    <col min="2325" max="2560" width="8.88671875" style="1600"/>
    <col min="2561" max="2561" width="9.44140625" style="1600" customWidth="1"/>
    <col min="2562" max="2562" width="8.88671875" style="1600"/>
    <col min="2563" max="2565" width="12.88671875" style="1600" customWidth="1"/>
    <col min="2566" max="2566" width="47.44140625" style="1600" customWidth="1"/>
    <col min="2567" max="2567" width="13" style="1600" customWidth="1"/>
    <col min="2568" max="2569" width="8.88671875" style="1600"/>
    <col min="2570" max="2570" width="5.77734375" style="1600" customWidth="1"/>
    <col min="2571" max="2571" width="11.77734375" style="1600" customWidth="1"/>
    <col min="2572" max="2573" width="10.77734375" style="1600" customWidth="1"/>
    <col min="2574" max="2574" width="10" style="1600" customWidth="1"/>
    <col min="2575" max="2576" width="10.44140625" style="1600" customWidth="1"/>
    <col min="2577" max="2577" width="10" style="1600" customWidth="1"/>
    <col min="2578" max="2578" width="10.109375" style="1600" customWidth="1"/>
    <col min="2579" max="2579" width="10" style="1600" customWidth="1"/>
    <col min="2580" max="2580" width="26.109375" style="1600" customWidth="1"/>
    <col min="2581" max="2816" width="8.88671875" style="1600"/>
    <col min="2817" max="2817" width="9.44140625" style="1600" customWidth="1"/>
    <col min="2818" max="2818" width="8.88671875" style="1600"/>
    <col min="2819" max="2821" width="12.88671875" style="1600" customWidth="1"/>
    <col min="2822" max="2822" width="47.44140625" style="1600" customWidth="1"/>
    <col min="2823" max="2823" width="13" style="1600" customWidth="1"/>
    <col min="2824" max="2825" width="8.88671875" style="1600"/>
    <col min="2826" max="2826" width="5.77734375" style="1600" customWidth="1"/>
    <col min="2827" max="2827" width="11.77734375" style="1600" customWidth="1"/>
    <col min="2828" max="2829" width="10.77734375" style="1600" customWidth="1"/>
    <col min="2830" max="2830" width="10" style="1600" customWidth="1"/>
    <col min="2831" max="2832" width="10.44140625" style="1600" customWidth="1"/>
    <col min="2833" max="2833" width="10" style="1600" customWidth="1"/>
    <col min="2834" max="2834" width="10.109375" style="1600" customWidth="1"/>
    <col min="2835" max="2835" width="10" style="1600" customWidth="1"/>
    <col min="2836" max="2836" width="26.109375" style="1600" customWidth="1"/>
    <col min="2837" max="3072" width="8.88671875" style="1600"/>
    <col min="3073" max="3073" width="9.44140625" style="1600" customWidth="1"/>
    <col min="3074" max="3074" width="8.88671875" style="1600"/>
    <col min="3075" max="3077" width="12.88671875" style="1600" customWidth="1"/>
    <col min="3078" max="3078" width="47.44140625" style="1600" customWidth="1"/>
    <col min="3079" max="3079" width="13" style="1600" customWidth="1"/>
    <col min="3080" max="3081" width="8.88671875" style="1600"/>
    <col min="3082" max="3082" width="5.77734375" style="1600" customWidth="1"/>
    <col min="3083" max="3083" width="11.77734375" style="1600" customWidth="1"/>
    <col min="3084" max="3085" width="10.77734375" style="1600" customWidth="1"/>
    <col min="3086" max="3086" width="10" style="1600" customWidth="1"/>
    <col min="3087" max="3088" width="10.44140625" style="1600" customWidth="1"/>
    <col min="3089" max="3089" width="10" style="1600" customWidth="1"/>
    <col min="3090" max="3090" width="10.109375" style="1600" customWidth="1"/>
    <col min="3091" max="3091" width="10" style="1600" customWidth="1"/>
    <col min="3092" max="3092" width="26.109375" style="1600" customWidth="1"/>
    <col min="3093" max="3328" width="8.88671875" style="1600"/>
    <col min="3329" max="3329" width="9.44140625" style="1600" customWidth="1"/>
    <col min="3330" max="3330" width="8.88671875" style="1600"/>
    <col min="3331" max="3333" width="12.88671875" style="1600" customWidth="1"/>
    <col min="3334" max="3334" width="47.44140625" style="1600" customWidth="1"/>
    <col min="3335" max="3335" width="13" style="1600" customWidth="1"/>
    <col min="3336" max="3337" width="8.88671875" style="1600"/>
    <col min="3338" max="3338" width="5.77734375" style="1600" customWidth="1"/>
    <col min="3339" max="3339" width="11.77734375" style="1600" customWidth="1"/>
    <col min="3340" max="3341" width="10.77734375" style="1600" customWidth="1"/>
    <col min="3342" max="3342" width="10" style="1600" customWidth="1"/>
    <col min="3343" max="3344" width="10.44140625" style="1600" customWidth="1"/>
    <col min="3345" max="3345" width="10" style="1600" customWidth="1"/>
    <col min="3346" max="3346" width="10.109375" style="1600" customWidth="1"/>
    <col min="3347" max="3347" width="10" style="1600" customWidth="1"/>
    <col min="3348" max="3348" width="26.109375" style="1600" customWidth="1"/>
    <col min="3349" max="3584" width="8.88671875" style="1600"/>
    <col min="3585" max="3585" width="9.44140625" style="1600" customWidth="1"/>
    <col min="3586" max="3586" width="8.88671875" style="1600"/>
    <col min="3587" max="3589" width="12.88671875" style="1600" customWidth="1"/>
    <col min="3590" max="3590" width="47.44140625" style="1600" customWidth="1"/>
    <col min="3591" max="3591" width="13" style="1600" customWidth="1"/>
    <col min="3592" max="3593" width="8.88671875" style="1600"/>
    <col min="3594" max="3594" width="5.77734375" style="1600" customWidth="1"/>
    <col min="3595" max="3595" width="11.77734375" style="1600" customWidth="1"/>
    <col min="3596" max="3597" width="10.77734375" style="1600" customWidth="1"/>
    <col min="3598" max="3598" width="10" style="1600" customWidth="1"/>
    <col min="3599" max="3600" width="10.44140625" style="1600" customWidth="1"/>
    <col min="3601" max="3601" width="10" style="1600" customWidth="1"/>
    <col min="3602" max="3602" width="10.109375" style="1600" customWidth="1"/>
    <col min="3603" max="3603" width="10" style="1600" customWidth="1"/>
    <col min="3604" max="3604" width="26.109375" style="1600" customWidth="1"/>
    <col min="3605" max="3840" width="8.88671875" style="1600"/>
    <col min="3841" max="3841" width="9.44140625" style="1600" customWidth="1"/>
    <col min="3842" max="3842" width="8.88671875" style="1600"/>
    <col min="3843" max="3845" width="12.88671875" style="1600" customWidth="1"/>
    <col min="3846" max="3846" width="47.44140625" style="1600" customWidth="1"/>
    <col min="3847" max="3847" width="13" style="1600" customWidth="1"/>
    <col min="3848" max="3849" width="8.88671875" style="1600"/>
    <col min="3850" max="3850" width="5.77734375" style="1600" customWidth="1"/>
    <col min="3851" max="3851" width="11.77734375" style="1600" customWidth="1"/>
    <col min="3852" max="3853" width="10.77734375" style="1600" customWidth="1"/>
    <col min="3854" max="3854" width="10" style="1600" customWidth="1"/>
    <col min="3855" max="3856" width="10.44140625" style="1600" customWidth="1"/>
    <col min="3857" max="3857" width="10" style="1600" customWidth="1"/>
    <col min="3858" max="3858" width="10.109375" style="1600" customWidth="1"/>
    <col min="3859" max="3859" width="10" style="1600" customWidth="1"/>
    <col min="3860" max="3860" width="26.109375" style="1600" customWidth="1"/>
    <col min="3861" max="4096" width="8.88671875" style="1600"/>
    <col min="4097" max="4097" width="9.44140625" style="1600" customWidth="1"/>
    <col min="4098" max="4098" width="8.88671875" style="1600"/>
    <col min="4099" max="4101" width="12.88671875" style="1600" customWidth="1"/>
    <col min="4102" max="4102" width="47.44140625" style="1600" customWidth="1"/>
    <col min="4103" max="4103" width="13" style="1600" customWidth="1"/>
    <col min="4104" max="4105" width="8.88671875" style="1600"/>
    <col min="4106" max="4106" width="5.77734375" style="1600" customWidth="1"/>
    <col min="4107" max="4107" width="11.77734375" style="1600" customWidth="1"/>
    <col min="4108" max="4109" width="10.77734375" style="1600" customWidth="1"/>
    <col min="4110" max="4110" width="10" style="1600" customWidth="1"/>
    <col min="4111" max="4112" width="10.44140625" style="1600" customWidth="1"/>
    <col min="4113" max="4113" width="10" style="1600" customWidth="1"/>
    <col min="4114" max="4114" width="10.109375" style="1600" customWidth="1"/>
    <col min="4115" max="4115" width="10" style="1600" customWidth="1"/>
    <col min="4116" max="4116" width="26.109375" style="1600" customWidth="1"/>
    <col min="4117" max="4352" width="8.88671875" style="1600"/>
    <col min="4353" max="4353" width="9.44140625" style="1600" customWidth="1"/>
    <col min="4354" max="4354" width="8.88671875" style="1600"/>
    <col min="4355" max="4357" width="12.88671875" style="1600" customWidth="1"/>
    <col min="4358" max="4358" width="47.44140625" style="1600" customWidth="1"/>
    <col min="4359" max="4359" width="13" style="1600" customWidth="1"/>
    <col min="4360" max="4361" width="8.88671875" style="1600"/>
    <col min="4362" max="4362" width="5.77734375" style="1600" customWidth="1"/>
    <col min="4363" max="4363" width="11.77734375" style="1600" customWidth="1"/>
    <col min="4364" max="4365" width="10.77734375" style="1600" customWidth="1"/>
    <col min="4366" max="4366" width="10" style="1600" customWidth="1"/>
    <col min="4367" max="4368" width="10.44140625" style="1600" customWidth="1"/>
    <col min="4369" max="4369" width="10" style="1600" customWidth="1"/>
    <col min="4370" max="4370" width="10.109375" style="1600" customWidth="1"/>
    <col min="4371" max="4371" width="10" style="1600" customWidth="1"/>
    <col min="4372" max="4372" width="26.109375" style="1600" customWidth="1"/>
    <col min="4373" max="4608" width="8.88671875" style="1600"/>
    <col min="4609" max="4609" width="9.44140625" style="1600" customWidth="1"/>
    <col min="4610" max="4610" width="8.88671875" style="1600"/>
    <col min="4611" max="4613" width="12.88671875" style="1600" customWidth="1"/>
    <col min="4614" max="4614" width="47.44140625" style="1600" customWidth="1"/>
    <col min="4615" max="4615" width="13" style="1600" customWidth="1"/>
    <col min="4616" max="4617" width="8.88671875" style="1600"/>
    <col min="4618" max="4618" width="5.77734375" style="1600" customWidth="1"/>
    <col min="4619" max="4619" width="11.77734375" style="1600" customWidth="1"/>
    <col min="4620" max="4621" width="10.77734375" style="1600" customWidth="1"/>
    <col min="4622" max="4622" width="10" style="1600" customWidth="1"/>
    <col min="4623" max="4624" width="10.44140625" style="1600" customWidth="1"/>
    <col min="4625" max="4625" width="10" style="1600" customWidth="1"/>
    <col min="4626" max="4626" width="10.109375" style="1600" customWidth="1"/>
    <col min="4627" max="4627" width="10" style="1600" customWidth="1"/>
    <col min="4628" max="4628" width="26.109375" style="1600" customWidth="1"/>
    <col min="4629" max="4864" width="8.88671875" style="1600"/>
    <col min="4865" max="4865" width="9.44140625" style="1600" customWidth="1"/>
    <col min="4866" max="4866" width="8.88671875" style="1600"/>
    <col min="4867" max="4869" width="12.88671875" style="1600" customWidth="1"/>
    <col min="4870" max="4870" width="47.44140625" style="1600" customWidth="1"/>
    <col min="4871" max="4871" width="13" style="1600" customWidth="1"/>
    <col min="4872" max="4873" width="8.88671875" style="1600"/>
    <col min="4874" max="4874" width="5.77734375" style="1600" customWidth="1"/>
    <col min="4875" max="4875" width="11.77734375" style="1600" customWidth="1"/>
    <col min="4876" max="4877" width="10.77734375" style="1600" customWidth="1"/>
    <col min="4878" max="4878" width="10" style="1600" customWidth="1"/>
    <col min="4879" max="4880" width="10.44140625" style="1600" customWidth="1"/>
    <col min="4881" max="4881" width="10" style="1600" customWidth="1"/>
    <col min="4882" max="4882" width="10.109375" style="1600" customWidth="1"/>
    <col min="4883" max="4883" width="10" style="1600" customWidth="1"/>
    <col min="4884" max="4884" width="26.109375" style="1600" customWidth="1"/>
    <col min="4885" max="5120" width="8.88671875" style="1600"/>
    <col min="5121" max="5121" width="9.44140625" style="1600" customWidth="1"/>
    <col min="5122" max="5122" width="8.88671875" style="1600"/>
    <col min="5123" max="5125" width="12.88671875" style="1600" customWidth="1"/>
    <col min="5126" max="5126" width="47.44140625" style="1600" customWidth="1"/>
    <col min="5127" max="5127" width="13" style="1600" customWidth="1"/>
    <col min="5128" max="5129" width="8.88671875" style="1600"/>
    <col min="5130" max="5130" width="5.77734375" style="1600" customWidth="1"/>
    <col min="5131" max="5131" width="11.77734375" style="1600" customWidth="1"/>
    <col min="5132" max="5133" width="10.77734375" style="1600" customWidth="1"/>
    <col min="5134" max="5134" width="10" style="1600" customWidth="1"/>
    <col min="5135" max="5136" width="10.44140625" style="1600" customWidth="1"/>
    <col min="5137" max="5137" width="10" style="1600" customWidth="1"/>
    <col min="5138" max="5138" width="10.109375" style="1600" customWidth="1"/>
    <col min="5139" max="5139" width="10" style="1600" customWidth="1"/>
    <col min="5140" max="5140" width="26.109375" style="1600" customWidth="1"/>
    <col min="5141" max="5376" width="8.88671875" style="1600"/>
    <col min="5377" max="5377" width="9.44140625" style="1600" customWidth="1"/>
    <col min="5378" max="5378" width="8.88671875" style="1600"/>
    <col min="5379" max="5381" width="12.88671875" style="1600" customWidth="1"/>
    <col min="5382" max="5382" width="47.44140625" style="1600" customWidth="1"/>
    <col min="5383" max="5383" width="13" style="1600" customWidth="1"/>
    <col min="5384" max="5385" width="8.88671875" style="1600"/>
    <col min="5386" max="5386" width="5.77734375" style="1600" customWidth="1"/>
    <col min="5387" max="5387" width="11.77734375" style="1600" customWidth="1"/>
    <col min="5388" max="5389" width="10.77734375" style="1600" customWidth="1"/>
    <col min="5390" max="5390" width="10" style="1600" customWidth="1"/>
    <col min="5391" max="5392" width="10.44140625" style="1600" customWidth="1"/>
    <col min="5393" max="5393" width="10" style="1600" customWidth="1"/>
    <col min="5394" max="5394" width="10.109375" style="1600" customWidth="1"/>
    <col min="5395" max="5395" width="10" style="1600" customWidth="1"/>
    <col min="5396" max="5396" width="26.109375" style="1600" customWidth="1"/>
    <col min="5397" max="5632" width="8.88671875" style="1600"/>
    <col min="5633" max="5633" width="9.44140625" style="1600" customWidth="1"/>
    <col min="5634" max="5634" width="8.88671875" style="1600"/>
    <col min="5635" max="5637" width="12.88671875" style="1600" customWidth="1"/>
    <col min="5638" max="5638" width="47.44140625" style="1600" customWidth="1"/>
    <col min="5639" max="5639" width="13" style="1600" customWidth="1"/>
    <col min="5640" max="5641" width="8.88671875" style="1600"/>
    <col min="5642" max="5642" width="5.77734375" style="1600" customWidth="1"/>
    <col min="5643" max="5643" width="11.77734375" style="1600" customWidth="1"/>
    <col min="5644" max="5645" width="10.77734375" style="1600" customWidth="1"/>
    <col min="5646" max="5646" width="10" style="1600" customWidth="1"/>
    <col min="5647" max="5648" width="10.44140625" style="1600" customWidth="1"/>
    <col min="5649" max="5649" width="10" style="1600" customWidth="1"/>
    <col min="5650" max="5650" width="10.109375" style="1600" customWidth="1"/>
    <col min="5651" max="5651" width="10" style="1600" customWidth="1"/>
    <col min="5652" max="5652" width="26.109375" style="1600" customWidth="1"/>
    <col min="5653" max="5888" width="8.88671875" style="1600"/>
    <col min="5889" max="5889" width="9.44140625" style="1600" customWidth="1"/>
    <col min="5890" max="5890" width="8.88671875" style="1600"/>
    <col min="5891" max="5893" width="12.88671875" style="1600" customWidth="1"/>
    <col min="5894" max="5894" width="47.44140625" style="1600" customWidth="1"/>
    <col min="5895" max="5895" width="13" style="1600" customWidth="1"/>
    <col min="5896" max="5897" width="8.88671875" style="1600"/>
    <col min="5898" max="5898" width="5.77734375" style="1600" customWidth="1"/>
    <col min="5899" max="5899" width="11.77734375" style="1600" customWidth="1"/>
    <col min="5900" max="5901" width="10.77734375" style="1600" customWidth="1"/>
    <col min="5902" max="5902" width="10" style="1600" customWidth="1"/>
    <col min="5903" max="5904" width="10.44140625" style="1600" customWidth="1"/>
    <col min="5905" max="5905" width="10" style="1600" customWidth="1"/>
    <col min="5906" max="5906" width="10.109375" style="1600" customWidth="1"/>
    <col min="5907" max="5907" width="10" style="1600" customWidth="1"/>
    <col min="5908" max="5908" width="26.109375" style="1600" customWidth="1"/>
    <col min="5909" max="6144" width="8.88671875" style="1600"/>
    <col min="6145" max="6145" width="9.44140625" style="1600" customWidth="1"/>
    <col min="6146" max="6146" width="8.88671875" style="1600"/>
    <col min="6147" max="6149" width="12.88671875" style="1600" customWidth="1"/>
    <col min="6150" max="6150" width="47.44140625" style="1600" customWidth="1"/>
    <col min="6151" max="6151" width="13" style="1600" customWidth="1"/>
    <col min="6152" max="6153" width="8.88671875" style="1600"/>
    <col min="6154" max="6154" width="5.77734375" style="1600" customWidth="1"/>
    <col min="6155" max="6155" width="11.77734375" style="1600" customWidth="1"/>
    <col min="6156" max="6157" width="10.77734375" style="1600" customWidth="1"/>
    <col min="6158" max="6158" width="10" style="1600" customWidth="1"/>
    <col min="6159" max="6160" width="10.44140625" style="1600" customWidth="1"/>
    <col min="6161" max="6161" width="10" style="1600" customWidth="1"/>
    <col min="6162" max="6162" width="10.109375" style="1600" customWidth="1"/>
    <col min="6163" max="6163" width="10" style="1600" customWidth="1"/>
    <col min="6164" max="6164" width="26.109375" style="1600" customWidth="1"/>
    <col min="6165" max="6400" width="8.88671875" style="1600"/>
    <col min="6401" max="6401" width="9.44140625" style="1600" customWidth="1"/>
    <col min="6402" max="6402" width="8.88671875" style="1600"/>
    <col min="6403" max="6405" width="12.88671875" style="1600" customWidth="1"/>
    <col min="6406" max="6406" width="47.44140625" style="1600" customWidth="1"/>
    <col min="6407" max="6407" width="13" style="1600" customWidth="1"/>
    <col min="6408" max="6409" width="8.88671875" style="1600"/>
    <col min="6410" max="6410" width="5.77734375" style="1600" customWidth="1"/>
    <col min="6411" max="6411" width="11.77734375" style="1600" customWidth="1"/>
    <col min="6412" max="6413" width="10.77734375" style="1600" customWidth="1"/>
    <col min="6414" max="6414" width="10" style="1600" customWidth="1"/>
    <col min="6415" max="6416" width="10.44140625" style="1600" customWidth="1"/>
    <col min="6417" max="6417" width="10" style="1600" customWidth="1"/>
    <col min="6418" max="6418" width="10.109375" style="1600" customWidth="1"/>
    <col min="6419" max="6419" width="10" style="1600" customWidth="1"/>
    <col min="6420" max="6420" width="26.109375" style="1600" customWidth="1"/>
    <col min="6421" max="6656" width="8.88671875" style="1600"/>
    <col min="6657" max="6657" width="9.44140625" style="1600" customWidth="1"/>
    <col min="6658" max="6658" width="8.88671875" style="1600"/>
    <col min="6659" max="6661" width="12.88671875" style="1600" customWidth="1"/>
    <col min="6662" max="6662" width="47.44140625" style="1600" customWidth="1"/>
    <col min="6663" max="6663" width="13" style="1600" customWidth="1"/>
    <col min="6664" max="6665" width="8.88671875" style="1600"/>
    <col min="6666" max="6666" width="5.77734375" style="1600" customWidth="1"/>
    <col min="6667" max="6667" width="11.77734375" style="1600" customWidth="1"/>
    <col min="6668" max="6669" width="10.77734375" style="1600" customWidth="1"/>
    <col min="6670" max="6670" width="10" style="1600" customWidth="1"/>
    <col min="6671" max="6672" width="10.44140625" style="1600" customWidth="1"/>
    <col min="6673" max="6673" width="10" style="1600" customWidth="1"/>
    <col min="6674" max="6674" width="10.109375" style="1600" customWidth="1"/>
    <col min="6675" max="6675" width="10" style="1600" customWidth="1"/>
    <col min="6676" max="6676" width="26.109375" style="1600" customWidth="1"/>
    <col min="6677" max="6912" width="8.88671875" style="1600"/>
    <col min="6913" max="6913" width="9.44140625" style="1600" customWidth="1"/>
    <col min="6914" max="6914" width="8.88671875" style="1600"/>
    <col min="6915" max="6917" width="12.88671875" style="1600" customWidth="1"/>
    <col min="6918" max="6918" width="47.44140625" style="1600" customWidth="1"/>
    <col min="6919" max="6919" width="13" style="1600" customWidth="1"/>
    <col min="6920" max="6921" width="8.88671875" style="1600"/>
    <col min="6922" max="6922" width="5.77734375" style="1600" customWidth="1"/>
    <col min="6923" max="6923" width="11.77734375" style="1600" customWidth="1"/>
    <col min="6924" max="6925" width="10.77734375" style="1600" customWidth="1"/>
    <col min="6926" max="6926" width="10" style="1600" customWidth="1"/>
    <col min="6927" max="6928" width="10.44140625" style="1600" customWidth="1"/>
    <col min="6929" max="6929" width="10" style="1600" customWidth="1"/>
    <col min="6930" max="6930" width="10.109375" style="1600" customWidth="1"/>
    <col min="6931" max="6931" width="10" style="1600" customWidth="1"/>
    <col min="6932" max="6932" width="26.109375" style="1600" customWidth="1"/>
    <col min="6933" max="7168" width="8.88671875" style="1600"/>
    <col min="7169" max="7169" width="9.44140625" style="1600" customWidth="1"/>
    <col min="7170" max="7170" width="8.88671875" style="1600"/>
    <col min="7171" max="7173" width="12.88671875" style="1600" customWidth="1"/>
    <col min="7174" max="7174" width="47.44140625" style="1600" customWidth="1"/>
    <col min="7175" max="7175" width="13" style="1600" customWidth="1"/>
    <col min="7176" max="7177" width="8.88671875" style="1600"/>
    <col min="7178" max="7178" width="5.77734375" style="1600" customWidth="1"/>
    <col min="7179" max="7179" width="11.77734375" style="1600" customWidth="1"/>
    <col min="7180" max="7181" width="10.77734375" style="1600" customWidth="1"/>
    <col min="7182" max="7182" width="10" style="1600" customWidth="1"/>
    <col min="7183" max="7184" width="10.44140625" style="1600" customWidth="1"/>
    <col min="7185" max="7185" width="10" style="1600" customWidth="1"/>
    <col min="7186" max="7186" width="10.109375" style="1600" customWidth="1"/>
    <col min="7187" max="7187" width="10" style="1600" customWidth="1"/>
    <col min="7188" max="7188" width="26.109375" style="1600" customWidth="1"/>
    <col min="7189" max="7424" width="8.88671875" style="1600"/>
    <col min="7425" max="7425" width="9.44140625" style="1600" customWidth="1"/>
    <col min="7426" max="7426" width="8.88671875" style="1600"/>
    <col min="7427" max="7429" width="12.88671875" style="1600" customWidth="1"/>
    <col min="7430" max="7430" width="47.44140625" style="1600" customWidth="1"/>
    <col min="7431" max="7431" width="13" style="1600" customWidth="1"/>
    <col min="7432" max="7433" width="8.88671875" style="1600"/>
    <col min="7434" max="7434" width="5.77734375" style="1600" customWidth="1"/>
    <col min="7435" max="7435" width="11.77734375" style="1600" customWidth="1"/>
    <col min="7436" max="7437" width="10.77734375" style="1600" customWidth="1"/>
    <col min="7438" max="7438" width="10" style="1600" customWidth="1"/>
    <col min="7439" max="7440" width="10.44140625" style="1600" customWidth="1"/>
    <col min="7441" max="7441" width="10" style="1600" customWidth="1"/>
    <col min="7442" max="7442" width="10.109375" style="1600" customWidth="1"/>
    <col min="7443" max="7443" width="10" style="1600" customWidth="1"/>
    <col min="7444" max="7444" width="26.109375" style="1600" customWidth="1"/>
    <col min="7445" max="7680" width="8.88671875" style="1600"/>
    <col min="7681" max="7681" width="9.44140625" style="1600" customWidth="1"/>
    <col min="7682" max="7682" width="8.88671875" style="1600"/>
    <col min="7683" max="7685" width="12.88671875" style="1600" customWidth="1"/>
    <col min="7686" max="7686" width="47.44140625" style="1600" customWidth="1"/>
    <col min="7687" max="7687" width="13" style="1600" customWidth="1"/>
    <col min="7688" max="7689" width="8.88671875" style="1600"/>
    <col min="7690" max="7690" width="5.77734375" style="1600" customWidth="1"/>
    <col min="7691" max="7691" width="11.77734375" style="1600" customWidth="1"/>
    <col min="7692" max="7693" width="10.77734375" style="1600" customWidth="1"/>
    <col min="7694" max="7694" width="10" style="1600" customWidth="1"/>
    <col min="7695" max="7696" width="10.44140625" style="1600" customWidth="1"/>
    <col min="7697" max="7697" width="10" style="1600" customWidth="1"/>
    <col min="7698" max="7698" width="10.109375" style="1600" customWidth="1"/>
    <col min="7699" max="7699" width="10" style="1600" customWidth="1"/>
    <col min="7700" max="7700" width="26.109375" style="1600" customWidth="1"/>
    <col min="7701" max="7936" width="8.88671875" style="1600"/>
    <col min="7937" max="7937" width="9.44140625" style="1600" customWidth="1"/>
    <col min="7938" max="7938" width="8.88671875" style="1600"/>
    <col min="7939" max="7941" width="12.88671875" style="1600" customWidth="1"/>
    <col min="7942" max="7942" width="47.44140625" style="1600" customWidth="1"/>
    <col min="7943" max="7943" width="13" style="1600" customWidth="1"/>
    <col min="7944" max="7945" width="8.88671875" style="1600"/>
    <col min="7946" max="7946" width="5.77734375" style="1600" customWidth="1"/>
    <col min="7947" max="7947" width="11.77734375" style="1600" customWidth="1"/>
    <col min="7948" max="7949" width="10.77734375" style="1600" customWidth="1"/>
    <col min="7950" max="7950" width="10" style="1600" customWidth="1"/>
    <col min="7951" max="7952" width="10.44140625" style="1600" customWidth="1"/>
    <col min="7953" max="7953" width="10" style="1600" customWidth="1"/>
    <col min="7954" max="7954" width="10.109375" style="1600" customWidth="1"/>
    <col min="7955" max="7955" width="10" style="1600" customWidth="1"/>
    <col min="7956" max="7956" width="26.109375" style="1600" customWidth="1"/>
    <col min="7957" max="8192" width="8.88671875" style="1600"/>
    <col min="8193" max="8193" width="9.44140625" style="1600" customWidth="1"/>
    <col min="8194" max="8194" width="8.88671875" style="1600"/>
    <col min="8195" max="8197" width="12.88671875" style="1600" customWidth="1"/>
    <col min="8198" max="8198" width="47.44140625" style="1600" customWidth="1"/>
    <col min="8199" max="8199" width="13" style="1600" customWidth="1"/>
    <col min="8200" max="8201" width="8.88671875" style="1600"/>
    <col min="8202" max="8202" width="5.77734375" style="1600" customWidth="1"/>
    <col min="8203" max="8203" width="11.77734375" style="1600" customWidth="1"/>
    <col min="8204" max="8205" width="10.77734375" style="1600" customWidth="1"/>
    <col min="8206" max="8206" width="10" style="1600" customWidth="1"/>
    <col min="8207" max="8208" width="10.44140625" style="1600" customWidth="1"/>
    <col min="8209" max="8209" width="10" style="1600" customWidth="1"/>
    <col min="8210" max="8210" width="10.109375" style="1600" customWidth="1"/>
    <col min="8211" max="8211" width="10" style="1600" customWidth="1"/>
    <col min="8212" max="8212" width="26.109375" style="1600" customWidth="1"/>
    <col min="8213" max="8448" width="8.88671875" style="1600"/>
    <col min="8449" max="8449" width="9.44140625" style="1600" customWidth="1"/>
    <col min="8450" max="8450" width="8.88671875" style="1600"/>
    <col min="8451" max="8453" width="12.88671875" style="1600" customWidth="1"/>
    <col min="8454" max="8454" width="47.44140625" style="1600" customWidth="1"/>
    <col min="8455" max="8455" width="13" style="1600" customWidth="1"/>
    <col min="8456" max="8457" width="8.88671875" style="1600"/>
    <col min="8458" max="8458" width="5.77734375" style="1600" customWidth="1"/>
    <col min="8459" max="8459" width="11.77734375" style="1600" customWidth="1"/>
    <col min="8460" max="8461" width="10.77734375" style="1600" customWidth="1"/>
    <col min="8462" max="8462" width="10" style="1600" customWidth="1"/>
    <col min="8463" max="8464" width="10.44140625" style="1600" customWidth="1"/>
    <col min="8465" max="8465" width="10" style="1600" customWidth="1"/>
    <col min="8466" max="8466" width="10.109375" style="1600" customWidth="1"/>
    <col min="8467" max="8467" width="10" style="1600" customWidth="1"/>
    <col min="8468" max="8468" width="26.109375" style="1600" customWidth="1"/>
    <col min="8469" max="8704" width="8.88671875" style="1600"/>
    <col min="8705" max="8705" width="9.44140625" style="1600" customWidth="1"/>
    <col min="8706" max="8706" width="8.88671875" style="1600"/>
    <col min="8707" max="8709" width="12.88671875" style="1600" customWidth="1"/>
    <col min="8710" max="8710" width="47.44140625" style="1600" customWidth="1"/>
    <col min="8711" max="8711" width="13" style="1600" customWidth="1"/>
    <col min="8712" max="8713" width="8.88671875" style="1600"/>
    <col min="8714" max="8714" width="5.77734375" style="1600" customWidth="1"/>
    <col min="8715" max="8715" width="11.77734375" style="1600" customWidth="1"/>
    <col min="8716" max="8717" width="10.77734375" style="1600" customWidth="1"/>
    <col min="8718" max="8718" width="10" style="1600" customWidth="1"/>
    <col min="8719" max="8720" width="10.44140625" style="1600" customWidth="1"/>
    <col min="8721" max="8721" width="10" style="1600" customWidth="1"/>
    <col min="8722" max="8722" width="10.109375" style="1600" customWidth="1"/>
    <col min="8723" max="8723" width="10" style="1600" customWidth="1"/>
    <col min="8724" max="8724" width="26.109375" style="1600" customWidth="1"/>
    <col min="8725" max="8960" width="8.88671875" style="1600"/>
    <col min="8961" max="8961" width="9.44140625" style="1600" customWidth="1"/>
    <col min="8962" max="8962" width="8.88671875" style="1600"/>
    <col min="8963" max="8965" width="12.88671875" style="1600" customWidth="1"/>
    <col min="8966" max="8966" width="47.44140625" style="1600" customWidth="1"/>
    <col min="8967" max="8967" width="13" style="1600" customWidth="1"/>
    <col min="8968" max="8969" width="8.88671875" style="1600"/>
    <col min="8970" max="8970" width="5.77734375" style="1600" customWidth="1"/>
    <col min="8971" max="8971" width="11.77734375" style="1600" customWidth="1"/>
    <col min="8972" max="8973" width="10.77734375" style="1600" customWidth="1"/>
    <col min="8974" max="8974" width="10" style="1600" customWidth="1"/>
    <col min="8975" max="8976" width="10.44140625" style="1600" customWidth="1"/>
    <col min="8977" max="8977" width="10" style="1600" customWidth="1"/>
    <col min="8978" max="8978" width="10.109375" style="1600" customWidth="1"/>
    <col min="8979" max="8979" width="10" style="1600" customWidth="1"/>
    <col min="8980" max="8980" width="26.109375" style="1600" customWidth="1"/>
    <col min="8981" max="9216" width="8.88671875" style="1600"/>
    <col min="9217" max="9217" width="9.44140625" style="1600" customWidth="1"/>
    <col min="9218" max="9218" width="8.88671875" style="1600"/>
    <col min="9219" max="9221" width="12.88671875" style="1600" customWidth="1"/>
    <col min="9222" max="9222" width="47.44140625" style="1600" customWidth="1"/>
    <col min="9223" max="9223" width="13" style="1600" customWidth="1"/>
    <col min="9224" max="9225" width="8.88671875" style="1600"/>
    <col min="9226" max="9226" width="5.77734375" style="1600" customWidth="1"/>
    <col min="9227" max="9227" width="11.77734375" style="1600" customWidth="1"/>
    <col min="9228" max="9229" width="10.77734375" style="1600" customWidth="1"/>
    <col min="9230" max="9230" width="10" style="1600" customWidth="1"/>
    <col min="9231" max="9232" width="10.44140625" style="1600" customWidth="1"/>
    <col min="9233" max="9233" width="10" style="1600" customWidth="1"/>
    <col min="9234" max="9234" width="10.109375" style="1600" customWidth="1"/>
    <col min="9235" max="9235" width="10" style="1600" customWidth="1"/>
    <col min="9236" max="9236" width="26.109375" style="1600" customWidth="1"/>
    <col min="9237" max="9472" width="8.88671875" style="1600"/>
    <col min="9473" max="9473" width="9.44140625" style="1600" customWidth="1"/>
    <col min="9474" max="9474" width="8.88671875" style="1600"/>
    <col min="9475" max="9477" width="12.88671875" style="1600" customWidth="1"/>
    <col min="9478" max="9478" width="47.44140625" style="1600" customWidth="1"/>
    <col min="9479" max="9479" width="13" style="1600" customWidth="1"/>
    <col min="9480" max="9481" width="8.88671875" style="1600"/>
    <col min="9482" max="9482" width="5.77734375" style="1600" customWidth="1"/>
    <col min="9483" max="9483" width="11.77734375" style="1600" customWidth="1"/>
    <col min="9484" max="9485" width="10.77734375" style="1600" customWidth="1"/>
    <col min="9486" max="9486" width="10" style="1600" customWidth="1"/>
    <col min="9487" max="9488" width="10.44140625" style="1600" customWidth="1"/>
    <col min="9489" max="9489" width="10" style="1600" customWidth="1"/>
    <col min="9490" max="9490" width="10.109375" style="1600" customWidth="1"/>
    <col min="9491" max="9491" width="10" style="1600" customWidth="1"/>
    <col min="9492" max="9492" width="26.109375" style="1600" customWidth="1"/>
    <col min="9493" max="9728" width="8.88671875" style="1600"/>
    <col min="9729" max="9729" width="9.44140625" style="1600" customWidth="1"/>
    <col min="9730" max="9730" width="8.88671875" style="1600"/>
    <col min="9731" max="9733" width="12.88671875" style="1600" customWidth="1"/>
    <col min="9734" max="9734" width="47.44140625" style="1600" customWidth="1"/>
    <col min="9735" max="9735" width="13" style="1600" customWidth="1"/>
    <col min="9736" max="9737" width="8.88671875" style="1600"/>
    <col min="9738" max="9738" width="5.77734375" style="1600" customWidth="1"/>
    <col min="9739" max="9739" width="11.77734375" style="1600" customWidth="1"/>
    <col min="9740" max="9741" width="10.77734375" style="1600" customWidth="1"/>
    <col min="9742" max="9742" width="10" style="1600" customWidth="1"/>
    <col min="9743" max="9744" width="10.44140625" style="1600" customWidth="1"/>
    <col min="9745" max="9745" width="10" style="1600" customWidth="1"/>
    <col min="9746" max="9746" width="10.109375" style="1600" customWidth="1"/>
    <col min="9747" max="9747" width="10" style="1600" customWidth="1"/>
    <col min="9748" max="9748" width="26.109375" style="1600" customWidth="1"/>
    <col min="9749" max="9984" width="8.88671875" style="1600"/>
    <col min="9985" max="9985" width="9.44140625" style="1600" customWidth="1"/>
    <col min="9986" max="9986" width="8.88671875" style="1600"/>
    <col min="9987" max="9989" width="12.88671875" style="1600" customWidth="1"/>
    <col min="9990" max="9990" width="47.44140625" style="1600" customWidth="1"/>
    <col min="9991" max="9991" width="13" style="1600" customWidth="1"/>
    <col min="9992" max="9993" width="8.88671875" style="1600"/>
    <col min="9994" max="9994" width="5.77734375" style="1600" customWidth="1"/>
    <col min="9995" max="9995" width="11.77734375" style="1600" customWidth="1"/>
    <col min="9996" max="9997" width="10.77734375" style="1600" customWidth="1"/>
    <col min="9998" max="9998" width="10" style="1600" customWidth="1"/>
    <col min="9999" max="10000" width="10.44140625" style="1600" customWidth="1"/>
    <col min="10001" max="10001" width="10" style="1600" customWidth="1"/>
    <col min="10002" max="10002" width="10.109375" style="1600" customWidth="1"/>
    <col min="10003" max="10003" width="10" style="1600" customWidth="1"/>
    <col min="10004" max="10004" width="26.109375" style="1600" customWidth="1"/>
    <col min="10005" max="10240" width="8.88671875" style="1600"/>
    <col min="10241" max="10241" width="9.44140625" style="1600" customWidth="1"/>
    <col min="10242" max="10242" width="8.88671875" style="1600"/>
    <col min="10243" max="10245" width="12.88671875" style="1600" customWidth="1"/>
    <col min="10246" max="10246" width="47.44140625" style="1600" customWidth="1"/>
    <col min="10247" max="10247" width="13" style="1600" customWidth="1"/>
    <col min="10248" max="10249" width="8.88671875" style="1600"/>
    <col min="10250" max="10250" width="5.77734375" style="1600" customWidth="1"/>
    <col min="10251" max="10251" width="11.77734375" style="1600" customWidth="1"/>
    <col min="10252" max="10253" width="10.77734375" style="1600" customWidth="1"/>
    <col min="10254" max="10254" width="10" style="1600" customWidth="1"/>
    <col min="10255" max="10256" width="10.44140625" style="1600" customWidth="1"/>
    <col min="10257" max="10257" width="10" style="1600" customWidth="1"/>
    <col min="10258" max="10258" width="10.109375" style="1600" customWidth="1"/>
    <col min="10259" max="10259" width="10" style="1600" customWidth="1"/>
    <col min="10260" max="10260" width="26.109375" style="1600" customWidth="1"/>
    <col min="10261" max="10496" width="8.88671875" style="1600"/>
    <col min="10497" max="10497" width="9.44140625" style="1600" customWidth="1"/>
    <col min="10498" max="10498" width="8.88671875" style="1600"/>
    <col min="10499" max="10501" width="12.88671875" style="1600" customWidth="1"/>
    <col min="10502" max="10502" width="47.44140625" style="1600" customWidth="1"/>
    <col min="10503" max="10503" width="13" style="1600" customWidth="1"/>
    <col min="10504" max="10505" width="8.88671875" style="1600"/>
    <col min="10506" max="10506" width="5.77734375" style="1600" customWidth="1"/>
    <col min="10507" max="10507" width="11.77734375" style="1600" customWidth="1"/>
    <col min="10508" max="10509" width="10.77734375" style="1600" customWidth="1"/>
    <col min="10510" max="10510" width="10" style="1600" customWidth="1"/>
    <col min="10511" max="10512" width="10.44140625" style="1600" customWidth="1"/>
    <col min="10513" max="10513" width="10" style="1600" customWidth="1"/>
    <col min="10514" max="10514" width="10.109375" style="1600" customWidth="1"/>
    <col min="10515" max="10515" width="10" style="1600" customWidth="1"/>
    <col min="10516" max="10516" width="26.109375" style="1600" customWidth="1"/>
    <col min="10517" max="10752" width="8.88671875" style="1600"/>
    <col min="10753" max="10753" width="9.44140625" style="1600" customWidth="1"/>
    <col min="10754" max="10754" width="8.88671875" style="1600"/>
    <col min="10755" max="10757" width="12.88671875" style="1600" customWidth="1"/>
    <col min="10758" max="10758" width="47.44140625" style="1600" customWidth="1"/>
    <col min="10759" max="10759" width="13" style="1600" customWidth="1"/>
    <col min="10760" max="10761" width="8.88671875" style="1600"/>
    <col min="10762" max="10762" width="5.77734375" style="1600" customWidth="1"/>
    <col min="10763" max="10763" width="11.77734375" style="1600" customWidth="1"/>
    <col min="10764" max="10765" width="10.77734375" style="1600" customWidth="1"/>
    <col min="10766" max="10766" width="10" style="1600" customWidth="1"/>
    <col min="10767" max="10768" width="10.44140625" style="1600" customWidth="1"/>
    <col min="10769" max="10769" width="10" style="1600" customWidth="1"/>
    <col min="10770" max="10770" width="10.109375" style="1600" customWidth="1"/>
    <col min="10771" max="10771" width="10" style="1600" customWidth="1"/>
    <col min="10772" max="10772" width="26.109375" style="1600" customWidth="1"/>
    <col min="10773" max="11008" width="8.88671875" style="1600"/>
    <col min="11009" max="11009" width="9.44140625" style="1600" customWidth="1"/>
    <col min="11010" max="11010" width="8.88671875" style="1600"/>
    <col min="11011" max="11013" width="12.88671875" style="1600" customWidth="1"/>
    <col min="11014" max="11014" width="47.44140625" style="1600" customWidth="1"/>
    <col min="11015" max="11015" width="13" style="1600" customWidth="1"/>
    <col min="11016" max="11017" width="8.88671875" style="1600"/>
    <col min="11018" max="11018" width="5.77734375" style="1600" customWidth="1"/>
    <col min="11019" max="11019" width="11.77734375" style="1600" customWidth="1"/>
    <col min="11020" max="11021" width="10.77734375" style="1600" customWidth="1"/>
    <col min="11022" max="11022" width="10" style="1600" customWidth="1"/>
    <col min="11023" max="11024" width="10.44140625" style="1600" customWidth="1"/>
    <col min="11025" max="11025" width="10" style="1600" customWidth="1"/>
    <col min="11026" max="11026" width="10.109375" style="1600" customWidth="1"/>
    <col min="11027" max="11027" width="10" style="1600" customWidth="1"/>
    <col min="11028" max="11028" width="26.109375" style="1600" customWidth="1"/>
    <col min="11029" max="11264" width="8.88671875" style="1600"/>
    <col min="11265" max="11265" width="9.44140625" style="1600" customWidth="1"/>
    <col min="11266" max="11266" width="8.88671875" style="1600"/>
    <col min="11267" max="11269" width="12.88671875" style="1600" customWidth="1"/>
    <col min="11270" max="11270" width="47.44140625" style="1600" customWidth="1"/>
    <col min="11271" max="11271" width="13" style="1600" customWidth="1"/>
    <col min="11272" max="11273" width="8.88671875" style="1600"/>
    <col min="11274" max="11274" width="5.77734375" style="1600" customWidth="1"/>
    <col min="11275" max="11275" width="11.77734375" style="1600" customWidth="1"/>
    <col min="11276" max="11277" width="10.77734375" style="1600" customWidth="1"/>
    <col min="11278" max="11278" width="10" style="1600" customWidth="1"/>
    <col min="11279" max="11280" width="10.44140625" style="1600" customWidth="1"/>
    <col min="11281" max="11281" width="10" style="1600" customWidth="1"/>
    <col min="11282" max="11282" width="10.109375" style="1600" customWidth="1"/>
    <col min="11283" max="11283" width="10" style="1600" customWidth="1"/>
    <col min="11284" max="11284" width="26.109375" style="1600" customWidth="1"/>
    <col min="11285" max="11520" width="8.88671875" style="1600"/>
    <col min="11521" max="11521" width="9.44140625" style="1600" customWidth="1"/>
    <col min="11522" max="11522" width="8.88671875" style="1600"/>
    <col min="11523" max="11525" width="12.88671875" style="1600" customWidth="1"/>
    <col min="11526" max="11526" width="47.44140625" style="1600" customWidth="1"/>
    <col min="11527" max="11527" width="13" style="1600" customWidth="1"/>
    <col min="11528" max="11529" width="8.88671875" style="1600"/>
    <col min="11530" max="11530" width="5.77734375" style="1600" customWidth="1"/>
    <col min="11531" max="11531" width="11.77734375" style="1600" customWidth="1"/>
    <col min="11532" max="11533" width="10.77734375" style="1600" customWidth="1"/>
    <col min="11534" max="11534" width="10" style="1600" customWidth="1"/>
    <col min="11535" max="11536" width="10.44140625" style="1600" customWidth="1"/>
    <col min="11537" max="11537" width="10" style="1600" customWidth="1"/>
    <col min="11538" max="11538" width="10.109375" style="1600" customWidth="1"/>
    <col min="11539" max="11539" width="10" style="1600" customWidth="1"/>
    <col min="11540" max="11540" width="26.109375" style="1600" customWidth="1"/>
    <col min="11541" max="11776" width="8.88671875" style="1600"/>
    <col min="11777" max="11777" width="9.44140625" style="1600" customWidth="1"/>
    <col min="11778" max="11778" width="8.88671875" style="1600"/>
    <col min="11779" max="11781" width="12.88671875" style="1600" customWidth="1"/>
    <col min="11782" max="11782" width="47.44140625" style="1600" customWidth="1"/>
    <col min="11783" max="11783" width="13" style="1600" customWidth="1"/>
    <col min="11784" max="11785" width="8.88671875" style="1600"/>
    <col min="11786" max="11786" width="5.77734375" style="1600" customWidth="1"/>
    <col min="11787" max="11787" width="11.77734375" style="1600" customWidth="1"/>
    <col min="11788" max="11789" width="10.77734375" style="1600" customWidth="1"/>
    <col min="11790" max="11790" width="10" style="1600" customWidth="1"/>
    <col min="11791" max="11792" width="10.44140625" style="1600" customWidth="1"/>
    <col min="11793" max="11793" width="10" style="1600" customWidth="1"/>
    <col min="11794" max="11794" width="10.109375" style="1600" customWidth="1"/>
    <col min="11795" max="11795" width="10" style="1600" customWidth="1"/>
    <col min="11796" max="11796" width="26.109375" style="1600" customWidth="1"/>
    <col min="11797" max="12032" width="8.88671875" style="1600"/>
    <col min="12033" max="12033" width="9.44140625" style="1600" customWidth="1"/>
    <col min="12034" max="12034" width="8.88671875" style="1600"/>
    <col min="12035" max="12037" width="12.88671875" style="1600" customWidth="1"/>
    <col min="12038" max="12038" width="47.44140625" style="1600" customWidth="1"/>
    <col min="12039" max="12039" width="13" style="1600" customWidth="1"/>
    <col min="12040" max="12041" width="8.88671875" style="1600"/>
    <col min="12042" max="12042" width="5.77734375" style="1600" customWidth="1"/>
    <col min="12043" max="12043" width="11.77734375" style="1600" customWidth="1"/>
    <col min="12044" max="12045" width="10.77734375" style="1600" customWidth="1"/>
    <col min="12046" max="12046" width="10" style="1600" customWidth="1"/>
    <col min="12047" max="12048" width="10.44140625" style="1600" customWidth="1"/>
    <col min="12049" max="12049" width="10" style="1600" customWidth="1"/>
    <col min="12050" max="12050" width="10.109375" style="1600" customWidth="1"/>
    <col min="12051" max="12051" width="10" style="1600" customWidth="1"/>
    <col min="12052" max="12052" width="26.109375" style="1600" customWidth="1"/>
    <col min="12053" max="12288" width="8.88671875" style="1600"/>
    <col min="12289" max="12289" width="9.44140625" style="1600" customWidth="1"/>
    <col min="12290" max="12290" width="8.88671875" style="1600"/>
    <col min="12291" max="12293" width="12.88671875" style="1600" customWidth="1"/>
    <col min="12294" max="12294" width="47.44140625" style="1600" customWidth="1"/>
    <col min="12295" max="12295" width="13" style="1600" customWidth="1"/>
    <col min="12296" max="12297" width="8.88671875" style="1600"/>
    <col min="12298" max="12298" width="5.77734375" style="1600" customWidth="1"/>
    <col min="12299" max="12299" width="11.77734375" style="1600" customWidth="1"/>
    <col min="12300" max="12301" width="10.77734375" style="1600" customWidth="1"/>
    <col min="12302" max="12302" width="10" style="1600" customWidth="1"/>
    <col min="12303" max="12304" width="10.44140625" style="1600" customWidth="1"/>
    <col min="12305" max="12305" width="10" style="1600" customWidth="1"/>
    <col min="12306" max="12306" width="10.109375" style="1600" customWidth="1"/>
    <col min="12307" max="12307" width="10" style="1600" customWidth="1"/>
    <col min="12308" max="12308" width="26.109375" style="1600" customWidth="1"/>
    <col min="12309" max="12544" width="8.88671875" style="1600"/>
    <col min="12545" max="12545" width="9.44140625" style="1600" customWidth="1"/>
    <col min="12546" max="12546" width="8.88671875" style="1600"/>
    <col min="12547" max="12549" width="12.88671875" style="1600" customWidth="1"/>
    <col min="12550" max="12550" width="47.44140625" style="1600" customWidth="1"/>
    <col min="12551" max="12551" width="13" style="1600" customWidth="1"/>
    <col min="12552" max="12553" width="8.88671875" style="1600"/>
    <col min="12554" max="12554" width="5.77734375" style="1600" customWidth="1"/>
    <col min="12555" max="12555" width="11.77734375" style="1600" customWidth="1"/>
    <col min="12556" max="12557" width="10.77734375" style="1600" customWidth="1"/>
    <col min="12558" max="12558" width="10" style="1600" customWidth="1"/>
    <col min="12559" max="12560" width="10.44140625" style="1600" customWidth="1"/>
    <col min="12561" max="12561" width="10" style="1600" customWidth="1"/>
    <col min="12562" max="12562" width="10.109375" style="1600" customWidth="1"/>
    <col min="12563" max="12563" width="10" style="1600" customWidth="1"/>
    <col min="12564" max="12564" width="26.109375" style="1600" customWidth="1"/>
    <col min="12565" max="12800" width="8.88671875" style="1600"/>
    <col min="12801" max="12801" width="9.44140625" style="1600" customWidth="1"/>
    <col min="12802" max="12802" width="8.88671875" style="1600"/>
    <col min="12803" max="12805" width="12.88671875" style="1600" customWidth="1"/>
    <col min="12806" max="12806" width="47.44140625" style="1600" customWidth="1"/>
    <col min="12807" max="12807" width="13" style="1600" customWidth="1"/>
    <col min="12808" max="12809" width="8.88671875" style="1600"/>
    <col min="12810" max="12810" width="5.77734375" style="1600" customWidth="1"/>
    <col min="12811" max="12811" width="11.77734375" style="1600" customWidth="1"/>
    <col min="12812" max="12813" width="10.77734375" style="1600" customWidth="1"/>
    <col min="12814" max="12814" width="10" style="1600" customWidth="1"/>
    <col min="12815" max="12816" width="10.44140625" style="1600" customWidth="1"/>
    <col min="12817" max="12817" width="10" style="1600" customWidth="1"/>
    <col min="12818" max="12818" width="10.109375" style="1600" customWidth="1"/>
    <col min="12819" max="12819" width="10" style="1600" customWidth="1"/>
    <col min="12820" max="12820" width="26.109375" style="1600" customWidth="1"/>
    <col min="12821" max="13056" width="8.88671875" style="1600"/>
    <col min="13057" max="13057" width="9.44140625" style="1600" customWidth="1"/>
    <col min="13058" max="13058" width="8.88671875" style="1600"/>
    <col min="13059" max="13061" width="12.88671875" style="1600" customWidth="1"/>
    <col min="13062" max="13062" width="47.44140625" style="1600" customWidth="1"/>
    <col min="13063" max="13063" width="13" style="1600" customWidth="1"/>
    <col min="13064" max="13065" width="8.88671875" style="1600"/>
    <col min="13066" max="13066" width="5.77734375" style="1600" customWidth="1"/>
    <col min="13067" max="13067" width="11.77734375" style="1600" customWidth="1"/>
    <col min="13068" max="13069" width="10.77734375" style="1600" customWidth="1"/>
    <col min="13070" max="13070" width="10" style="1600" customWidth="1"/>
    <col min="13071" max="13072" width="10.44140625" style="1600" customWidth="1"/>
    <col min="13073" max="13073" width="10" style="1600" customWidth="1"/>
    <col min="13074" max="13074" width="10.109375" style="1600" customWidth="1"/>
    <col min="13075" max="13075" width="10" style="1600" customWidth="1"/>
    <col min="13076" max="13076" width="26.109375" style="1600" customWidth="1"/>
    <col min="13077" max="13312" width="8.88671875" style="1600"/>
    <col min="13313" max="13313" width="9.44140625" style="1600" customWidth="1"/>
    <col min="13314" max="13314" width="8.88671875" style="1600"/>
    <col min="13315" max="13317" width="12.88671875" style="1600" customWidth="1"/>
    <col min="13318" max="13318" width="47.44140625" style="1600" customWidth="1"/>
    <col min="13319" max="13319" width="13" style="1600" customWidth="1"/>
    <col min="13320" max="13321" width="8.88671875" style="1600"/>
    <col min="13322" max="13322" width="5.77734375" style="1600" customWidth="1"/>
    <col min="13323" max="13323" width="11.77734375" style="1600" customWidth="1"/>
    <col min="13324" max="13325" width="10.77734375" style="1600" customWidth="1"/>
    <col min="13326" max="13326" width="10" style="1600" customWidth="1"/>
    <col min="13327" max="13328" width="10.44140625" style="1600" customWidth="1"/>
    <col min="13329" max="13329" width="10" style="1600" customWidth="1"/>
    <col min="13330" max="13330" width="10.109375" style="1600" customWidth="1"/>
    <col min="13331" max="13331" width="10" style="1600" customWidth="1"/>
    <col min="13332" max="13332" width="26.109375" style="1600" customWidth="1"/>
    <col min="13333" max="13568" width="8.88671875" style="1600"/>
    <col min="13569" max="13569" width="9.44140625" style="1600" customWidth="1"/>
    <col min="13570" max="13570" width="8.88671875" style="1600"/>
    <col min="13571" max="13573" width="12.88671875" style="1600" customWidth="1"/>
    <col min="13574" max="13574" width="47.44140625" style="1600" customWidth="1"/>
    <col min="13575" max="13575" width="13" style="1600" customWidth="1"/>
    <col min="13576" max="13577" width="8.88671875" style="1600"/>
    <col min="13578" max="13578" width="5.77734375" style="1600" customWidth="1"/>
    <col min="13579" max="13579" width="11.77734375" style="1600" customWidth="1"/>
    <col min="13580" max="13581" width="10.77734375" style="1600" customWidth="1"/>
    <col min="13582" max="13582" width="10" style="1600" customWidth="1"/>
    <col min="13583" max="13584" width="10.44140625" style="1600" customWidth="1"/>
    <col min="13585" max="13585" width="10" style="1600" customWidth="1"/>
    <col min="13586" max="13586" width="10.109375" style="1600" customWidth="1"/>
    <col min="13587" max="13587" width="10" style="1600" customWidth="1"/>
    <col min="13588" max="13588" width="26.109375" style="1600" customWidth="1"/>
    <col min="13589" max="13824" width="8.88671875" style="1600"/>
    <col min="13825" max="13825" width="9.44140625" style="1600" customWidth="1"/>
    <col min="13826" max="13826" width="8.88671875" style="1600"/>
    <col min="13827" max="13829" width="12.88671875" style="1600" customWidth="1"/>
    <col min="13830" max="13830" width="47.44140625" style="1600" customWidth="1"/>
    <col min="13831" max="13831" width="13" style="1600" customWidth="1"/>
    <col min="13832" max="13833" width="8.88671875" style="1600"/>
    <col min="13834" max="13834" width="5.77734375" style="1600" customWidth="1"/>
    <col min="13835" max="13835" width="11.77734375" style="1600" customWidth="1"/>
    <col min="13836" max="13837" width="10.77734375" style="1600" customWidth="1"/>
    <col min="13838" max="13838" width="10" style="1600" customWidth="1"/>
    <col min="13839" max="13840" width="10.44140625" style="1600" customWidth="1"/>
    <col min="13841" max="13841" width="10" style="1600" customWidth="1"/>
    <col min="13842" max="13842" width="10.109375" style="1600" customWidth="1"/>
    <col min="13843" max="13843" width="10" style="1600" customWidth="1"/>
    <col min="13844" max="13844" width="26.109375" style="1600" customWidth="1"/>
    <col min="13845" max="14080" width="8.88671875" style="1600"/>
    <col min="14081" max="14081" width="9.44140625" style="1600" customWidth="1"/>
    <col min="14082" max="14082" width="8.88671875" style="1600"/>
    <col min="14083" max="14085" width="12.88671875" style="1600" customWidth="1"/>
    <col min="14086" max="14086" width="47.44140625" style="1600" customWidth="1"/>
    <col min="14087" max="14087" width="13" style="1600" customWidth="1"/>
    <col min="14088" max="14089" width="8.88671875" style="1600"/>
    <col min="14090" max="14090" width="5.77734375" style="1600" customWidth="1"/>
    <col min="14091" max="14091" width="11.77734375" style="1600" customWidth="1"/>
    <col min="14092" max="14093" width="10.77734375" style="1600" customWidth="1"/>
    <col min="14094" max="14094" width="10" style="1600" customWidth="1"/>
    <col min="14095" max="14096" width="10.44140625" style="1600" customWidth="1"/>
    <col min="14097" max="14097" width="10" style="1600" customWidth="1"/>
    <col min="14098" max="14098" width="10.109375" style="1600" customWidth="1"/>
    <col min="14099" max="14099" width="10" style="1600" customWidth="1"/>
    <col min="14100" max="14100" width="26.109375" style="1600" customWidth="1"/>
    <col min="14101" max="14336" width="8.88671875" style="1600"/>
    <col min="14337" max="14337" width="9.44140625" style="1600" customWidth="1"/>
    <col min="14338" max="14338" width="8.88671875" style="1600"/>
    <col min="14339" max="14341" width="12.88671875" style="1600" customWidth="1"/>
    <col min="14342" max="14342" width="47.44140625" style="1600" customWidth="1"/>
    <col min="14343" max="14343" width="13" style="1600" customWidth="1"/>
    <col min="14344" max="14345" width="8.88671875" style="1600"/>
    <col min="14346" max="14346" width="5.77734375" style="1600" customWidth="1"/>
    <col min="14347" max="14347" width="11.77734375" style="1600" customWidth="1"/>
    <col min="14348" max="14349" width="10.77734375" style="1600" customWidth="1"/>
    <col min="14350" max="14350" width="10" style="1600" customWidth="1"/>
    <col min="14351" max="14352" width="10.44140625" style="1600" customWidth="1"/>
    <col min="14353" max="14353" width="10" style="1600" customWidth="1"/>
    <col min="14354" max="14354" width="10.109375" style="1600" customWidth="1"/>
    <col min="14355" max="14355" width="10" style="1600" customWidth="1"/>
    <col min="14356" max="14356" width="26.109375" style="1600" customWidth="1"/>
    <col min="14357" max="14592" width="8.88671875" style="1600"/>
    <col min="14593" max="14593" width="9.44140625" style="1600" customWidth="1"/>
    <col min="14594" max="14594" width="8.88671875" style="1600"/>
    <col min="14595" max="14597" width="12.88671875" style="1600" customWidth="1"/>
    <col min="14598" max="14598" width="47.44140625" style="1600" customWidth="1"/>
    <col min="14599" max="14599" width="13" style="1600" customWidth="1"/>
    <col min="14600" max="14601" width="8.88671875" style="1600"/>
    <col min="14602" max="14602" width="5.77734375" style="1600" customWidth="1"/>
    <col min="14603" max="14603" width="11.77734375" style="1600" customWidth="1"/>
    <col min="14604" max="14605" width="10.77734375" style="1600" customWidth="1"/>
    <col min="14606" max="14606" width="10" style="1600" customWidth="1"/>
    <col min="14607" max="14608" width="10.44140625" style="1600" customWidth="1"/>
    <col min="14609" max="14609" width="10" style="1600" customWidth="1"/>
    <col min="14610" max="14610" width="10.109375" style="1600" customWidth="1"/>
    <col min="14611" max="14611" width="10" style="1600" customWidth="1"/>
    <col min="14612" max="14612" width="26.109375" style="1600" customWidth="1"/>
    <col min="14613" max="14848" width="8.88671875" style="1600"/>
    <col min="14849" max="14849" width="9.44140625" style="1600" customWidth="1"/>
    <col min="14850" max="14850" width="8.88671875" style="1600"/>
    <col min="14851" max="14853" width="12.88671875" style="1600" customWidth="1"/>
    <col min="14854" max="14854" width="47.44140625" style="1600" customWidth="1"/>
    <col min="14855" max="14855" width="13" style="1600" customWidth="1"/>
    <col min="14856" max="14857" width="8.88671875" style="1600"/>
    <col min="14858" max="14858" width="5.77734375" style="1600" customWidth="1"/>
    <col min="14859" max="14859" width="11.77734375" style="1600" customWidth="1"/>
    <col min="14860" max="14861" width="10.77734375" style="1600" customWidth="1"/>
    <col min="14862" max="14862" width="10" style="1600" customWidth="1"/>
    <col min="14863" max="14864" width="10.44140625" style="1600" customWidth="1"/>
    <col min="14865" max="14865" width="10" style="1600" customWidth="1"/>
    <col min="14866" max="14866" width="10.109375" style="1600" customWidth="1"/>
    <col min="14867" max="14867" width="10" style="1600" customWidth="1"/>
    <col min="14868" max="14868" width="26.109375" style="1600" customWidth="1"/>
    <col min="14869" max="15104" width="8.88671875" style="1600"/>
    <col min="15105" max="15105" width="9.44140625" style="1600" customWidth="1"/>
    <col min="15106" max="15106" width="8.88671875" style="1600"/>
    <col min="15107" max="15109" width="12.88671875" style="1600" customWidth="1"/>
    <col min="15110" max="15110" width="47.44140625" style="1600" customWidth="1"/>
    <col min="15111" max="15111" width="13" style="1600" customWidth="1"/>
    <col min="15112" max="15113" width="8.88671875" style="1600"/>
    <col min="15114" max="15114" width="5.77734375" style="1600" customWidth="1"/>
    <col min="15115" max="15115" width="11.77734375" style="1600" customWidth="1"/>
    <col min="15116" max="15117" width="10.77734375" style="1600" customWidth="1"/>
    <col min="15118" max="15118" width="10" style="1600" customWidth="1"/>
    <col min="15119" max="15120" width="10.44140625" style="1600" customWidth="1"/>
    <col min="15121" max="15121" width="10" style="1600" customWidth="1"/>
    <col min="15122" max="15122" width="10.109375" style="1600" customWidth="1"/>
    <col min="15123" max="15123" width="10" style="1600" customWidth="1"/>
    <col min="15124" max="15124" width="26.109375" style="1600" customWidth="1"/>
    <col min="15125" max="15360" width="8.88671875" style="1600"/>
    <col min="15361" max="15361" width="9.44140625" style="1600" customWidth="1"/>
    <col min="15362" max="15362" width="8.88671875" style="1600"/>
    <col min="15363" max="15365" width="12.88671875" style="1600" customWidth="1"/>
    <col min="15366" max="15366" width="47.44140625" style="1600" customWidth="1"/>
    <col min="15367" max="15367" width="13" style="1600" customWidth="1"/>
    <col min="15368" max="15369" width="8.88671875" style="1600"/>
    <col min="15370" max="15370" width="5.77734375" style="1600" customWidth="1"/>
    <col min="15371" max="15371" width="11.77734375" style="1600" customWidth="1"/>
    <col min="15372" max="15373" width="10.77734375" style="1600" customWidth="1"/>
    <col min="15374" max="15374" width="10" style="1600" customWidth="1"/>
    <col min="15375" max="15376" width="10.44140625" style="1600" customWidth="1"/>
    <col min="15377" max="15377" width="10" style="1600" customWidth="1"/>
    <col min="15378" max="15378" width="10.109375" style="1600" customWidth="1"/>
    <col min="15379" max="15379" width="10" style="1600" customWidth="1"/>
    <col min="15380" max="15380" width="26.109375" style="1600" customWidth="1"/>
    <col min="15381" max="15616" width="8.88671875" style="1600"/>
    <col min="15617" max="15617" width="9.44140625" style="1600" customWidth="1"/>
    <col min="15618" max="15618" width="8.88671875" style="1600"/>
    <col min="15619" max="15621" width="12.88671875" style="1600" customWidth="1"/>
    <col min="15622" max="15622" width="47.44140625" style="1600" customWidth="1"/>
    <col min="15623" max="15623" width="13" style="1600" customWidth="1"/>
    <col min="15624" max="15625" width="8.88671875" style="1600"/>
    <col min="15626" max="15626" width="5.77734375" style="1600" customWidth="1"/>
    <col min="15627" max="15627" width="11.77734375" style="1600" customWidth="1"/>
    <col min="15628" max="15629" width="10.77734375" style="1600" customWidth="1"/>
    <col min="15630" max="15630" width="10" style="1600" customWidth="1"/>
    <col min="15631" max="15632" width="10.44140625" style="1600" customWidth="1"/>
    <col min="15633" max="15633" width="10" style="1600" customWidth="1"/>
    <col min="15634" max="15634" width="10.109375" style="1600" customWidth="1"/>
    <col min="15635" max="15635" width="10" style="1600" customWidth="1"/>
    <col min="15636" max="15636" width="26.109375" style="1600" customWidth="1"/>
    <col min="15637" max="15872" width="8.88671875" style="1600"/>
    <col min="15873" max="15873" width="9.44140625" style="1600" customWidth="1"/>
    <col min="15874" max="15874" width="8.88671875" style="1600"/>
    <col min="15875" max="15877" width="12.88671875" style="1600" customWidth="1"/>
    <col min="15878" max="15878" width="47.44140625" style="1600" customWidth="1"/>
    <col min="15879" max="15879" width="13" style="1600" customWidth="1"/>
    <col min="15880" max="15881" width="8.88671875" style="1600"/>
    <col min="15882" max="15882" width="5.77734375" style="1600" customWidth="1"/>
    <col min="15883" max="15883" width="11.77734375" style="1600" customWidth="1"/>
    <col min="15884" max="15885" width="10.77734375" style="1600" customWidth="1"/>
    <col min="15886" max="15886" width="10" style="1600" customWidth="1"/>
    <col min="15887" max="15888" width="10.44140625" style="1600" customWidth="1"/>
    <col min="15889" max="15889" width="10" style="1600" customWidth="1"/>
    <col min="15890" max="15890" width="10.109375" style="1600" customWidth="1"/>
    <col min="15891" max="15891" width="10" style="1600" customWidth="1"/>
    <col min="15892" max="15892" width="26.109375" style="1600" customWidth="1"/>
    <col min="15893" max="16128" width="8.88671875" style="1600"/>
    <col min="16129" max="16129" width="9.44140625" style="1600" customWidth="1"/>
    <col min="16130" max="16130" width="8.88671875" style="1600"/>
    <col min="16131" max="16133" width="12.88671875" style="1600" customWidth="1"/>
    <col min="16134" max="16134" width="47.44140625" style="1600" customWidth="1"/>
    <col min="16135" max="16135" width="13" style="1600" customWidth="1"/>
    <col min="16136" max="16137" width="8.88671875" style="1600"/>
    <col min="16138" max="16138" width="5.77734375" style="1600" customWidth="1"/>
    <col min="16139" max="16139" width="11.77734375" style="1600" customWidth="1"/>
    <col min="16140" max="16141" width="10.77734375" style="1600" customWidth="1"/>
    <col min="16142" max="16142" width="10" style="1600" customWidth="1"/>
    <col min="16143" max="16144" width="10.44140625" style="1600" customWidth="1"/>
    <col min="16145" max="16145" width="10" style="1600" customWidth="1"/>
    <col min="16146" max="16146" width="10.109375" style="1600" customWidth="1"/>
    <col min="16147" max="16147" width="10" style="1600" customWidth="1"/>
    <col min="16148" max="16148" width="26.109375" style="1600" customWidth="1"/>
    <col min="16149" max="16384" width="8.88671875" style="1600"/>
  </cols>
  <sheetData>
    <row r="1" spans="1:22" ht="21" customHeight="1">
      <c r="A1" s="1605" t="s">
        <v>1471</v>
      </c>
      <c r="B1" s="1606"/>
      <c r="C1" s="1607"/>
      <c r="D1" s="1607"/>
      <c r="E1" s="1608"/>
      <c r="F1" s="1609"/>
      <c r="G1" s="1610"/>
      <c r="J1" s="1710" t="s">
        <v>1472</v>
      </c>
      <c r="K1" s="1711"/>
      <c r="L1" s="1711"/>
      <c r="M1" s="1711"/>
      <c r="N1" s="1711"/>
      <c r="O1" s="1711"/>
      <c r="P1" s="1711"/>
      <c r="Q1" s="1711"/>
      <c r="R1" s="1750"/>
      <c r="S1" s="1751"/>
      <c r="T1" s="1751"/>
      <c r="U1" s="1751"/>
    </row>
    <row r="2" spans="1:22" s="1598" customFormat="1" ht="13.2" customHeight="1">
      <c r="A2" s="1611" t="s">
        <v>1032</v>
      </c>
      <c r="B2" s="1612" t="e">
        <f>C40</f>
        <v>#DIV/0!</v>
      </c>
      <c r="C2" s="1607" t="s">
        <v>1033</v>
      </c>
      <c r="D2" s="1607"/>
      <c r="E2" s="1613"/>
      <c r="F2" s="1614"/>
      <c r="G2" s="1615"/>
      <c r="H2" s="1616"/>
      <c r="I2" s="1712"/>
      <c r="J2" s="3525" t="s">
        <v>1473</v>
      </c>
      <c r="K2" s="3526"/>
      <c r="L2" s="1713" t="s">
        <v>1474</v>
      </c>
      <c r="M2" s="1713" t="s">
        <v>1475</v>
      </c>
      <c r="N2" s="1713" t="s">
        <v>1476</v>
      </c>
      <c r="O2" s="1713" t="s">
        <v>1477</v>
      </c>
      <c r="P2" s="1713" t="s">
        <v>1478</v>
      </c>
      <c r="Q2" s="1752" t="s">
        <v>1479</v>
      </c>
      <c r="R2" s="1753" t="s">
        <v>1480</v>
      </c>
      <c r="S2" s="1751"/>
      <c r="T2" s="1751"/>
      <c r="U2" s="1751"/>
      <c r="V2" s="1712"/>
    </row>
    <row r="3" spans="1:22" s="1598" customFormat="1" ht="13.2" customHeight="1">
      <c r="A3" s="1617" t="s">
        <v>1034</v>
      </c>
      <c r="B3" s="1618" t="e">
        <f>ROUND(B2*10000/B4,0)</f>
        <v>#DIV/0!</v>
      </c>
      <c r="C3" s="1607" t="s">
        <v>1035</v>
      </c>
      <c r="D3" s="1607"/>
      <c r="E3" s="1613"/>
      <c r="F3" s="1614"/>
      <c r="G3" s="1615"/>
      <c r="H3" s="1616"/>
      <c r="I3" s="1712"/>
      <c r="J3" s="3519" t="s">
        <v>1481</v>
      </c>
      <c r="K3" s="3520"/>
      <c r="L3" s="1714"/>
      <c r="M3" s="1714"/>
      <c r="N3" s="1714"/>
      <c r="O3" s="1714"/>
      <c r="P3" s="1714"/>
      <c r="Q3" s="1754"/>
      <c r="R3" s="1755">
        <f>SUM(L3:Q3)</f>
        <v>0</v>
      </c>
      <c r="S3" s="1751"/>
      <c r="T3" s="1751"/>
      <c r="U3" s="1751"/>
      <c r="V3" s="1712"/>
    </row>
    <row r="4" spans="1:22" s="1598" customFormat="1" ht="13.2" customHeight="1">
      <c r="A4" s="1619" t="s">
        <v>466</v>
      </c>
      <c r="B4" s="1620"/>
      <c r="C4" s="1607"/>
      <c r="D4" s="1607"/>
      <c r="E4" s="1613"/>
      <c r="F4" s="1614"/>
      <c r="G4" s="1615"/>
      <c r="H4" s="1616"/>
      <c r="I4" s="1712"/>
      <c r="J4" s="3519" t="s">
        <v>1482</v>
      </c>
      <c r="K4" s="3520"/>
      <c r="L4" s="1715"/>
      <c r="M4" s="1715"/>
      <c r="N4" s="1715"/>
      <c r="O4" s="1715"/>
      <c r="P4" s="1715"/>
      <c r="Q4" s="1756"/>
      <c r="R4" s="1757">
        <f>SUM(L4:Q4)</f>
        <v>0</v>
      </c>
      <c r="S4" s="1751"/>
      <c r="T4" s="1751"/>
      <c r="U4" s="1751"/>
      <c r="V4" s="1712"/>
    </row>
    <row r="5" spans="1:22" s="1598" customFormat="1" ht="13.2" customHeight="1">
      <c r="A5" s="1621" t="s">
        <v>1483</v>
      </c>
      <c r="B5" s="1622"/>
      <c r="C5" s="1607"/>
      <c r="D5" s="1623"/>
      <c r="E5" s="1614"/>
      <c r="F5" s="1614"/>
      <c r="G5" s="1615"/>
      <c r="H5" s="1616"/>
      <c r="I5" s="1712"/>
      <c r="J5" s="1716" t="s">
        <v>1484</v>
      </c>
      <c r="K5" s="1717"/>
      <c r="L5" s="1717"/>
      <c r="M5" s="1718"/>
      <c r="N5" s="1718"/>
      <c r="O5" s="1718"/>
      <c r="P5" s="1718"/>
      <c r="Q5" s="1718"/>
      <c r="R5" s="1753">
        <f>SUM(R14,R19,R24,R25,R27,R28)</f>
        <v>0</v>
      </c>
      <c r="S5" s="1751"/>
      <c r="T5" s="1751" t="s">
        <v>1485</v>
      </c>
      <c r="U5" s="1751" t="e">
        <f>ROUND(R5*10000/365/R3,1)</f>
        <v>#DIV/0!</v>
      </c>
      <c r="V5" s="1712"/>
    </row>
    <row r="6" spans="1:22" s="1598" customFormat="1" ht="13.2" customHeight="1">
      <c r="A6" s="3529" t="s">
        <v>1486</v>
      </c>
      <c r="B6" s="3530"/>
      <c r="C6" s="3531"/>
      <c r="D6" s="1624"/>
      <c r="E6" s="1625"/>
      <c r="F6" s="1626"/>
      <c r="G6" s="1627"/>
      <c r="H6" s="1616"/>
      <c r="I6" s="1712"/>
      <c r="J6" s="3513">
        <v>1</v>
      </c>
      <c r="K6" s="3516" t="s">
        <v>1487</v>
      </c>
      <c r="L6" s="1720" t="s">
        <v>1488</v>
      </c>
      <c r="M6" s="1721" t="s">
        <v>1489</v>
      </c>
      <c r="N6" s="1721" t="s">
        <v>1490</v>
      </c>
      <c r="O6" s="1721" t="s">
        <v>1491</v>
      </c>
      <c r="P6" s="1721" t="s">
        <v>1492</v>
      </c>
      <c r="Q6" s="1721" t="s">
        <v>1493</v>
      </c>
      <c r="R6" s="1755" t="s">
        <v>1494</v>
      </c>
      <c r="S6" s="1751"/>
      <c r="T6" s="1751" t="s">
        <v>1495</v>
      </c>
      <c r="U6" s="1751"/>
      <c r="V6" s="1712"/>
    </row>
    <row r="7" spans="1:22" s="1598" customFormat="1" ht="13.2" customHeight="1">
      <c r="A7" s="1628" t="s">
        <v>1496</v>
      </c>
      <c r="B7" s="1629"/>
      <c r="C7" s="1630"/>
      <c r="D7" s="1631">
        <f>SUM(D9,D10,D11,D17,0)</f>
        <v>0</v>
      </c>
      <c r="E7" s="1632" t="e">
        <f>E9+E10+E11+E17</f>
        <v>#DIV/0!</v>
      </c>
      <c r="F7" s="1633"/>
      <c r="G7" s="1634"/>
      <c r="H7" s="1616"/>
      <c r="I7" s="1712"/>
      <c r="J7" s="3513"/>
      <c r="K7" s="3517"/>
      <c r="L7" s="1722" t="s">
        <v>1497</v>
      </c>
      <c r="M7" s="1723"/>
      <c r="N7" s="1620"/>
      <c r="O7" s="1724"/>
      <c r="P7" s="1724"/>
      <c r="Q7" s="1653">
        <v>365</v>
      </c>
      <c r="R7" s="1758">
        <f>ROUND(M7*N7*O7*P7*Q7/10000,0)</f>
        <v>0</v>
      </c>
      <c r="S7" s="1751"/>
      <c r="T7" s="1751" t="s">
        <v>1498</v>
      </c>
      <c r="U7" s="1751"/>
      <c r="V7" s="1712"/>
    </row>
    <row r="8" spans="1:22" s="1598" customFormat="1" ht="13.2" customHeight="1">
      <c r="A8" s="1635" t="s">
        <v>1499</v>
      </c>
      <c r="B8" s="3527" t="s">
        <v>1500</v>
      </c>
      <c r="C8" s="3528"/>
      <c r="D8" s="1638" t="s">
        <v>1501</v>
      </c>
      <c r="E8" s="1639" t="s">
        <v>1502</v>
      </c>
      <c r="F8" s="1640" t="s">
        <v>1503</v>
      </c>
      <c r="G8" s="1641"/>
      <c r="H8" s="1616"/>
      <c r="I8" s="1712"/>
      <c r="J8" s="3513"/>
      <c r="K8" s="3517"/>
      <c r="L8" s="1722" t="s">
        <v>1504</v>
      </c>
      <c r="M8" s="1723"/>
      <c r="N8" s="1620"/>
      <c r="O8" s="1724"/>
      <c r="P8" s="1724"/>
      <c r="Q8" s="1653">
        <v>365</v>
      </c>
      <c r="R8" s="1758">
        <f t="shared" ref="R8:R13" si="0">ROUND(M8*N8*O8*P8*Q8/10000,0)</f>
        <v>0</v>
      </c>
      <c r="S8" s="1751"/>
      <c r="T8" s="1751" t="s">
        <v>1505</v>
      </c>
      <c r="U8" s="1751"/>
      <c r="V8" s="1712"/>
    </row>
    <row r="9" spans="1:22" s="1598" customFormat="1" ht="13.2" customHeight="1">
      <c r="A9" s="1635">
        <v>1</v>
      </c>
      <c r="B9" s="3527" t="s">
        <v>1506</v>
      </c>
      <c r="C9" s="3528"/>
      <c r="D9" s="1638">
        <f>ROUND(D6*E9,0)</f>
        <v>0</v>
      </c>
      <c r="E9" s="1642"/>
      <c r="F9" s="1643" t="s">
        <v>1507</v>
      </c>
      <c r="G9" s="1627"/>
      <c r="H9" s="1616"/>
      <c r="I9" s="1712"/>
      <c r="J9" s="3513"/>
      <c r="K9" s="3517"/>
      <c r="L9" s="1722" t="s">
        <v>1508</v>
      </c>
      <c r="M9" s="1723"/>
      <c r="N9" s="1620"/>
      <c r="O9" s="1724"/>
      <c r="P9" s="1724"/>
      <c r="Q9" s="1653">
        <v>365</v>
      </c>
      <c r="R9" s="1758">
        <f t="shared" si="0"/>
        <v>0</v>
      </c>
      <c r="S9" s="1751"/>
      <c r="T9" s="1751"/>
      <c r="U9" s="1751"/>
      <c r="V9" s="1712"/>
    </row>
    <row r="10" spans="1:22" s="1598" customFormat="1" ht="13.2" customHeight="1">
      <c r="A10" s="1635">
        <v>2</v>
      </c>
      <c r="B10" s="3527" t="s">
        <v>1509</v>
      </c>
      <c r="C10" s="3528"/>
      <c r="D10" s="1638">
        <f>ROUND(D6*E10,0)</f>
        <v>0</v>
      </c>
      <c r="E10" s="1642"/>
      <c r="F10" s="1643" t="s">
        <v>1510</v>
      </c>
      <c r="G10" s="1627"/>
      <c r="H10" s="1616"/>
      <c r="I10" s="1712"/>
      <c r="J10" s="3513"/>
      <c r="K10" s="3517"/>
      <c r="L10" s="1722" t="s">
        <v>1511</v>
      </c>
      <c r="M10" s="1723"/>
      <c r="N10" s="1620"/>
      <c r="O10" s="1724"/>
      <c r="P10" s="1724"/>
      <c r="Q10" s="1653">
        <v>365</v>
      </c>
      <c r="R10" s="1758">
        <f t="shared" si="0"/>
        <v>0</v>
      </c>
      <c r="S10" s="1751"/>
      <c r="T10" s="1751"/>
      <c r="U10" s="1751"/>
      <c r="V10" s="1712"/>
    </row>
    <row r="11" spans="1:22" s="1598" customFormat="1" ht="13.2" customHeight="1">
      <c r="A11" s="1635">
        <v>3</v>
      </c>
      <c r="B11" s="3527" t="s">
        <v>1512</v>
      </c>
      <c r="C11" s="3528"/>
      <c r="D11" s="1638">
        <f>D12+D14+D15+D16</f>
        <v>0</v>
      </c>
      <c r="E11" s="1644" t="e">
        <f>D11/D6</f>
        <v>#DIV/0!</v>
      </c>
      <c r="F11" s="1640"/>
      <c r="G11" s="1641"/>
      <c r="H11" s="1616"/>
      <c r="I11" s="1712"/>
      <c r="J11" s="3513"/>
      <c r="K11" s="3517"/>
      <c r="L11" s="1722" t="s">
        <v>1513</v>
      </c>
      <c r="M11" s="1723"/>
      <c r="N11" s="1620"/>
      <c r="O11" s="1724"/>
      <c r="P11" s="1724"/>
      <c r="Q11" s="1653">
        <v>365</v>
      </c>
      <c r="R11" s="1758">
        <f t="shared" si="0"/>
        <v>0</v>
      </c>
      <c r="S11" s="1751"/>
      <c r="T11" s="1751"/>
      <c r="U11" s="1751"/>
      <c r="V11" s="1712"/>
    </row>
    <row r="12" spans="1:22" s="1598" customFormat="1" ht="13.2" customHeight="1">
      <c r="A12" s="1645" t="s">
        <v>1514</v>
      </c>
      <c r="B12" s="3521" t="s">
        <v>1515</v>
      </c>
      <c r="C12" s="3522"/>
      <c r="D12" s="1648">
        <f>ROUND(D13*1.2%*(1-30%),0)</f>
        <v>0</v>
      </c>
      <c r="E12" s="1649">
        <v>1.2E-2</v>
      </c>
      <c r="F12" s="1640" t="s">
        <v>1516</v>
      </c>
      <c r="G12" s="1641"/>
      <c r="H12" s="1616"/>
      <c r="I12" s="1712"/>
      <c r="J12" s="3513"/>
      <c r="K12" s="3517"/>
      <c r="L12" s="1722" t="s">
        <v>1517</v>
      </c>
      <c r="M12" s="1723"/>
      <c r="N12" s="1620"/>
      <c r="O12" s="1724"/>
      <c r="P12" s="1724"/>
      <c r="Q12" s="1653">
        <v>365</v>
      </c>
      <c r="R12" s="1758">
        <f t="shared" si="0"/>
        <v>0</v>
      </c>
      <c r="S12" s="1751"/>
      <c r="T12" s="1751"/>
      <c r="U12" s="1751"/>
      <c r="V12" s="1712"/>
    </row>
    <row r="13" spans="1:22" s="1598" customFormat="1" ht="13.2" customHeight="1">
      <c r="A13" s="1645"/>
      <c r="B13" s="1646"/>
      <c r="C13" s="1650" t="s">
        <v>1518</v>
      </c>
      <c r="D13" s="1651"/>
      <c r="E13" s="1652"/>
      <c r="F13" s="1640"/>
      <c r="G13" s="1641"/>
      <c r="H13" s="1616"/>
      <c r="I13" s="1712"/>
      <c r="J13" s="3513"/>
      <c r="K13" s="3517"/>
      <c r="L13" s="1722" t="s">
        <v>1519</v>
      </c>
      <c r="M13" s="1723"/>
      <c r="N13" s="1620"/>
      <c r="O13" s="1724"/>
      <c r="P13" s="1724"/>
      <c r="Q13" s="1653">
        <v>365</v>
      </c>
      <c r="R13" s="1758">
        <f t="shared" si="0"/>
        <v>0</v>
      </c>
      <c r="S13" s="1751"/>
      <c r="T13" s="1751"/>
      <c r="U13" s="1751"/>
      <c r="V13" s="1712"/>
    </row>
    <row r="14" spans="1:22" s="1598" customFormat="1" ht="13.2" customHeight="1">
      <c r="A14" s="1645" t="s">
        <v>1520</v>
      </c>
      <c r="B14" s="3521" t="s">
        <v>1521</v>
      </c>
      <c r="C14" s="3522"/>
      <c r="D14" s="1648">
        <f>ROUND(E14*B5/10000,0)</f>
        <v>0</v>
      </c>
      <c r="E14" s="1653"/>
      <c r="F14" s="1640" t="s">
        <v>1522</v>
      </c>
      <c r="G14" s="1641"/>
      <c r="H14" s="1616"/>
      <c r="I14" s="1712"/>
      <c r="J14" s="3513"/>
      <c r="K14" s="3518"/>
      <c r="L14" s="1725" t="s">
        <v>1523</v>
      </c>
      <c r="M14" s="1726">
        <f>SUM(M7:M13)</f>
        <v>0</v>
      </c>
      <c r="N14" s="1726" t="e">
        <f>ROUND((N7*M7+N8*M8+N9*M9+N10*M10+N11*M11+N12*M12+N13*M13)/M14,0)</f>
        <v>#DIV/0!</v>
      </c>
      <c r="O14" s="1727"/>
      <c r="P14" s="1727"/>
      <c r="Q14" s="1759"/>
      <c r="R14" s="1753">
        <f>SUM(R7:R13)</f>
        <v>0</v>
      </c>
      <c r="S14" s="1751"/>
      <c r="T14" s="1751"/>
      <c r="U14" s="1751"/>
      <c r="V14" s="1712"/>
    </row>
    <row r="15" spans="1:22" s="1598" customFormat="1" ht="13.2" customHeight="1">
      <c r="A15" s="1645" t="s">
        <v>1524</v>
      </c>
      <c r="B15" s="3521" t="s">
        <v>1525</v>
      </c>
      <c r="C15" s="3522"/>
      <c r="D15" s="1648">
        <f>ROUND(D6*E15,0)</f>
        <v>0</v>
      </c>
      <c r="E15" s="1649">
        <v>5.5E-2</v>
      </c>
      <c r="F15" s="1640" t="s">
        <v>1526</v>
      </c>
      <c r="G15" s="1627"/>
      <c r="H15" s="1616"/>
      <c r="I15" s="1712"/>
      <c r="J15" s="3513">
        <v>2</v>
      </c>
      <c r="K15" s="3516" t="s">
        <v>1527</v>
      </c>
      <c r="L15" s="1722" t="s">
        <v>1528</v>
      </c>
      <c r="M15" s="1723" t="s">
        <v>1529</v>
      </c>
      <c r="N15" s="1723" t="s">
        <v>1530</v>
      </c>
      <c r="O15" s="1724" t="s">
        <v>1531</v>
      </c>
      <c r="P15" s="1724" t="s">
        <v>1493</v>
      </c>
      <c r="Q15" s="1620" t="s">
        <v>124</v>
      </c>
      <c r="R15" s="1760" t="s">
        <v>1494</v>
      </c>
      <c r="S15" s="1751"/>
      <c r="T15" s="1751"/>
      <c r="U15" s="1751"/>
      <c r="V15" s="1712"/>
    </row>
    <row r="16" spans="1:22" s="1598" customFormat="1" ht="13.2" customHeight="1">
      <c r="A16" s="1645" t="s">
        <v>1532</v>
      </c>
      <c r="B16" s="3521" t="s">
        <v>1533</v>
      </c>
      <c r="C16" s="3522"/>
      <c r="D16" s="1654">
        <f>D6*E16</f>
        <v>0</v>
      </c>
      <c r="E16" s="1655"/>
      <c r="F16" s="1643" t="s">
        <v>1534</v>
      </c>
      <c r="G16" s="1627"/>
      <c r="H16" s="1616"/>
      <c r="I16" s="1712"/>
      <c r="J16" s="3513"/>
      <c r="K16" s="3517"/>
      <c r="L16" s="1722" t="s">
        <v>1535</v>
      </c>
      <c r="M16" s="1723"/>
      <c r="N16" s="1723"/>
      <c r="O16" s="1724"/>
      <c r="P16" s="1653">
        <v>365</v>
      </c>
      <c r="Q16" s="1620"/>
      <c r="R16" s="1760">
        <f>ROUND(M16*N16*O16*P16/10000,0)</f>
        <v>0</v>
      </c>
      <c r="S16" s="1751"/>
      <c r="T16" s="1751"/>
      <c r="U16" s="1751"/>
      <c r="V16" s="1712"/>
    </row>
    <row r="17" spans="1:22" s="1598" customFormat="1" ht="13.2" customHeight="1">
      <c r="A17" s="1656">
        <v>4</v>
      </c>
      <c r="B17" s="3523" t="s">
        <v>1536</v>
      </c>
      <c r="C17" s="3524"/>
      <c r="D17" s="1657">
        <f>ROUND(D6*E17,0)</f>
        <v>0</v>
      </c>
      <c r="E17" s="1658"/>
      <c r="F17" s="1659" t="s">
        <v>1537</v>
      </c>
      <c r="G17" s="1627"/>
      <c r="H17" s="1616"/>
      <c r="I17" s="1712"/>
      <c r="J17" s="3513"/>
      <c r="K17" s="3517"/>
      <c r="L17" s="1722" t="s">
        <v>1538</v>
      </c>
      <c r="M17" s="1723"/>
      <c r="N17" s="1723"/>
      <c r="O17" s="1724"/>
      <c r="P17" s="1653">
        <v>365</v>
      </c>
      <c r="Q17" s="1620"/>
      <c r="R17" s="1760">
        <f>ROUND(M17*N17*O17*P17/10000,0)</f>
        <v>0</v>
      </c>
      <c r="S17" s="1751"/>
      <c r="T17" s="1751"/>
      <c r="U17" s="1751"/>
      <c r="V17" s="1712"/>
    </row>
    <row r="18" spans="1:22" s="1598" customFormat="1" ht="13.2" customHeight="1">
      <c r="A18" s="1628" t="s">
        <v>1539</v>
      </c>
      <c r="B18" s="1629"/>
      <c r="C18" s="1629"/>
      <c r="D18" s="1660">
        <f>ROUND(D6*E18,0)</f>
        <v>0</v>
      </c>
      <c r="E18" s="1661"/>
      <c r="F18" s="1662" t="s">
        <v>1540</v>
      </c>
      <c r="G18" s="1627"/>
      <c r="H18" s="1616"/>
      <c r="I18" s="1712"/>
      <c r="J18" s="3513"/>
      <c r="K18" s="3517"/>
      <c r="L18" s="1722" t="s">
        <v>1541</v>
      </c>
      <c r="M18" s="1723"/>
      <c r="N18" s="1723"/>
      <c r="O18" s="1724"/>
      <c r="P18" s="1653">
        <v>365</v>
      </c>
      <c r="Q18" s="1620"/>
      <c r="R18" s="1760">
        <f>ROUND(M18*N18*O18*P18/10000,0)</f>
        <v>0</v>
      </c>
      <c r="S18" s="1751"/>
      <c r="T18" s="1751"/>
      <c r="U18" s="1751"/>
      <c r="V18" s="1712"/>
    </row>
    <row r="19" spans="1:22" s="1598" customFormat="1" ht="13.2" customHeight="1">
      <c r="A19" s="1663" t="s">
        <v>1542</v>
      </c>
      <c r="B19" s="1625"/>
      <c r="C19" s="1625"/>
      <c r="D19" s="1625"/>
      <c r="E19" s="1625"/>
      <c r="F19" s="1626"/>
      <c r="G19" s="1641"/>
      <c r="H19" s="1616"/>
      <c r="I19" s="1712"/>
      <c r="J19" s="3513"/>
      <c r="K19" s="3518"/>
      <c r="L19" s="1725" t="s">
        <v>1523</v>
      </c>
      <c r="M19" s="1726"/>
      <c r="N19" s="1726">
        <f>SUM(N16:N18)</f>
        <v>0</v>
      </c>
      <c r="O19" s="1727"/>
      <c r="P19" s="1728" t="s">
        <v>1543</v>
      </c>
      <c r="Q19" s="1724">
        <v>0</v>
      </c>
      <c r="R19" s="1761">
        <f>ROUND(IF(P19="按比例",R14*Q19,SUM(R16:R18)),0)</f>
        <v>0</v>
      </c>
      <c r="S19" s="1751"/>
      <c r="T19" s="1751"/>
      <c r="U19" s="1751"/>
      <c r="V19" s="1712"/>
    </row>
    <row r="20" spans="1:22" s="1598" customFormat="1" ht="13.2" customHeight="1">
      <c r="A20" s="1628"/>
      <c r="B20" s="1629"/>
      <c r="C20" s="1629"/>
      <c r="D20" s="1629"/>
      <c r="E20" s="1629"/>
      <c r="F20" s="1664"/>
      <c r="G20" s="1641"/>
      <c r="H20" s="1616"/>
      <c r="I20" s="1712"/>
      <c r="J20" s="3513">
        <v>3</v>
      </c>
      <c r="K20" s="3516" t="s">
        <v>1544</v>
      </c>
      <c r="L20" s="1722" t="s">
        <v>1545</v>
      </c>
      <c r="M20" s="1723" t="s">
        <v>1546</v>
      </c>
      <c r="N20" s="1729" t="s">
        <v>1547</v>
      </c>
      <c r="O20" s="1724" t="s">
        <v>1548</v>
      </c>
      <c r="P20" s="1653" t="s">
        <v>1493</v>
      </c>
      <c r="Q20" s="1620" t="s">
        <v>124</v>
      </c>
      <c r="R20" s="1760" t="s">
        <v>1494</v>
      </c>
      <c r="S20" s="1748"/>
      <c r="T20" s="1748"/>
      <c r="U20" s="1748"/>
      <c r="V20" s="1712"/>
    </row>
    <row r="21" spans="1:22" s="1598" customFormat="1" ht="13.2" customHeight="1">
      <c r="A21" s="1628"/>
      <c r="B21" s="1629"/>
      <c r="C21" s="1636" t="s">
        <v>1549</v>
      </c>
      <c r="D21" s="1665" t="s">
        <v>1550</v>
      </c>
      <c r="E21" s="1637" t="s">
        <v>1551</v>
      </c>
      <c r="F21" s="1664"/>
      <c r="G21" s="1641"/>
      <c r="H21" s="1616"/>
      <c r="I21" s="1712"/>
      <c r="J21" s="3513"/>
      <c r="K21" s="3517"/>
      <c r="L21" s="1722" t="s">
        <v>1552</v>
      </c>
      <c r="M21" s="1723"/>
      <c r="N21" s="1723"/>
      <c r="O21" s="1724"/>
      <c r="P21" s="1653">
        <v>365</v>
      </c>
      <c r="Q21" s="1620"/>
      <c r="R21" s="1762">
        <f>ROUND(M21*N21*O21*P21/10000,0)</f>
        <v>0</v>
      </c>
      <c r="S21" s="1748"/>
      <c r="T21" s="1748"/>
      <c r="U21" s="1748"/>
      <c r="V21" s="1712"/>
    </row>
    <row r="22" spans="1:22" s="1598" customFormat="1" ht="13.2" customHeight="1">
      <c r="A22" s="1628"/>
      <c r="B22" s="1629"/>
      <c r="C22" s="1666" t="s">
        <v>1553</v>
      </c>
      <c r="D22" s="1667" t="s">
        <v>1554</v>
      </c>
      <c r="E22" s="1668" t="s">
        <v>1555</v>
      </c>
      <c r="F22" s="1664"/>
      <c r="G22" s="1669"/>
      <c r="H22" s="1616"/>
      <c r="I22" s="1712"/>
      <c r="J22" s="3513"/>
      <c r="K22" s="3517"/>
      <c r="L22" s="1722" t="s">
        <v>1556</v>
      </c>
      <c r="M22" s="1723"/>
      <c r="N22" s="1723"/>
      <c r="O22" s="1724"/>
      <c r="P22" s="1653">
        <v>365</v>
      </c>
      <c r="Q22" s="1620"/>
      <c r="R22" s="1762">
        <f>ROUND(M22*N22*O22*P22/10000,0)</f>
        <v>0</v>
      </c>
      <c r="S22" s="1748"/>
      <c r="T22" s="1748"/>
      <c r="U22" s="1748"/>
      <c r="V22" s="1712"/>
    </row>
    <row r="23" spans="1:22" s="1598" customFormat="1" ht="13.2" customHeight="1">
      <c r="A23" s="1670">
        <v>1</v>
      </c>
      <c r="B23" s="1671" t="s">
        <v>1557</v>
      </c>
      <c r="C23" s="1672">
        <f>D6</f>
        <v>0</v>
      </c>
      <c r="D23" s="1673">
        <f>C23*(1+D24)</f>
        <v>0</v>
      </c>
      <c r="E23" s="1674">
        <f>D23*(1+E24)</f>
        <v>0</v>
      </c>
      <c r="F23" s="1675"/>
      <c r="G23" s="1676"/>
      <c r="H23" s="1616"/>
      <c r="I23" s="1712"/>
      <c r="J23" s="3513"/>
      <c r="K23" s="3517"/>
      <c r="L23" s="1722" t="s">
        <v>1558</v>
      </c>
      <c r="M23" s="1723"/>
      <c r="N23" s="1723"/>
      <c r="O23" s="1724"/>
      <c r="P23" s="1653">
        <v>365</v>
      </c>
      <c r="Q23" s="1620"/>
      <c r="R23" s="1762">
        <f>ROUND(M23*N23*O23*P23/10000,0)</f>
        <v>0</v>
      </c>
      <c r="S23" s="1751"/>
      <c r="T23" s="1751"/>
      <c r="U23" s="1751"/>
      <c r="V23" s="1712"/>
    </row>
    <row r="24" spans="1:22" s="1598" customFormat="1" ht="13.2" customHeight="1">
      <c r="A24" s="1677"/>
      <c r="B24" s="1678" t="s">
        <v>1559</v>
      </c>
      <c r="C24" s="1679"/>
      <c r="D24" s="1680"/>
      <c r="E24" s="1681"/>
      <c r="F24" s="1682"/>
      <c r="G24" s="1676"/>
      <c r="H24" s="1616"/>
      <c r="I24" s="1712"/>
      <c r="J24" s="3513"/>
      <c r="K24" s="3518"/>
      <c r="L24" s="1725" t="s">
        <v>1523</v>
      </c>
      <c r="M24" s="1726">
        <f>SUM(M21:M23)</f>
        <v>0</v>
      </c>
      <c r="N24" s="1726"/>
      <c r="O24" s="1727"/>
      <c r="P24" s="1728" t="s">
        <v>1543</v>
      </c>
      <c r="Q24" s="1724">
        <v>0</v>
      </c>
      <c r="R24" s="1761">
        <f>ROUND(IF(P24="按比例",R14*Q24,SUM(R21:R23)),0)</f>
        <v>0</v>
      </c>
      <c r="S24" s="1751"/>
      <c r="T24" s="1751"/>
      <c r="U24" s="1751"/>
      <c r="V24" s="1712"/>
    </row>
    <row r="25" spans="1:22" s="1599" customFormat="1" ht="13.2" customHeight="1">
      <c r="A25" s="1677"/>
      <c r="B25" s="1678"/>
      <c r="C25" s="1679"/>
      <c r="D25" s="1680"/>
      <c r="E25" s="1681"/>
      <c r="F25" s="1682"/>
      <c r="G25" s="1669"/>
      <c r="H25" s="1616"/>
      <c r="I25" s="1712"/>
      <c r="J25" s="1719">
        <v>4</v>
      </c>
      <c r="K25" s="1730" t="s">
        <v>1560</v>
      </c>
      <c r="L25" s="1731"/>
      <c r="M25" s="1731"/>
      <c r="N25" s="1731"/>
      <c r="O25" s="1731"/>
      <c r="P25" s="1732"/>
      <c r="Q25" s="1763">
        <v>0</v>
      </c>
      <c r="R25" s="1761">
        <f>ROUND(R14*Q25,0)</f>
        <v>0</v>
      </c>
      <c r="S25" s="1751"/>
      <c r="T25" s="1751"/>
      <c r="U25" s="1751"/>
      <c r="V25" s="1738"/>
    </row>
    <row r="26" spans="1:22" s="1599" customFormat="1" ht="13.2" customHeight="1">
      <c r="A26" s="1670">
        <v>2</v>
      </c>
      <c r="B26" s="1671" t="s">
        <v>1561</v>
      </c>
      <c r="C26" s="1672">
        <f>D7</f>
        <v>0</v>
      </c>
      <c r="D26" s="1673">
        <f>D23*D27</f>
        <v>0</v>
      </c>
      <c r="E26" s="1674">
        <f>E23*E27</f>
        <v>0</v>
      </c>
      <c r="F26" s="1675"/>
      <c r="G26" s="1676"/>
      <c r="H26" s="1616"/>
      <c r="I26" s="1712"/>
      <c r="J26" s="3514">
        <v>5</v>
      </c>
      <c r="K26" s="1733" t="s">
        <v>1562</v>
      </c>
      <c r="L26" s="1734"/>
      <c r="M26" s="1735"/>
      <c r="N26" s="1736" t="s">
        <v>361</v>
      </c>
      <c r="O26" s="1736" t="s">
        <v>1563</v>
      </c>
      <c r="P26" s="1737" t="s">
        <v>1564</v>
      </c>
      <c r="Q26" s="1737" t="s">
        <v>1565</v>
      </c>
      <c r="R26" s="1755" t="s">
        <v>1494</v>
      </c>
      <c r="S26" s="1764"/>
      <c r="T26" s="1764"/>
      <c r="U26" s="1764"/>
      <c r="V26" s="1738"/>
    </row>
    <row r="27" spans="1:22" s="1598" customFormat="1" ht="13.2" customHeight="1">
      <c r="A27" s="1677"/>
      <c r="B27" s="1678" t="s">
        <v>1566</v>
      </c>
      <c r="C27" s="1683" t="e">
        <f>E7</f>
        <v>#DIV/0!</v>
      </c>
      <c r="D27" s="1680"/>
      <c r="E27" s="1681"/>
      <c r="F27" s="1682"/>
      <c r="G27" s="1676"/>
      <c r="H27" s="1684"/>
      <c r="I27" s="1738"/>
      <c r="J27" s="3515"/>
      <c r="K27" s="1739"/>
      <c r="L27" s="1740"/>
      <c r="M27" s="1741"/>
      <c r="N27" s="1742"/>
      <c r="O27" s="1742"/>
      <c r="P27" s="1742"/>
      <c r="Q27" s="1765"/>
      <c r="R27" s="1761">
        <f>ROUND(O27*N27*P27*(1-Q27)/10000,0)</f>
        <v>0</v>
      </c>
      <c r="S27" s="1751"/>
      <c r="T27" s="1751"/>
      <c r="U27" s="1751"/>
      <c r="V27" s="1712"/>
    </row>
    <row r="28" spans="1:22" s="1599" customFormat="1" ht="13.2" customHeight="1">
      <c r="A28" s="1677"/>
      <c r="B28" s="1678"/>
      <c r="C28" s="1683"/>
      <c r="D28" s="1680"/>
      <c r="E28" s="1681" t="s">
        <v>1567</v>
      </c>
      <c r="F28" s="1682"/>
      <c r="G28" s="1669"/>
      <c r="H28" s="1684"/>
      <c r="I28" s="1738"/>
      <c r="J28" s="1743">
        <v>6</v>
      </c>
      <c r="K28" s="1744" t="s">
        <v>1568</v>
      </c>
      <c r="L28" s="1745" t="s">
        <v>1569</v>
      </c>
      <c r="M28" s="1746"/>
      <c r="N28" s="1745" t="s">
        <v>1570</v>
      </c>
      <c r="O28" s="1747"/>
      <c r="P28" s="1745" t="s">
        <v>1571</v>
      </c>
      <c r="Q28" s="1766">
        <v>1.4999999999999999E-2</v>
      </c>
      <c r="R28" s="1767"/>
      <c r="S28" s="1748"/>
      <c r="T28" s="1748"/>
      <c r="U28" s="1748"/>
      <c r="V28" s="1738"/>
    </row>
    <row r="29" spans="1:22" s="1599" customFormat="1" ht="13.2" customHeight="1">
      <c r="A29" s="1670">
        <v>3</v>
      </c>
      <c r="B29" s="1671" t="s">
        <v>1572</v>
      </c>
      <c r="C29" s="1672">
        <f>C23*C30</f>
        <v>0</v>
      </c>
      <c r="D29" s="1673">
        <f>D23*C30</f>
        <v>0</v>
      </c>
      <c r="E29" s="1674">
        <f>E23*C30</f>
        <v>0</v>
      </c>
      <c r="F29" s="1675"/>
      <c r="G29" s="1676"/>
      <c r="H29" s="1616"/>
      <c r="I29" s="1712"/>
      <c r="J29" s="1748"/>
      <c r="K29" s="1748"/>
      <c r="L29" s="1748"/>
      <c r="M29" s="1748"/>
      <c r="N29" s="1748"/>
      <c r="O29" s="1748"/>
      <c r="P29" s="1748"/>
      <c r="Q29" s="1748"/>
      <c r="R29" s="1748"/>
      <c r="S29" s="1748"/>
      <c r="T29" s="1748"/>
      <c r="U29" s="1748"/>
      <c r="V29" s="1738"/>
    </row>
    <row r="30" spans="1:22" s="1598" customFormat="1" ht="13.2" customHeight="1">
      <c r="A30" s="1677"/>
      <c r="B30" s="1678" t="s">
        <v>1566</v>
      </c>
      <c r="C30" s="1683">
        <f>E18</f>
        <v>0</v>
      </c>
      <c r="D30" s="1685"/>
      <c r="E30" s="1652"/>
      <c r="F30" s="1682"/>
      <c r="G30" s="1676"/>
      <c r="H30" s="1684"/>
      <c r="I30" s="1738"/>
      <c r="J30" s="1748"/>
      <c r="K30" s="1748"/>
      <c r="L30" s="1748"/>
      <c r="M30" s="1748"/>
      <c r="N30" s="1748"/>
      <c r="O30" s="1748"/>
      <c r="P30" s="1748"/>
      <c r="Q30" s="1748"/>
      <c r="R30" s="1748"/>
      <c r="S30" s="1748"/>
      <c r="T30" s="1748"/>
      <c r="U30" s="1751"/>
      <c r="V30" s="1712"/>
    </row>
    <row r="31" spans="1:22" s="1599" customFormat="1" ht="13.2" customHeight="1">
      <c r="A31" s="1677"/>
      <c r="B31" s="1678"/>
      <c r="C31" s="1686"/>
      <c r="D31" s="1685"/>
      <c r="E31" s="1652"/>
      <c r="F31" s="1682"/>
      <c r="G31" s="1669"/>
      <c r="H31" s="1684"/>
      <c r="I31" s="1738"/>
      <c r="J31" s="1710" t="s">
        <v>1573</v>
      </c>
      <c r="K31" s="1711"/>
      <c r="L31" s="1711"/>
      <c r="M31" s="1711"/>
      <c r="N31" s="1711"/>
      <c r="O31" s="1711"/>
      <c r="P31" s="1711"/>
      <c r="Q31" s="1711"/>
      <c r="R31" s="1750"/>
      <c r="S31" s="1748"/>
      <c r="T31" s="1751"/>
      <c r="U31" s="1751"/>
      <c r="V31" s="1738"/>
    </row>
    <row r="32" spans="1:22" s="1599" customFormat="1" ht="13.2" customHeight="1">
      <c r="A32" s="1670">
        <v>4</v>
      </c>
      <c r="B32" s="1671" t="s">
        <v>1574</v>
      </c>
      <c r="C32" s="1672">
        <f>C23-C26-C29</f>
        <v>0</v>
      </c>
      <c r="D32" s="1673">
        <f>D23-D26-D29</f>
        <v>0</v>
      </c>
      <c r="E32" s="1674">
        <f>E23-E26-E29</f>
        <v>0</v>
      </c>
      <c r="F32" s="1675"/>
      <c r="G32" s="1669"/>
      <c r="H32" s="1616"/>
      <c r="I32" s="1712"/>
      <c r="J32" s="3525" t="s">
        <v>1473</v>
      </c>
      <c r="K32" s="3526"/>
      <c r="L32" s="1713" t="s">
        <v>1474</v>
      </c>
      <c r="M32" s="1713" t="s">
        <v>1475</v>
      </c>
      <c r="N32" s="1713" t="s">
        <v>1476</v>
      </c>
      <c r="O32" s="1713" t="s">
        <v>1477</v>
      </c>
      <c r="P32" s="1713" t="s">
        <v>1478</v>
      </c>
      <c r="Q32" s="1752" t="s">
        <v>1479</v>
      </c>
      <c r="R32" s="1768" t="s">
        <v>1480</v>
      </c>
      <c r="S32" s="1748"/>
      <c r="T32" s="1751"/>
      <c r="U32" s="1751"/>
      <c r="V32" s="1738"/>
    </row>
    <row r="33" spans="1:23" s="1598" customFormat="1" ht="13.2" customHeight="1">
      <c r="A33" s="1670"/>
      <c r="B33" s="1671"/>
      <c r="C33" s="1672"/>
      <c r="D33" s="1687"/>
      <c r="E33" s="1647"/>
      <c r="F33" s="1675"/>
      <c r="G33" s="1669"/>
      <c r="H33" s="1684"/>
      <c r="I33" s="1738"/>
      <c r="J33" s="3519" t="s">
        <v>1481</v>
      </c>
      <c r="K33" s="3520"/>
      <c r="L33" s="1714"/>
      <c r="M33" s="1714"/>
      <c r="N33" s="1714"/>
      <c r="O33" s="1714"/>
      <c r="P33" s="1714"/>
      <c r="Q33" s="1754"/>
      <c r="R33" s="1769">
        <f>SUM(L33:Q33)</f>
        <v>0</v>
      </c>
      <c r="S33" s="1748"/>
      <c r="T33" s="1751"/>
      <c r="U33" s="1751"/>
      <c r="V33" s="1712"/>
    </row>
    <row r="34" spans="1:23" s="1598" customFormat="1" ht="13.2" customHeight="1">
      <c r="A34" s="1670">
        <v>5</v>
      </c>
      <c r="B34" s="1671" t="s">
        <v>1575</v>
      </c>
      <c r="C34" s="1688"/>
      <c r="D34" s="1689"/>
      <c r="E34" s="1690"/>
      <c r="F34" s="1675"/>
      <c r="G34" s="1669"/>
      <c r="H34" s="1684"/>
      <c r="I34" s="1738"/>
      <c r="J34" s="3519" t="s">
        <v>1482</v>
      </c>
      <c r="K34" s="3520"/>
      <c r="L34" s="1715"/>
      <c r="M34" s="1715"/>
      <c r="N34" s="1715"/>
      <c r="O34" s="1715"/>
      <c r="P34" s="1715"/>
      <c r="Q34" s="1756"/>
      <c r="R34" s="1770">
        <f>SUM(L34:Q34)</f>
        <v>0</v>
      </c>
      <c r="S34" s="1748"/>
      <c r="T34" s="1751"/>
      <c r="U34" s="1751" t="e">
        <f>ROUND(R35*10000/365/R33,1)</f>
        <v>#DIV/0!</v>
      </c>
      <c r="V34" s="1712"/>
    </row>
    <row r="35" spans="1:23" s="1598" customFormat="1" ht="13.2" customHeight="1">
      <c r="A35" s="1670">
        <v>6</v>
      </c>
      <c r="B35" s="1671" t="s">
        <v>1576</v>
      </c>
      <c r="C35" s="1691"/>
      <c r="D35" s="1692"/>
      <c r="E35" s="1693"/>
      <c r="F35" s="1675"/>
      <c r="G35" s="1694"/>
      <c r="H35" s="1616"/>
      <c r="I35" s="1738"/>
      <c r="J35" s="1716" t="s">
        <v>1484</v>
      </c>
      <c r="K35" s="1717"/>
      <c r="L35" s="1717"/>
      <c r="M35" s="1718"/>
      <c r="N35" s="1718"/>
      <c r="O35" s="1718"/>
      <c r="P35" s="1718"/>
      <c r="Q35" s="1718"/>
      <c r="R35" s="1771">
        <f>R40+R41+R43</f>
        <v>0</v>
      </c>
      <c r="S35" s="1748"/>
      <c r="T35" s="1751" t="s">
        <v>1485</v>
      </c>
      <c r="U35" s="1751"/>
      <c r="V35" s="1712"/>
    </row>
    <row r="36" spans="1:23" s="1598" customFormat="1" ht="13.2" customHeight="1">
      <c r="A36" s="1670">
        <v>7</v>
      </c>
      <c r="B36" s="1695" t="s">
        <v>1577</v>
      </c>
      <c r="C36" s="1696"/>
      <c r="D36" s="1697"/>
      <c r="E36" s="1698"/>
      <c r="F36" s="1699">
        <f>C36+D36+E36</f>
        <v>0</v>
      </c>
      <c r="G36" s="1669"/>
      <c r="H36" s="1616"/>
      <c r="I36" s="1712"/>
      <c r="J36" s="3513">
        <v>1</v>
      </c>
      <c r="K36" s="3516" t="s">
        <v>1578</v>
      </c>
      <c r="L36" s="1720"/>
      <c r="M36" s="1721"/>
      <c r="N36" s="1721"/>
      <c r="O36" s="1721"/>
      <c r="P36" s="1721"/>
      <c r="Q36" s="1721"/>
      <c r="R36" s="1755" t="s">
        <v>1494</v>
      </c>
      <c r="S36" s="1748"/>
      <c r="T36" s="1751" t="s">
        <v>1495</v>
      </c>
      <c r="U36" s="1751"/>
      <c r="V36" s="1712"/>
    </row>
    <row r="37" spans="1:23" s="1598" customFormat="1" ht="13.2" customHeight="1">
      <c r="A37" s="1670"/>
      <c r="B37" s="1671"/>
      <c r="C37" s="1671"/>
      <c r="D37" s="1671"/>
      <c r="E37" s="1671"/>
      <c r="F37" s="1675"/>
      <c r="G37" s="1669"/>
      <c r="H37" s="1616"/>
      <c r="I37" s="1712"/>
      <c r="J37" s="3513"/>
      <c r="K37" s="3517"/>
      <c r="L37" s="1722"/>
      <c r="M37" s="1723"/>
      <c r="N37" s="1620"/>
      <c r="O37" s="1724"/>
      <c r="P37" s="1724"/>
      <c r="Q37" s="1653"/>
      <c r="R37" s="1758"/>
      <c r="S37" s="1748"/>
      <c r="T37" s="1751" t="s">
        <v>1498</v>
      </c>
      <c r="U37" s="1751"/>
      <c r="V37" s="1712"/>
    </row>
    <row r="38" spans="1:23" s="1598" customFormat="1" ht="13.2" customHeight="1">
      <c r="A38" s="1670">
        <v>8</v>
      </c>
      <c r="B38" s="1671"/>
      <c r="C38" s="1638" t="e">
        <f>ROUND(C32*(1-((1+C35)/(1+C34))^C36)/(C34-C35),0)</f>
        <v>#DIV/0!</v>
      </c>
      <c r="D38" s="1638">
        <f>IF(D23=0,0,ROUND(D32*(1-((1+D35)/(1+D34))^D36)/(D34-D35),0))</f>
        <v>0</v>
      </c>
      <c r="E38" s="1638">
        <f>IF(E23=0,0,ROUND(E32*(1-((1+E35)/(1+E34))^E36)/(E34-E35),0))</f>
        <v>0</v>
      </c>
      <c r="F38" s="1675"/>
      <c r="G38" s="1669"/>
      <c r="H38" s="1616"/>
      <c r="I38" s="1712"/>
      <c r="J38" s="3513"/>
      <c r="K38" s="3517"/>
      <c r="L38" s="1722"/>
      <c r="M38" s="1723"/>
      <c r="N38" s="1620"/>
      <c r="O38" s="1724"/>
      <c r="P38" s="1724"/>
      <c r="Q38" s="1653"/>
      <c r="R38" s="1758"/>
      <c r="S38" s="1748"/>
      <c r="T38" s="1751" t="s">
        <v>1505</v>
      </c>
      <c r="U38" s="1751"/>
      <c r="V38" s="1712"/>
    </row>
    <row r="39" spans="1:23" s="1598" customFormat="1" ht="13.2" customHeight="1">
      <c r="A39" s="1670">
        <v>9</v>
      </c>
      <c r="B39" s="1671" t="s">
        <v>1579</v>
      </c>
      <c r="C39" s="1648" t="e">
        <f>C38</f>
        <v>#DIV/0!</v>
      </c>
      <c r="D39" s="1671">
        <f>D38/(1+D34)^C36</f>
        <v>0</v>
      </c>
      <c r="E39" s="1671">
        <f>E38/(1+E34)^(C36+D36)</f>
        <v>0</v>
      </c>
      <c r="F39" s="1675"/>
      <c r="G39" s="1700"/>
      <c r="H39" s="1616"/>
      <c r="I39" s="1712"/>
      <c r="J39" s="3513"/>
      <c r="K39" s="3517"/>
      <c r="L39" s="1722"/>
      <c r="M39" s="1723"/>
      <c r="N39" s="1620"/>
      <c r="O39" s="1724"/>
      <c r="P39" s="1724"/>
      <c r="Q39" s="1653"/>
      <c r="R39" s="1758"/>
      <c r="S39" s="1748"/>
      <c r="T39" s="1751"/>
      <c r="U39" s="1751"/>
      <c r="V39" s="1712"/>
    </row>
    <row r="40" spans="1:23" s="1598" customFormat="1" ht="13.2" customHeight="1">
      <c r="A40" s="1701">
        <v>10</v>
      </c>
      <c r="B40" s="1671" t="s">
        <v>1580</v>
      </c>
      <c r="C40" s="1702" t="e">
        <f>C39+D39+E39</f>
        <v>#DIV/0!</v>
      </c>
      <c r="D40" s="1703"/>
      <c r="E40" s="1703"/>
      <c r="F40" s="1704"/>
      <c r="G40" s="1669"/>
      <c r="H40" s="1616"/>
      <c r="I40" s="1712"/>
      <c r="J40" s="3513"/>
      <c r="K40" s="3518"/>
      <c r="L40" s="1725" t="s">
        <v>1523</v>
      </c>
      <c r="M40" s="1726"/>
      <c r="N40" s="1726"/>
      <c r="O40" s="1727"/>
      <c r="P40" s="1727"/>
      <c r="Q40" s="1759"/>
      <c r="R40" s="1753">
        <f>SUM(R37:R39)</f>
        <v>0</v>
      </c>
      <c r="S40" s="1748"/>
      <c r="T40" s="1751"/>
      <c r="U40" s="1751"/>
      <c r="V40" s="1712"/>
    </row>
    <row r="41" spans="1:23" s="1598" customFormat="1" ht="13.2" customHeight="1">
      <c r="A41" s="1705">
        <v>11</v>
      </c>
      <c r="B41" s="1706" t="s">
        <v>1581</v>
      </c>
      <c r="C41" s="1706" t="e">
        <f>ROUND(C40*10000/B4,0)</f>
        <v>#DIV/0!</v>
      </c>
      <c r="D41" s="1707"/>
      <c r="E41" s="1707"/>
      <c r="F41" s="1708"/>
      <c r="G41" s="1709"/>
      <c r="H41" s="1616"/>
      <c r="I41" s="1712"/>
      <c r="J41" s="1719">
        <v>2</v>
      </c>
      <c r="K41" s="1730" t="s">
        <v>1560</v>
      </c>
      <c r="L41" s="1731"/>
      <c r="M41" s="1731"/>
      <c r="N41" s="1731"/>
      <c r="O41" s="1731"/>
      <c r="P41" s="1732"/>
      <c r="Q41" s="1763"/>
      <c r="R41" s="1761">
        <f>ROUND(R40*Q41,0)</f>
        <v>0</v>
      </c>
      <c r="S41" s="1748"/>
      <c r="T41" s="1751"/>
      <c r="U41" s="1764"/>
      <c r="V41" s="1712"/>
    </row>
    <row r="42" spans="1:23" s="1598" customFormat="1" ht="13.2" customHeight="1">
      <c r="G42" s="1709"/>
      <c r="H42" s="1616"/>
      <c r="I42" s="1712"/>
      <c r="J42" s="3514">
        <v>3</v>
      </c>
      <c r="K42" s="1733" t="s">
        <v>1562</v>
      </c>
      <c r="L42" s="1734"/>
      <c r="M42" s="1735"/>
      <c r="N42" s="1736" t="s">
        <v>361</v>
      </c>
      <c r="O42" s="1736" t="s">
        <v>1563</v>
      </c>
      <c r="P42" s="1737" t="s">
        <v>1564</v>
      </c>
      <c r="Q42" s="1737" t="s">
        <v>1565</v>
      </c>
      <c r="R42" s="1755" t="s">
        <v>1494</v>
      </c>
      <c r="S42" s="1764"/>
      <c r="T42" s="1764"/>
      <c r="U42" s="1751"/>
      <c r="V42" s="1712"/>
    </row>
    <row r="43" spans="1:23" ht="13.2" customHeight="1">
      <c r="A43" s="1598"/>
      <c r="B43" s="1598"/>
      <c r="C43" s="1598"/>
      <c r="D43" s="1598"/>
      <c r="E43" s="1598"/>
      <c r="F43" s="1598"/>
      <c r="I43" s="1602"/>
      <c r="J43" s="3515"/>
      <c r="K43" s="1739"/>
      <c r="L43" s="1740"/>
      <c r="M43" s="1741"/>
      <c r="N43" s="1723"/>
      <c r="O43" s="1723"/>
      <c r="P43" s="1723"/>
      <c r="Q43" s="1763"/>
      <c r="R43" s="1761">
        <f>ROUND(O43*N43*P43*(1-Q43)/10000,0)</f>
        <v>0</v>
      </c>
      <c r="S43" s="1748"/>
      <c r="T43" s="1751"/>
      <c r="V43" s="1604"/>
      <c r="W43" s="1772"/>
    </row>
    <row r="44" spans="1:23" ht="13.2" customHeight="1">
      <c r="J44" s="1743">
        <v>6</v>
      </c>
      <c r="K44" s="1744" t="s">
        <v>1568</v>
      </c>
      <c r="L44" s="1749" t="s">
        <v>1569</v>
      </c>
      <c r="M44" s="1746"/>
      <c r="N44" s="1749" t="s">
        <v>1570</v>
      </c>
      <c r="O44" s="1746"/>
      <c r="P44" s="1749" t="s">
        <v>1571</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1582</v>
      </c>
      <c r="B1" s="1575"/>
      <c r="C1" s="1575"/>
      <c r="D1" s="1575"/>
      <c r="E1" s="1576"/>
      <c r="F1" s="1577"/>
      <c r="G1" s="1578"/>
      <c r="H1" s="1578"/>
      <c r="I1" s="1578"/>
      <c r="J1" s="1578"/>
      <c r="K1" s="1578"/>
      <c r="L1" s="1578"/>
      <c r="M1" s="1578"/>
      <c r="N1" s="1578"/>
      <c r="O1" s="1578"/>
      <c r="P1" s="1578"/>
      <c r="Q1" s="1578"/>
      <c r="R1" s="1578"/>
      <c r="S1" s="1578"/>
    </row>
    <row r="2" spans="1:22" ht="15.6">
      <c r="A2" s="1579" t="s">
        <v>918</v>
      </c>
      <c r="B2" s="1580">
        <f ca="1">SUMIF(B6:B13,"&lt;&gt;#ref!",B6:B13)</f>
        <v>16591</v>
      </c>
      <c r="C2" s="1581" t="s">
        <v>1583</v>
      </c>
      <c r="D2" s="1582" t="s">
        <v>1584</v>
      </c>
      <c r="E2" s="1583">
        <f>SUM(E6:E13)</f>
        <v>5858.09</v>
      </c>
      <c r="F2" s="1577"/>
      <c r="G2" s="1578"/>
      <c r="H2" s="1578"/>
      <c r="I2" s="1578"/>
      <c r="J2" s="1578"/>
      <c r="K2" s="1578"/>
      <c r="L2" s="1578"/>
      <c r="M2" s="1578"/>
      <c r="N2" s="1578"/>
      <c r="O2" s="1578"/>
      <c r="P2" s="1578"/>
      <c r="Q2" s="1578"/>
      <c r="R2" s="1578"/>
      <c r="S2" s="1578"/>
    </row>
    <row r="3" spans="1:22" ht="15.6">
      <c r="A3" s="1579" t="s">
        <v>920</v>
      </c>
      <c r="B3" s="1584">
        <f ca="1">ROUND(B2*10000/E2,0)</f>
        <v>28322</v>
      </c>
      <c r="C3" s="1581" t="s">
        <v>1585</v>
      </c>
      <c r="D3" s="1585"/>
      <c r="E3" s="1586"/>
      <c r="F3" s="1577"/>
      <c r="G3" s="1578"/>
      <c r="H3" s="1578"/>
      <c r="I3" s="1578"/>
      <c r="J3" s="1578"/>
      <c r="K3" s="1578"/>
      <c r="L3" s="1578"/>
      <c r="M3" s="1578"/>
      <c r="N3" s="1578"/>
      <c r="O3" s="1578"/>
      <c r="P3" s="1578"/>
      <c r="Q3" s="1578"/>
      <c r="R3" s="1578"/>
      <c r="S3" s="1578"/>
    </row>
    <row r="4" spans="1:22" ht="15.6">
      <c r="A4" s="1587"/>
      <c r="B4" s="1585"/>
      <c r="C4" s="1585"/>
      <c r="D4" s="1585"/>
      <c r="E4" s="1586"/>
      <c r="F4" s="1577"/>
      <c r="G4" s="1578"/>
      <c r="H4" s="1578"/>
      <c r="I4" s="1578"/>
      <c r="J4" s="1578"/>
      <c r="K4" s="1578"/>
      <c r="L4" s="1578"/>
      <c r="M4" s="1578"/>
      <c r="N4" s="1578"/>
      <c r="O4" s="1578"/>
      <c r="P4" s="1578"/>
      <c r="Q4" s="1578"/>
      <c r="R4" s="1578"/>
      <c r="S4" s="1578"/>
    </row>
    <row r="5" spans="1:22" ht="14.4">
      <c r="A5" s="1588" t="s">
        <v>1586</v>
      </c>
      <c r="B5" s="3532" t="s">
        <v>1587</v>
      </c>
      <c r="C5" s="3533"/>
      <c r="D5" s="1589"/>
      <c r="E5" s="1590" t="s">
        <v>1588</v>
      </c>
      <c r="F5" s="1591" t="s">
        <v>1589</v>
      </c>
      <c r="G5" s="1578"/>
      <c r="H5" s="1578"/>
      <c r="I5" s="1578"/>
      <c r="J5" s="1578"/>
      <c r="K5" s="1578"/>
      <c r="L5" s="1578"/>
      <c r="M5" s="1578"/>
      <c r="N5" s="1578"/>
      <c r="O5" s="1578"/>
      <c r="P5" s="1578"/>
      <c r="Q5" s="1578"/>
      <c r="R5" s="1578"/>
      <c r="S5" s="1578"/>
    </row>
    <row r="6" spans="1:22" ht="14.4">
      <c r="A6" s="1592" t="str">
        <f>'数据-取费表'!AN6</f>
        <v>收益法</v>
      </c>
      <c r="B6" s="498">
        <f ca="1">IF(F6="是",'数据-取费表'!AO6,0)</f>
        <v>16591</v>
      </c>
      <c r="C6" s="1581" t="s">
        <v>1583</v>
      </c>
      <c r="D6" s="1585"/>
      <c r="E6" s="1593">
        <f>IF(OR(A6=0,F6="否"),0,'数据-取费表'!K6+'数据-取费表'!S6)</f>
        <v>5858.09</v>
      </c>
      <c r="F6" s="1594" t="s">
        <v>1590</v>
      </c>
      <c r="G6" s="1578"/>
      <c r="H6" s="1578"/>
      <c r="I6" s="1578"/>
      <c r="J6" s="1578"/>
      <c r="K6" s="1578"/>
      <c r="L6" s="1578"/>
      <c r="M6" s="1578"/>
      <c r="N6" s="1578"/>
      <c r="O6" s="1578"/>
      <c r="P6" s="1578"/>
      <c r="Q6" s="1578"/>
      <c r="R6" s="1578"/>
      <c r="S6" s="1578"/>
    </row>
    <row r="7" spans="1:22" ht="14.4">
      <c r="A7" s="1592">
        <f>'数据-取费表'!AN7</f>
        <v>0</v>
      </c>
      <c r="B7" s="498" t="e">
        <f ca="1">IF(F7="是",'数据-取费表'!AO7,0)</f>
        <v>#REF!</v>
      </c>
      <c r="C7" s="1581" t="s">
        <v>1583</v>
      </c>
      <c r="D7" s="1585"/>
      <c r="E7" s="1593">
        <f>IF(OR(A7=0,F7="否"),0,'数据-取费表'!K7+'数据-取费表'!S7)</f>
        <v>0</v>
      </c>
      <c r="F7" s="1594" t="s">
        <v>1590</v>
      </c>
      <c r="G7" s="1578"/>
      <c r="H7" s="1578"/>
      <c r="I7" s="1578"/>
      <c r="J7" s="1578"/>
      <c r="K7" s="1578"/>
      <c r="L7" s="1578"/>
      <c r="M7" s="1578"/>
      <c r="N7" s="1578"/>
      <c r="O7" s="1578"/>
      <c r="P7" s="1578"/>
      <c r="Q7" s="1578"/>
      <c r="R7" s="1578"/>
      <c r="S7" s="1578"/>
    </row>
    <row r="8" spans="1:22" ht="14.4">
      <c r="A8" s="1592">
        <f>'数据-取费表'!AN8</f>
        <v>0</v>
      </c>
      <c r="B8" s="498" t="e">
        <f ca="1">IF(F8="是",'数据-取费表'!AO8,0)</f>
        <v>#REF!</v>
      </c>
      <c r="C8" s="1581" t="s">
        <v>1583</v>
      </c>
      <c r="D8" s="1585"/>
      <c r="E8" s="1593">
        <f>IF(OR(A8=0,F8="否"),0,'数据-取费表'!K8+'数据-取费表'!S8)</f>
        <v>0</v>
      </c>
      <c r="F8" s="1594" t="s">
        <v>1590</v>
      </c>
      <c r="G8" s="1578"/>
      <c r="H8" s="1578"/>
      <c r="I8" s="1578"/>
      <c r="J8" s="1578"/>
      <c r="K8" s="1578"/>
      <c r="L8" s="1578"/>
      <c r="M8" s="1578"/>
      <c r="N8" s="1578"/>
      <c r="O8" s="1578"/>
      <c r="P8" s="1578"/>
      <c r="Q8" s="1578"/>
      <c r="R8" s="1578"/>
      <c r="S8" s="1578"/>
    </row>
    <row r="9" spans="1:22" ht="14.4">
      <c r="A9" s="1592">
        <f>'数据-取费表'!AN9</f>
        <v>0</v>
      </c>
      <c r="B9" s="498" t="e">
        <f ca="1">IF(F9="是",'数据-取费表'!AO9,0)</f>
        <v>#REF!</v>
      </c>
      <c r="C9" s="1581" t="s">
        <v>1583</v>
      </c>
      <c r="D9" s="1585"/>
      <c r="E9" s="1593">
        <f>IF(OR(A9=0,F9="否"),0,'数据-取费表'!K9+'数据-取费表'!S9)</f>
        <v>0</v>
      </c>
      <c r="F9" s="1594" t="s">
        <v>1590</v>
      </c>
      <c r="G9" s="1578"/>
      <c r="H9" s="1578"/>
      <c r="I9" s="1578"/>
      <c r="J9" s="1578"/>
      <c r="K9" s="1578"/>
      <c r="L9" s="1578"/>
      <c r="M9" s="1578"/>
      <c r="N9" s="1578"/>
      <c r="O9" s="1578"/>
      <c r="P9" s="1578"/>
      <c r="Q9" s="1578"/>
      <c r="R9" s="1578"/>
      <c r="S9" s="1578"/>
    </row>
    <row r="10" spans="1:22" ht="14.4">
      <c r="A10" s="1592">
        <f>'数据-取费表'!AN10</f>
        <v>0</v>
      </c>
      <c r="B10" s="498" t="e">
        <f ca="1">IF(F10="是",'数据-取费表'!AO10,0)</f>
        <v>#REF!</v>
      </c>
      <c r="C10" s="1581" t="s">
        <v>1583</v>
      </c>
      <c r="D10" s="1585"/>
      <c r="E10" s="1593">
        <f>IF(OR(A10=0,F10="否"),0,'数据-取费表'!K10+'数据-取费表'!S10)</f>
        <v>0</v>
      </c>
      <c r="F10" s="1594" t="s">
        <v>1590</v>
      </c>
      <c r="G10" s="1578"/>
      <c r="H10" s="1578"/>
      <c r="I10" s="1578"/>
      <c r="J10" s="1578"/>
      <c r="K10" s="1578"/>
      <c r="L10" s="1578"/>
      <c r="M10" s="1578"/>
      <c r="N10" s="1578"/>
      <c r="O10" s="1578"/>
      <c r="P10" s="1578"/>
      <c r="Q10" s="1578"/>
      <c r="R10" s="1578"/>
      <c r="S10" s="1578"/>
    </row>
    <row r="11" spans="1:22" ht="14.4">
      <c r="A11" s="1592">
        <f>'数据-取费表'!AN11</f>
        <v>0</v>
      </c>
      <c r="B11" s="498" t="e">
        <f ca="1">IF(F11="是",'数据-取费表'!AO11,0)</f>
        <v>#REF!</v>
      </c>
      <c r="C11" s="1581" t="s">
        <v>1583</v>
      </c>
      <c r="D11" s="1585"/>
      <c r="E11" s="1593">
        <f>IF(OR(A11=0,F11="否"),0,'数据-取费表'!K11+'数据-取费表'!S11)</f>
        <v>0</v>
      </c>
      <c r="F11" s="1594" t="s">
        <v>1590</v>
      </c>
      <c r="G11" s="1578"/>
      <c r="H11" s="1578"/>
      <c r="I11" s="1578"/>
      <c r="J11" s="1578"/>
      <c r="K11" s="1578"/>
      <c r="L11" s="1578"/>
      <c r="M11" s="1578"/>
      <c r="N11" s="1578"/>
      <c r="O11" s="1578"/>
      <c r="P11" s="1578"/>
      <c r="Q11" s="1578"/>
      <c r="R11" s="1578"/>
      <c r="S11" s="1578"/>
    </row>
    <row r="12" spans="1:22" ht="14.4">
      <c r="A12" s="1592">
        <f>'数据-取费表'!AN12</f>
        <v>0</v>
      </c>
      <c r="B12" s="498" t="e">
        <f ca="1">IF(F12="是",'数据-取费表'!AO12,0)</f>
        <v>#REF!</v>
      </c>
      <c r="C12" s="1581" t="s">
        <v>1583</v>
      </c>
      <c r="D12" s="1585"/>
      <c r="E12" s="1593">
        <f>IF(OR(A12=0,F12="否"),0,'数据-取费表'!K12+'数据-取费表'!S12)</f>
        <v>0</v>
      </c>
      <c r="F12" s="1594" t="s">
        <v>1590</v>
      </c>
      <c r="G12" s="1578"/>
      <c r="H12" s="1578"/>
      <c r="I12" s="1578"/>
      <c r="J12" s="1578"/>
      <c r="K12" s="1578"/>
      <c r="L12" s="1578"/>
      <c r="M12" s="1578"/>
      <c r="N12" s="1578"/>
      <c r="O12" s="1578"/>
      <c r="P12" s="1578"/>
      <c r="Q12" s="1578"/>
      <c r="R12" s="1578"/>
      <c r="S12" s="1578"/>
    </row>
    <row r="13" spans="1:22" ht="14.4">
      <c r="A13" s="1595">
        <f>'数据-取费表'!AN13</f>
        <v>0</v>
      </c>
      <c r="B13" s="498" t="e">
        <f ca="1">IF(F13="是",'数据-取费表'!AO13,0)</f>
        <v>#REF!</v>
      </c>
      <c r="C13" s="1596" t="s">
        <v>1583</v>
      </c>
      <c r="D13" s="1597"/>
      <c r="E13" s="1593">
        <f>IF(OR(A13=0,F13="否"),0,'数据-取费表'!K13+'数据-取费表'!S13)</f>
        <v>0</v>
      </c>
      <c r="F13" s="1594" t="s">
        <v>1590</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6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913</v>
      </c>
      <c r="B1" s="1462" t="s">
        <v>1591</v>
      </c>
      <c r="C1" s="1343" t="s">
        <v>915</v>
      </c>
      <c r="D1" s="1287"/>
      <c r="E1" s="1491"/>
      <c r="F1" s="1289" t="s">
        <v>1592</v>
      </c>
      <c r="G1" s="1290" t="s">
        <v>917</v>
      </c>
      <c r="H1" s="1288"/>
      <c r="I1" s="1288"/>
      <c r="J1" s="1288"/>
      <c r="K1" s="1341"/>
      <c r="L1" s="1342"/>
      <c r="M1" s="1343"/>
      <c r="N1" s="1343"/>
      <c r="O1" s="1343"/>
      <c r="P1" s="1502"/>
      <c r="Q1" s="1286"/>
      <c r="R1" s="1286"/>
      <c r="S1" s="1286"/>
      <c r="T1" s="1286"/>
      <c r="U1" s="1286"/>
      <c r="V1" s="1286"/>
      <c r="W1" s="1286"/>
      <c r="X1" s="1286"/>
      <c r="Y1" s="1286"/>
      <c r="Z1" s="1286"/>
      <c r="AA1" s="1286"/>
      <c r="AB1" s="1286"/>
      <c r="AC1" s="1349"/>
    </row>
    <row r="2" spans="1:29" s="1490" customFormat="1" ht="28.5" customHeight="1">
      <c r="A2" s="1291" t="s">
        <v>918</v>
      </c>
      <c r="B2" s="1292" t="e">
        <f ca="1">IF(C2="——",ROUND(C49*D3/10000,0),ROUND(C49*D3/10000,0)-D2)</f>
        <v>#DIV/0!</v>
      </c>
      <c r="C2" s="1293"/>
      <c r="D2" s="1464" t="e">
        <f ca="1">SUMIF(INDIRECT("'"&amp;F2&amp;"'"&amp;"!A:A"),"承租人权益价值",INDIRECT("'"&amp;F2&amp;"'"&amp;"!c:c"))</f>
        <v>#REF!</v>
      </c>
      <c r="E2" s="1294" t="s">
        <v>919</v>
      </c>
      <c r="F2" s="1295"/>
      <c r="G2" s="1250"/>
      <c r="H2" s="1250"/>
      <c r="I2" s="1250"/>
      <c r="J2" s="1250"/>
      <c r="K2" s="1503"/>
      <c r="L2" s="1504"/>
      <c r="M2" s="1505"/>
      <c r="N2" s="1505"/>
      <c r="O2" s="1505"/>
      <c r="P2" s="1506"/>
      <c r="Q2" s="1524"/>
      <c r="R2" s="1524"/>
      <c r="S2" s="1524"/>
      <c r="T2" s="1524"/>
      <c r="U2" s="1524"/>
      <c r="V2" s="1524"/>
      <c r="W2" s="1524"/>
      <c r="X2" s="1524"/>
      <c r="Y2" s="1524"/>
      <c r="Z2" s="1524"/>
      <c r="AA2" s="1524"/>
      <c r="AB2" s="1524"/>
      <c r="AC2" s="1525"/>
    </row>
    <row r="3" spans="1:29" s="1490" customFormat="1" ht="28.5" customHeight="1">
      <c r="A3" s="153" t="s">
        <v>920</v>
      </c>
      <c r="B3" s="1297" t="e">
        <f ca="1">IF(C2="——",C49,ROUND(B2*10000/D3,0))</f>
        <v>#DIV/0!</v>
      </c>
      <c r="C3" s="1296" t="s">
        <v>921</v>
      </c>
      <c r="D3" s="1297">
        <f>IF(D1="",'数据-汇总表'!E3,SUMIF('数据-汇总表'!$C19:$C33,D1,'数据-汇总表'!$E19:$E33))</f>
        <v>5858.09</v>
      </c>
      <c r="E3" s="1250"/>
      <c r="F3" s="1492"/>
      <c r="G3" s="1250"/>
      <c r="H3" s="1250"/>
      <c r="I3" s="1250"/>
      <c r="J3" s="1250"/>
      <c r="K3" s="1503"/>
      <c r="L3" s="1504"/>
      <c r="M3" s="1505"/>
      <c r="N3" s="1505"/>
      <c r="O3" s="1505"/>
      <c r="P3" s="1506"/>
      <c r="Q3" s="1524"/>
      <c r="R3" s="1524"/>
      <c r="S3" s="1524"/>
      <c r="T3" s="1524"/>
      <c r="U3" s="1524"/>
      <c r="V3" s="1524"/>
      <c r="W3" s="1524"/>
      <c r="X3" s="1524"/>
      <c r="Y3" s="1524"/>
      <c r="Z3" s="1524"/>
      <c r="AA3" s="1524"/>
      <c r="AB3" s="1524"/>
      <c r="AC3" s="1526"/>
    </row>
    <row r="4" spans="1:29" ht="14.4">
      <c r="A4" s="924" t="s">
        <v>922</v>
      </c>
      <c r="B4" s="925"/>
      <c r="C4" s="3495" t="s">
        <v>923</v>
      </c>
      <c r="D4" s="3496"/>
      <c r="E4" s="3497" t="s">
        <v>924</v>
      </c>
      <c r="F4" s="3498"/>
      <c r="G4" s="3495" t="s">
        <v>925</v>
      </c>
      <c r="H4" s="3496"/>
      <c r="I4" s="3495" t="s">
        <v>926</v>
      </c>
      <c r="J4" s="3496"/>
      <c r="K4" s="1507" t="s">
        <v>927</v>
      </c>
      <c r="L4" s="1072"/>
      <c r="M4" s="1073"/>
      <c r="N4" s="1073"/>
      <c r="O4" s="1073"/>
      <c r="P4" s="3535" t="s">
        <v>928</v>
      </c>
      <c r="Q4" s="3536"/>
      <c r="R4" s="3539" t="s">
        <v>924</v>
      </c>
      <c r="S4" s="3540"/>
      <c r="T4" s="3539" t="s">
        <v>925</v>
      </c>
      <c r="U4" s="3540"/>
      <c r="V4" s="3471" t="s">
        <v>926</v>
      </c>
      <c r="W4" s="3471"/>
      <c r="X4" s="1115"/>
      <c r="Y4" s="3539" t="s">
        <v>928</v>
      </c>
      <c r="Z4" s="3540"/>
      <c r="AA4" s="3534" t="s">
        <v>924</v>
      </c>
      <c r="AB4" s="3534" t="s">
        <v>925</v>
      </c>
      <c r="AC4" s="3534" t="s">
        <v>926</v>
      </c>
    </row>
    <row r="5" spans="1:29">
      <c r="A5" s="926"/>
      <c r="B5" s="927"/>
      <c r="C5" s="3499" t="s">
        <v>929</v>
      </c>
      <c r="D5" s="3500"/>
      <c r="E5" s="3544" t="s">
        <v>1593</v>
      </c>
      <c r="F5" s="3502"/>
      <c r="G5" s="3499" t="s">
        <v>1594</v>
      </c>
      <c r="H5" s="3500"/>
      <c r="I5" s="3499" t="s">
        <v>1595</v>
      </c>
      <c r="J5" s="3500"/>
      <c r="K5" s="1508"/>
      <c r="L5" s="1072"/>
      <c r="M5" s="1073"/>
      <c r="N5" s="1073"/>
      <c r="O5" s="1073"/>
      <c r="P5" s="3537"/>
      <c r="Q5" s="3461"/>
      <c r="R5" s="3466"/>
      <c r="S5" s="3467"/>
      <c r="T5" s="3466"/>
      <c r="U5" s="3467"/>
      <c r="V5" s="3471"/>
      <c r="W5" s="3471"/>
      <c r="X5" s="1115"/>
      <c r="Y5" s="3466"/>
      <c r="Z5" s="3467"/>
      <c r="AA5" s="3453"/>
      <c r="AB5" s="3453"/>
      <c r="AC5" s="3453"/>
    </row>
    <row r="6" spans="1:29" ht="14.4">
      <c r="A6" s="928"/>
      <c r="B6" s="929"/>
      <c r="C6" s="3490" t="s">
        <v>933</v>
      </c>
      <c r="D6" s="3491"/>
      <c r="E6" s="3492" t="s">
        <v>933</v>
      </c>
      <c r="F6" s="3493"/>
      <c r="G6" s="3490" t="s">
        <v>933</v>
      </c>
      <c r="H6" s="3491"/>
      <c r="I6" s="3490" t="s">
        <v>933</v>
      </c>
      <c r="J6" s="3491"/>
      <c r="K6" s="1508" t="s">
        <v>934</v>
      </c>
      <c r="L6" s="1072"/>
      <c r="M6" s="1073"/>
      <c r="N6" s="1073"/>
      <c r="O6" s="1073"/>
      <c r="P6" s="3538"/>
      <c r="Q6" s="3463"/>
      <c r="R6" s="3466"/>
      <c r="S6" s="3467"/>
      <c r="T6" s="3468"/>
      <c r="U6" s="3469"/>
      <c r="V6" s="3471"/>
      <c r="W6" s="3471"/>
      <c r="X6" s="1115"/>
      <c r="Y6" s="3468"/>
      <c r="Z6" s="3469"/>
      <c r="AA6" s="3454"/>
      <c r="AB6" s="3454"/>
      <c r="AC6" s="3454"/>
    </row>
    <row r="7" spans="1:29" s="905" customFormat="1" ht="14.4">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509"/>
      <c r="L7" s="1075"/>
      <c r="M7" s="1076"/>
      <c r="N7" s="1076"/>
      <c r="O7" s="1076"/>
      <c r="P7" s="3478" t="s">
        <v>936</v>
      </c>
      <c r="Q7" s="3494"/>
      <c r="R7" s="1116" t="s">
        <v>937</v>
      </c>
      <c r="S7" s="1117">
        <f t="shared" ref="S7:S15" si="0">F7</f>
        <v>0</v>
      </c>
      <c r="T7" s="1116" t="s">
        <v>937</v>
      </c>
      <c r="U7" s="1117">
        <f t="shared" ref="U7:U15" si="1">H7</f>
        <v>0</v>
      </c>
      <c r="V7" s="1116" t="s">
        <v>937</v>
      </c>
      <c r="W7" s="1117">
        <f t="shared" ref="W7:W15" si="2">J7</f>
        <v>0</v>
      </c>
      <c r="X7" s="1118"/>
      <c r="Y7" s="3478" t="s">
        <v>936</v>
      </c>
      <c r="Z7" s="3479"/>
      <c r="AA7" s="1130" t="e">
        <f>D7/F7</f>
        <v>#DIV/0!</v>
      </c>
      <c r="AB7" s="1130" t="e">
        <f>D7/H7</f>
        <v>#DIV/0!</v>
      </c>
      <c r="AC7" s="1130" t="e">
        <f>D7/J7</f>
        <v>#DIV/0!</v>
      </c>
    </row>
    <row r="8" spans="1:29" s="905" customFormat="1" ht="14.4">
      <c r="A8" s="930" t="s">
        <v>938</v>
      </c>
      <c r="B8" s="931"/>
      <c r="C8" s="937" t="s">
        <v>939</v>
      </c>
      <c r="D8" s="933">
        <v>100</v>
      </c>
      <c r="E8" s="1493"/>
      <c r="F8" s="935">
        <f>SUMIF(61:61,E8,62:62)-SUMIF(61:61,C8,62:62)+100</f>
        <v>0</v>
      </c>
      <c r="G8" s="937"/>
      <c r="H8" s="933">
        <f>SUMIF(61:61,G8,62:62)-SUMIF(61:61,C8,62:62)+100</f>
        <v>0</v>
      </c>
      <c r="I8" s="1493"/>
      <c r="J8" s="933">
        <f>SUMIF(61:61,I8,62:62)-SUMIF(61:61,C8,62:62)+100</f>
        <v>0</v>
      </c>
      <c r="K8" s="1509"/>
      <c r="L8" s="1075"/>
      <c r="M8" s="1076"/>
      <c r="N8" s="1076"/>
      <c r="O8" s="1076"/>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19" si="3">D8/F8</f>
        <v>#DIV/0!</v>
      </c>
      <c r="AB8" s="1130" t="e">
        <f t="shared" ref="AB8:AB19" si="4">D8/H8</f>
        <v>#DIV/0!</v>
      </c>
      <c r="AC8" s="1130" t="e">
        <f t="shared" ref="AC8:AC19" si="5">D8/J8</f>
        <v>#DIV/0!</v>
      </c>
    </row>
    <row r="9" spans="1:29" s="905" customFormat="1" ht="14.4">
      <c r="A9" s="938" t="s">
        <v>942</v>
      </c>
      <c r="B9" s="939" t="s">
        <v>943</v>
      </c>
      <c r="C9" s="1298"/>
      <c r="D9" s="941">
        <v>100</v>
      </c>
      <c r="E9" s="1367"/>
      <c r="F9" s="1300">
        <f>SUMIF(63:63,E9,64:64)-SUMIF(63:63,C9,64:64)+100</f>
        <v>100</v>
      </c>
      <c r="G9" s="1299"/>
      <c r="H9" s="941">
        <f>SUMIF(63:63,G9,64:64)-SUMIF(63:63,C9,64:64)+100</f>
        <v>100</v>
      </c>
      <c r="I9" s="1299"/>
      <c r="J9" s="941">
        <f>SUMIF(63:63,I9,64:64)-SUMIF(63:63,C9,64:64)+100</f>
        <v>100</v>
      </c>
      <c r="K9" s="1509"/>
      <c r="L9" s="1075"/>
      <c r="M9" s="1076"/>
      <c r="N9" s="1076"/>
      <c r="O9" s="1076"/>
      <c r="P9" s="3472" t="s">
        <v>945</v>
      </c>
      <c r="Q9" s="1120" t="str">
        <f t="shared" ref="Q9:Q15" si="6">B9</f>
        <v>用途</v>
      </c>
      <c r="R9" s="1116" t="s">
        <v>937</v>
      </c>
      <c r="S9" s="1117">
        <f t="shared" si="0"/>
        <v>100</v>
      </c>
      <c r="T9" s="1116" t="s">
        <v>937</v>
      </c>
      <c r="U9" s="1117">
        <f t="shared" si="1"/>
        <v>100</v>
      </c>
      <c r="V9" s="1116" t="s">
        <v>937</v>
      </c>
      <c r="W9" s="1117">
        <f t="shared" si="2"/>
        <v>100</v>
      </c>
      <c r="X9" s="1118"/>
      <c r="Y9" s="3364" t="s">
        <v>946</v>
      </c>
      <c r="Z9" s="1131" t="str">
        <f t="shared" ref="Z9:Z15" si="7">Q9</f>
        <v>用途</v>
      </c>
      <c r="AA9" s="1130">
        <f t="shared" si="3"/>
        <v>1</v>
      </c>
      <c r="AB9" s="1130">
        <f t="shared" si="4"/>
        <v>1</v>
      </c>
      <c r="AC9" s="1130">
        <f t="shared" si="5"/>
        <v>1</v>
      </c>
    </row>
    <row r="10" spans="1:29" s="906" customFormat="1" ht="28.8">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510"/>
      <c r="L10" s="1079"/>
      <c r="M10" s="1080"/>
      <c r="N10" s="1080"/>
      <c r="O10" s="1080"/>
      <c r="P10" s="3472"/>
      <c r="Q10" s="1120" t="str">
        <f t="shared" si="6"/>
        <v>土地使用年限（年）</v>
      </c>
      <c r="R10" s="1116" t="s">
        <v>937</v>
      </c>
      <c r="S10" s="1117">
        <f t="shared" si="0"/>
        <v>100</v>
      </c>
      <c r="T10" s="1116" t="s">
        <v>937</v>
      </c>
      <c r="U10" s="1117">
        <f t="shared" si="1"/>
        <v>100</v>
      </c>
      <c r="V10" s="1116" t="s">
        <v>937</v>
      </c>
      <c r="W10" s="1117">
        <f t="shared" si="2"/>
        <v>100</v>
      </c>
      <c r="X10" s="1118"/>
      <c r="Y10" s="3364"/>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510"/>
      <c r="L11" s="1083"/>
      <c r="M11" s="1073"/>
      <c r="N11" s="1073"/>
      <c r="O11" s="1073"/>
      <c r="P11" s="3472"/>
      <c r="Q11" s="1120" t="str">
        <f t="shared" si="6"/>
        <v>容积率</v>
      </c>
      <c r="R11" s="1116" t="s">
        <v>937</v>
      </c>
      <c r="S11" s="1117" t="e">
        <f t="shared" si="0"/>
        <v>#N/A</v>
      </c>
      <c r="T11" s="1116" t="s">
        <v>937</v>
      </c>
      <c r="U11" s="1117" t="e">
        <f t="shared" si="1"/>
        <v>#N/A</v>
      </c>
      <c r="V11" s="1116" t="s">
        <v>937</v>
      </c>
      <c r="W11" s="1117" t="e">
        <f t="shared" si="2"/>
        <v>#N/A</v>
      </c>
      <c r="X11" s="1118"/>
      <c r="Y11" s="336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11"/>
      <c r="L12" s="1075"/>
      <c r="M12" s="1076"/>
      <c r="N12" s="1076"/>
      <c r="O12" s="1076"/>
      <c r="P12" s="3472"/>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11"/>
      <c r="L13" s="1085"/>
      <c r="M13" s="1073"/>
      <c r="N13" s="1073"/>
      <c r="O13" s="1073"/>
      <c r="P13" s="3472"/>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11"/>
      <c r="L14" s="1085"/>
      <c r="M14" s="1073"/>
      <c r="N14" s="1073"/>
      <c r="O14" s="1073"/>
      <c r="P14" s="3472"/>
      <c r="Q14" s="1120">
        <f t="shared" si="6"/>
        <v>111</v>
      </c>
      <c r="R14" s="1116" t="s">
        <v>937</v>
      </c>
      <c r="S14" s="1117">
        <f t="shared" si="0"/>
        <v>100</v>
      </c>
      <c r="T14" s="1116" t="s">
        <v>937</v>
      </c>
      <c r="U14" s="1117">
        <f t="shared" si="1"/>
        <v>100</v>
      </c>
      <c r="V14" s="1116" t="s">
        <v>937</v>
      </c>
      <c r="W14" s="1117">
        <f t="shared" si="2"/>
        <v>100</v>
      </c>
      <c r="X14" s="1118"/>
      <c r="Y14" s="3364"/>
      <c r="Z14" s="1131">
        <f t="shared" si="7"/>
        <v>111</v>
      </c>
      <c r="AA14" s="1130">
        <f t="shared" si="3"/>
        <v>1</v>
      </c>
      <c r="AB14" s="1130">
        <f t="shared" si="4"/>
        <v>1</v>
      </c>
      <c r="AC14" s="1130">
        <f t="shared" si="5"/>
        <v>1</v>
      </c>
    </row>
    <row r="15" spans="1:29" ht="96.6">
      <c r="A15" s="960" t="s">
        <v>951</v>
      </c>
      <c r="B15" s="1253" t="s">
        <v>1596</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12"/>
      <c r="L15" s="1085"/>
      <c r="M15" s="1073"/>
      <c r="N15" s="1073"/>
      <c r="O15" s="1073"/>
      <c r="P15" s="3481" t="s">
        <v>953</v>
      </c>
      <c r="Q15" s="681" t="str">
        <f t="shared" si="6"/>
        <v>居住社区成熟度</v>
      </c>
      <c r="R15" s="1121" t="s">
        <v>937</v>
      </c>
      <c r="S15" s="1122">
        <f t="shared" si="0"/>
        <v>100</v>
      </c>
      <c r="T15" s="1121" t="s">
        <v>937</v>
      </c>
      <c r="U15" s="1122">
        <f t="shared" si="1"/>
        <v>100</v>
      </c>
      <c r="V15" s="1121" t="s">
        <v>937</v>
      </c>
      <c r="W15" s="1122">
        <f t="shared" si="2"/>
        <v>100</v>
      </c>
      <c r="X15" s="1115"/>
      <c r="Y15" s="3486" t="s">
        <v>953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13"/>
      <c r="L16" s="1085"/>
      <c r="M16" s="1073"/>
      <c r="N16" s="1073"/>
      <c r="O16" s="1073"/>
      <c r="P16" s="3482"/>
      <c r="Q16" s="681"/>
      <c r="R16" s="1121"/>
      <c r="S16" s="1122"/>
      <c r="T16" s="1121"/>
      <c r="U16" s="1122"/>
      <c r="V16" s="1121"/>
      <c r="W16" s="1122"/>
      <c r="X16" s="1115"/>
      <c r="Y16" s="3487"/>
      <c r="Z16" s="1105"/>
      <c r="AA16" s="1132">
        <v>1</v>
      </c>
      <c r="AB16" s="1132">
        <v>1</v>
      </c>
      <c r="AC16" s="1132">
        <v>1</v>
      </c>
    </row>
    <row r="17" spans="1:29" ht="82.8">
      <c r="A17" s="946"/>
      <c r="B17" s="1256" t="s">
        <v>956</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12"/>
      <c r="L17" s="1085"/>
      <c r="M17" s="1073"/>
      <c r="N17" s="1073"/>
      <c r="O17" s="1073"/>
      <c r="P17" s="3482"/>
      <c r="Q17" s="681" t="str">
        <f>B17</f>
        <v>交通便捷度</v>
      </c>
      <c r="R17" s="1121" t="s">
        <v>937</v>
      </c>
      <c r="S17" s="1122">
        <f>F17</f>
        <v>100</v>
      </c>
      <c r="T17" s="1121" t="s">
        <v>937</v>
      </c>
      <c r="U17" s="1122">
        <f>H17</f>
        <v>100</v>
      </c>
      <c r="V17" s="1121" t="s">
        <v>937</v>
      </c>
      <c r="W17" s="1122">
        <f>J17</f>
        <v>100</v>
      </c>
      <c r="X17" s="1115"/>
      <c r="Y17" s="3487"/>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13"/>
      <c r="L18" s="1085"/>
      <c r="M18" s="1073"/>
      <c r="N18" s="1073"/>
      <c r="O18" s="1073"/>
      <c r="P18" s="3482"/>
      <c r="Q18" s="681"/>
      <c r="R18" s="1121"/>
      <c r="S18" s="1122"/>
      <c r="T18" s="1121"/>
      <c r="U18" s="1122"/>
      <c r="V18" s="1121"/>
      <c r="W18" s="1122"/>
      <c r="X18" s="1115"/>
      <c r="Y18" s="3487"/>
      <c r="Z18" s="1105"/>
      <c r="AA18" s="1132">
        <v>1</v>
      </c>
      <c r="AB18" s="1132">
        <v>1</v>
      </c>
      <c r="AC18" s="1132">
        <v>1</v>
      </c>
    </row>
    <row r="19" spans="1:29" ht="41.4">
      <c r="A19" s="946"/>
      <c r="B19" s="1256" t="s">
        <v>957</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12"/>
      <c r="L19" s="1085"/>
      <c r="M19" s="1073"/>
      <c r="N19" s="1073"/>
      <c r="O19" s="1073"/>
      <c r="P19" s="3482"/>
      <c r="Q19" s="681" t="str">
        <f>B19</f>
        <v>公共配套设施</v>
      </c>
      <c r="R19" s="1121" t="s">
        <v>937</v>
      </c>
      <c r="S19" s="1122">
        <f>F19</f>
        <v>100</v>
      </c>
      <c r="T19" s="1121" t="s">
        <v>937</v>
      </c>
      <c r="U19" s="1122">
        <f>H19</f>
        <v>100</v>
      </c>
      <c r="V19" s="1121" t="s">
        <v>937</v>
      </c>
      <c r="W19" s="1122">
        <f>J19</f>
        <v>100</v>
      </c>
      <c r="X19" s="1115"/>
      <c r="Y19" s="3487"/>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13"/>
      <c r="L20" s="1085"/>
      <c r="M20" s="1073"/>
      <c r="N20" s="1073"/>
      <c r="O20" s="1073"/>
      <c r="P20" s="3482"/>
      <c r="Q20" s="681"/>
      <c r="R20" s="1121"/>
      <c r="S20" s="1122"/>
      <c r="T20" s="1121"/>
      <c r="U20" s="1122"/>
      <c r="V20" s="1121"/>
      <c r="W20" s="1122"/>
      <c r="X20" s="1115"/>
      <c r="Y20" s="3487"/>
      <c r="Z20" s="1105"/>
      <c r="AA20" s="1132">
        <v>1</v>
      </c>
      <c r="AB20" s="1132">
        <v>1</v>
      </c>
      <c r="AC20" s="1132">
        <v>1</v>
      </c>
    </row>
    <row r="21" spans="1:29" ht="27.6">
      <c r="A21" s="946"/>
      <c r="B21" s="1260" t="s">
        <v>958</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12"/>
      <c r="L21" s="1085"/>
      <c r="M21" s="1073"/>
      <c r="N21" s="1073"/>
      <c r="O21" s="1073"/>
      <c r="P21" s="3482"/>
      <c r="Q21" s="681" t="str">
        <f>B21</f>
        <v>基础设施水平</v>
      </c>
      <c r="R21" s="1121" t="s">
        <v>937</v>
      </c>
      <c r="S21" s="1122">
        <f>F21</f>
        <v>100</v>
      </c>
      <c r="T21" s="1121" t="s">
        <v>937</v>
      </c>
      <c r="U21" s="1122">
        <f>H21</f>
        <v>100</v>
      </c>
      <c r="V21" s="1121" t="s">
        <v>937</v>
      </c>
      <c r="W21" s="1122">
        <f>J21</f>
        <v>100</v>
      </c>
      <c r="X21" s="1115"/>
      <c r="Y21" s="348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14"/>
      <c r="L22" s="1085"/>
      <c r="M22" s="1073"/>
      <c r="N22" s="1073"/>
      <c r="O22" s="1073"/>
      <c r="P22" s="3482"/>
      <c r="Q22" s="681"/>
      <c r="R22" s="1121"/>
      <c r="S22" s="1122"/>
      <c r="T22" s="1121"/>
      <c r="U22" s="1122"/>
      <c r="V22" s="1121"/>
      <c r="W22" s="1122"/>
      <c r="X22" s="1115"/>
      <c r="Y22" s="3487"/>
      <c r="Z22" s="1105"/>
      <c r="AA22" s="1132">
        <v>1</v>
      </c>
      <c r="AB22" s="1132">
        <v>1</v>
      </c>
      <c r="AC22" s="1132">
        <v>1</v>
      </c>
    </row>
    <row r="23" spans="1:29" ht="55.2">
      <c r="A23" s="946"/>
      <c r="B23" s="1256" t="s">
        <v>1597</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12"/>
      <c r="L23" s="1085"/>
      <c r="M23" s="1073"/>
      <c r="N23" s="1073"/>
      <c r="O23" s="1073"/>
      <c r="P23" s="3482"/>
      <c r="Q23" s="681" t="str">
        <f>B23</f>
        <v>自然及人文环境</v>
      </c>
      <c r="R23" s="1121" t="s">
        <v>937</v>
      </c>
      <c r="S23" s="1122">
        <f>F23</f>
        <v>100</v>
      </c>
      <c r="T23" s="1121" t="s">
        <v>937</v>
      </c>
      <c r="U23" s="1122">
        <f>H23</f>
        <v>100</v>
      </c>
      <c r="V23" s="1121" t="s">
        <v>937</v>
      </c>
      <c r="W23" s="1122">
        <f>J23</f>
        <v>100</v>
      </c>
      <c r="X23" s="1115"/>
      <c r="Y23" s="3487"/>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13"/>
      <c r="L24" s="1085"/>
      <c r="M24" s="1073"/>
      <c r="N24" s="1073"/>
      <c r="O24" s="1073"/>
      <c r="P24" s="3482"/>
      <c r="Q24" s="681"/>
      <c r="R24" s="1121"/>
      <c r="S24" s="1122"/>
      <c r="T24" s="1121"/>
      <c r="U24" s="1122"/>
      <c r="V24" s="1121"/>
      <c r="W24" s="1122"/>
      <c r="X24" s="1115"/>
      <c r="Y24" s="3487"/>
      <c r="Z24" s="1105"/>
      <c r="AA24" s="1132">
        <v>1</v>
      </c>
      <c r="AB24" s="1132">
        <v>1</v>
      </c>
      <c r="AC24" s="1132">
        <v>1</v>
      </c>
    </row>
    <row r="25" spans="1:29" ht="15">
      <c r="A25" s="946"/>
      <c r="B25" s="943" t="s">
        <v>1598</v>
      </c>
      <c r="C25" s="1319"/>
      <c r="D25" s="955">
        <v>100</v>
      </c>
      <c r="E25" s="998"/>
      <c r="F25" s="955">
        <f>SUMIF(86:86,E25,87:87)-SUMIF(86:86,C25,87:87)+100</f>
        <v>100</v>
      </c>
      <c r="G25" s="1494"/>
      <c r="H25" s="955">
        <f>SUMIF(86:86,G25,87:87)-SUMIF(86:86,C25,87:87)+100</f>
        <v>100</v>
      </c>
      <c r="I25" s="1494"/>
      <c r="J25" s="955">
        <f>SUMIF(86:86,I25,87:87)-SUMIF(86:86,C25,87:87)+100</f>
        <v>100</v>
      </c>
      <c r="K25" s="1510"/>
      <c r="L25" s="1085"/>
      <c r="M25" s="1073"/>
      <c r="N25" s="1073"/>
      <c r="O25" s="1073"/>
      <c r="P25" s="3482"/>
      <c r="Q25" s="681" t="str">
        <f t="shared" ref="Q25:Q46" si="11">B25</f>
        <v>楼层-1</v>
      </c>
      <c r="R25" s="1121" t="s">
        <v>937</v>
      </c>
      <c r="S25" s="1122">
        <f t="shared" ref="S25:S46" si="12">F25</f>
        <v>100</v>
      </c>
      <c r="T25" s="1121" t="s">
        <v>937</v>
      </c>
      <c r="U25" s="1122">
        <f t="shared" ref="U25:U46" si="13">H25</f>
        <v>100</v>
      </c>
      <c r="V25" s="1121" t="s">
        <v>937</v>
      </c>
      <c r="W25" s="1122">
        <f t="shared" ref="W25:W46" si="14">J25</f>
        <v>100</v>
      </c>
      <c r="X25" s="1115"/>
      <c r="Y25" s="3487"/>
      <c r="Z25" s="1105" t="str">
        <f>Q25</f>
        <v>楼层-1</v>
      </c>
      <c r="AA25" s="1132">
        <f t="shared" ref="AA25:AA46" si="15">D25/F25</f>
        <v>1</v>
      </c>
      <c r="AB25" s="1132">
        <f t="shared" ref="AB25:AB46" si="16">D25/H25</f>
        <v>1</v>
      </c>
      <c r="AC25" s="1132">
        <f t="shared" ref="AC25:AC46" si="17">D25/J25</f>
        <v>1</v>
      </c>
    </row>
    <row r="26" spans="1:29" ht="15">
      <c r="A26" s="946"/>
      <c r="B26" s="943" t="s">
        <v>964</v>
      </c>
      <c r="C26" s="1319"/>
      <c r="D26" s="955">
        <v>100</v>
      </c>
      <c r="E26" s="998"/>
      <c r="F26" s="955">
        <f>SUMIF(88:88,E26,89:89)-SUMIF(88:88,C26,89:89)+100</f>
        <v>100</v>
      </c>
      <c r="G26" s="1494"/>
      <c r="H26" s="955">
        <f>SUMIF(88:88,G26,89:89)-SUMIF(88:88,C26,89:89)+100</f>
        <v>100</v>
      </c>
      <c r="I26" s="1494"/>
      <c r="J26" s="955">
        <f>SUMIF(88:88,I26,89:89)-SUMIF(88:88,C26,89:89)+100</f>
        <v>100</v>
      </c>
      <c r="K26" s="1510"/>
      <c r="L26" s="1085"/>
      <c r="M26" s="1073"/>
      <c r="N26" s="1073"/>
      <c r="O26" s="1073"/>
      <c r="P26" s="3482"/>
      <c r="Q26" s="681" t="str">
        <f t="shared" si="11"/>
        <v>朝向</v>
      </c>
      <c r="R26" s="1121" t="s">
        <v>937</v>
      </c>
      <c r="S26" s="1122">
        <f t="shared" si="12"/>
        <v>100</v>
      </c>
      <c r="T26" s="1121" t="s">
        <v>937</v>
      </c>
      <c r="U26" s="1122">
        <f t="shared" si="13"/>
        <v>100</v>
      </c>
      <c r="V26" s="1121" t="s">
        <v>937</v>
      </c>
      <c r="W26" s="1122">
        <f t="shared" si="14"/>
        <v>100</v>
      </c>
      <c r="X26" s="1115"/>
      <c r="Y26" s="3487"/>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11"/>
      <c r="L27" s="1075"/>
      <c r="M27" s="1076"/>
      <c r="N27" s="1076"/>
      <c r="O27" s="1076"/>
      <c r="P27" s="3482"/>
      <c r="Q27" s="1120">
        <f t="shared" si="11"/>
        <v>111</v>
      </c>
      <c r="R27" s="1116" t="s">
        <v>937</v>
      </c>
      <c r="S27" s="1117">
        <f t="shared" si="12"/>
        <v>100</v>
      </c>
      <c r="T27" s="1116" t="s">
        <v>937</v>
      </c>
      <c r="U27" s="1117">
        <f t="shared" si="13"/>
        <v>100</v>
      </c>
      <c r="V27" s="1116" t="s">
        <v>937</v>
      </c>
      <c r="W27" s="1117">
        <f t="shared" si="14"/>
        <v>100</v>
      </c>
      <c r="X27" s="1118"/>
      <c r="Y27" s="3487"/>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95"/>
      <c r="H28" s="955">
        <f>SUMIF(92:92,G28,93:93)-SUMIF(92:92,C28,93:93)+100</f>
        <v>100</v>
      </c>
      <c r="I28" s="954"/>
      <c r="J28" s="955">
        <f>SUMIF(92:92,I28,93:93)-SUMIF(92:92,C28,93:93)+100</f>
        <v>100</v>
      </c>
      <c r="K28" s="1511"/>
      <c r="L28" s="1085"/>
      <c r="M28" s="1073"/>
      <c r="N28" s="1073"/>
      <c r="O28" s="1073"/>
      <c r="P28" s="3482"/>
      <c r="Q28" s="681">
        <f t="shared" si="11"/>
        <v>111</v>
      </c>
      <c r="R28" s="1121" t="s">
        <v>937</v>
      </c>
      <c r="S28" s="1122">
        <f t="shared" si="12"/>
        <v>100</v>
      </c>
      <c r="T28" s="1121" t="s">
        <v>937</v>
      </c>
      <c r="U28" s="1122">
        <f t="shared" si="13"/>
        <v>100</v>
      </c>
      <c r="V28" s="1121" t="s">
        <v>937</v>
      </c>
      <c r="W28" s="1122">
        <f t="shared" si="14"/>
        <v>100</v>
      </c>
      <c r="X28" s="1115"/>
      <c r="Y28" s="3487"/>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95"/>
      <c r="H29" s="955">
        <f>SUMIF(94:94,G29,95:95)-SUMIF(94:94,C29,95:95)+100</f>
        <v>100</v>
      </c>
      <c r="I29" s="954"/>
      <c r="J29" s="955">
        <f>SUMIF(94:94,I29,95:95)-SUMIF(94:94,C29,95:95)+100</f>
        <v>100</v>
      </c>
      <c r="K29" s="1511"/>
      <c r="L29" s="1085"/>
      <c r="M29" s="1073"/>
      <c r="N29" s="1073"/>
      <c r="O29" s="1073"/>
      <c r="P29" s="3482"/>
      <c r="Q29" s="681">
        <f t="shared" si="11"/>
        <v>111</v>
      </c>
      <c r="R29" s="1121" t="s">
        <v>937</v>
      </c>
      <c r="S29" s="1122">
        <f t="shared" si="12"/>
        <v>100</v>
      </c>
      <c r="T29" s="1121" t="s">
        <v>937</v>
      </c>
      <c r="U29" s="1122">
        <f t="shared" si="13"/>
        <v>100</v>
      </c>
      <c r="V29" s="1121" t="s">
        <v>937</v>
      </c>
      <c r="W29" s="1122">
        <f t="shared" si="14"/>
        <v>100</v>
      </c>
      <c r="X29" s="1115"/>
      <c r="Y29" s="3487"/>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95"/>
      <c r="H30" s="955">
        <f>SUMIF(96:96,G30,97:97)-SUMIF(96:96,C30,97:97)+100</f>
        <v>100</v>
      </c>
      <c r="I30" s="954"/>
      <c r="J30" s="955">
        <f>SUMIF(96:96,I30,97:97)-SUMIF(96:96,C30,97:97)+100</f>
        <v>100</v>
      </c>
      <c r="K30" s="1511"/>
      <c r="L30" s="1085"/>
      <c r="M30" s="1073"/>
      <c r="N30" s="1073"/>
      <c r="O30" s="1073"/>
      <c r="P30" s="3482"/>
      <c r="Q30" s="681">
        <f t="shared" si="11"/>
        <v>111</v>
      </c>
      <c r="R30" s="1121" t="s">
        <v>937</v>
      </c>
      <c r="S30" s="1122">
        <f t="shared" si="12"/>
        <v>100</v>
      </c>
      <c r="T30" s="1121" t="s">
        <v>937</v>
      </c>
      <c r="U30" s="1122">
        <f t="shared" si="13"/>
        <v>100</v>
      </c>
      <c r="V30" s="1121" t="s">
        <v>937</v>
      </c>
      <c r="W30" s="1122">
        <f t="shared" si="14"/>
        <v>100</v>
      </c>
      <c r="X30" s="1115"/>
      <c r="Y30" s="3487"/>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96"/>
      <c r="H31" s="959">
        <f>SUMIF(98:98,G31,99:99)-SUMIF(98:98,C31,99:99)+100</f>
        <v>100</v>
      </c>
      <c r="I31" s="958"/>
      <c r="J31" s="959">
        <f>SUMIF(98:98,I31,99:99)-SUMIF(98:98,C31,99:99)+100</f>
        <v>100</v>
      </c>
      <c r="K31" s="1511"/>
      <c r="L31" s="1085"/>
      <c r="M31" s="1073"/>
      <c r="N31" s="1073"/>
      <c r="O31" s="1073"/>
      <c r="P31" s="3482"/>
      <c r="Q31" s="681">
        <f t="shared" si="11"/>
        <v>111</v>
      </c>
      <c r="R31" s="1121" t="s">
        <v>937</v>
      </c>
      <c r="S31" s="1122">
        <f t="shared" si="12"/>
        <v>100</v>
      </c>
      <c r="T31" s="1121" t="s">
        <v>937</v>
      </c>
      <c r="U31" s="1122">
        <f t="shared" si="13"/>
        <v>100</v>
      </c>
      <c r="V31" s="1121" t="s">
        <v>937</v>
      </c>
      <c r="W31" s="1122">
        <f t="shared" si="14"/>
        <v>100</v>
      </c>
      <c r="X31" s="1115"/>
      <c r="Y31" s="3487"/>
      <c r="Z31" s="1105">
        <f t="shared" si="18"/>
        <v>111</v>
      </c>
      <c r="AA31" s="1132">
        <f t="shared" si="15"/>
        <v>1</v>
      </c>
      <c r="AB31" s="1132">
        <f t="shared" si="16"/>
        <v>1</v>
      </c>
      <c r="AC31" s="1132">
        <f t="shared" si="17"/>
        <v>1</v>
      </c>
    </row>
    <row r="32" spans="1:29" ht="15">
      <c r="A32" s="960" t="s">
        <v>965</v>
      </c>
      <c r="B32" s="939" t="s">
        <v>966</v>
      </c>
      <c r="C32" s="1467"/>
      <c r="D32" s="996">
        <v>100</v>
      </c>
      <c r="E32" s="1497"/>
      <c r="F32" s="1309">
        <f>SUMIF(100:100,E32,101:101)-SUMIF(100:100,C32,101:101)+100</f>
        <v>100</v>
      </c>
      <c r="G32" s="1467"/>
      <c r="H32" s="996">
        <f>SUMIF(100:100,G32,101:101)-SUMIF(100:100,C32,101:101)+100</f>
        <v>100</v>
      </c>
      <c r="I32" s="1497"/>
      <c r="J32" s="955">
        <f>SUMIF(100:100,I32,101:101)-SUMIF(100:100,C32,101:101)+100</f>
        <v>100</v>
      </c>
      <c r="K32" s="1510"/>
      <c r="L32" s="1085"/>
      <c r="M32" s="1073"/>
      <c r="N32" s="1073"/>
      <c r="O32" s="1073"/>
      <c r="P32" s="3483" t="s">
        <v>968</v>
      </c>
      <c r="Q32" s="681" t="str">
        <f t="shared" si="11"/>
        <v>建筑类型</v>
      </c>
      <c r="R32" s="1121" t="s">
        <v>937</v>
      </c>
      <c r="S32" s="1122">
        <f t="shared" si="12"/>
        <v>100</v>
      </c>
      <c r="T32" s="1121" t="s">
        <v>937</v>
      </c>
      <c r="U32" s="1122">
        <f t="shared" si="13"/>
        <v>100</v>
      </c>
      <c r="V32" s="1121" t="s">
        <v>937</v>
      </c>
      <c r="W32" s="1122">
        <f t="shared" si="14"/>
        <v>100</v>
      </c>
      <c r="X32" s="1115"/>
      <c r="Y32" s="3488" t="s">
        <v>968</v>
      </c>
      <c r="Z32" s="1105" t="str">
        <f t="shared" si="18"/>
        <v>建筑类型</v>
      </c>
      <c r="AA32" s="1132">
        <f t="shared" si="15"/>
        <v>1</v>
      </c>
      <c r="AB32" s="1132">
        <f t="shared" si="16"/>
        <v>1</v>
      </c>
      <c r="AC32" s="1132">
        <f t="shared" si="17"/>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11"/>
      <c r="L33" s="1083"/>
      <c r="M33" s="1092"/>
      <c r="N33" s="1092"/>
      <c r="O33" s="1092"/>
      <c r="P33" s="3484"/>
      <c r="Q33" s="1348" t="str">
        <f t="shared" si="11"/>
        <v>项目建筑规模</v>
      </c>
      <c r="R33" s="1123" t="s">
        <v>937</v>
      </c>
      <c r="S33" s="1124" t="e">
        <f t="shared" si="12"/>
        <v>#N/A</v>
      </c>
      <c r="T33" s="1123" t="s">
        <v>937</v>
      </c>
      <c r="U33" s="1124" t="e">
        <f t="shared" si="13"/>
        <v>#N/A</v>
      </c>
      <c r="V33" s="1123" t="s">
        <v>937</v>
      </c>
      <c r="W33" s="1124" t="e">
        <f t="shared" si="14"/>
        <v>#N/A</v>
      </c>
      <c r="X33" s="1125"/>
      <c r="Y33" s="3488"/>
      <c r="Z33" s="1133" t="str">
        <f t="shared" si="18"/>
        <v>项目建筑规模</v>
      </c>
      <c r="AA33" s="1132" t="e">
        <f t="shared" si="15"/>
        <v>#N/A</v>
      </c>
      <c r="AB33" s="1132" t="e">
        <f t="shared" si="16"/>
        <v>#N/A</v>
      </c>
      <c r="AC33" s="1132" t="e">
        <f t="shared" si="17"/>
        <v>#N/A</v>
      </c>
    </row>
    <row r="34" spans="1:29" ht="15">
      <c r="A34" s="997"/>
      <c r="B34" s="943" t="s">
        <v>970</v>
      </c>
      <c r="C34" s="1468"/>
      <c r="D34" s="955">
        <v>100</v>
      </c>
      <c r="E34" s="1498"/>
      <c r="F34" s="1309">
        <f>SUMIF(105:105,E34,106:106)-SUMIF(105:105,C34,106:106)+100</f>
        <v>100</v>
      </c>
      <c r="G34" s="1468"/>
      <c r="H34" s="955">
        <f>SUMIF(105:105,G34,106:106)-SUMIF(105:105,C34,106:106)+100</f>
        <v>100</v>
      </c>
      <c r="I34" s="1498"/>
      <c r="J34" s="955">
        <f>SUMIF(105:105,I34,106:106)-SUMIF(105:105,C34,106:106)+100</f>
        <v>100</v>
      </c>
      <c r="K34" s="1510"/>
      <c r="L34" s="1085"/>
      <c r="M34" s="1073"/>
      <c r="N34" s="1073"/>
      <c r="O34" s="1073"/>
      <c r="P34" s="3484"/>
      <c r="Q34" s="681" t="str">
        <f t="shared" si="11"/>
        <v>建筑结构</v>
      </c>
      <c r="R34" s="1121" t="s">
        <v>937</v>
      </c>
      <c r="S34" s="1122">
        <f t="shared" si="12"/>
        <v>100</v>
      </c>
      <c r="T34" s="1121" t="s">
        <v>937</v>
      </c>
      <c r="U34" s="1122">
        <f t="shared" si="13"/>
        <v>100</v>
      </c>
      <c r="V34" s="1121" t="s">
        <v>937</v>
      </c>
      <c r="W34" s="1122">
        <f t="shared" si="14"/>
        <v>100</v>
      </c>
      <c r="X34" s="1115"/>
      <c r="Y34" s="3488"/>
      <c r="Z34" s="1105" t="str">
        <f t="shared" si="18"/>
        <v>建筑结构</v>
      </c>
      <c r="AA34" s="1132">
        <f t="shared" si="15"/>
        <v>1</v>
      </c>
      <c r="AB34" s="1132">
        <f t="shared" si="16"/>
        <v>1</v>
      </c>
      <c r="AC34" s="1132">
        <f t="shared" si="17"/>
        <v>1</v>
      </c>
    </row>
    <row r="35" spans="1:29" ht="15">
      <c r="A35" s="997"/>
      <c r="B35" s="943" t="s">
        <v>1599</v>
      </c>
      <c r="C35" s="998"/>
      <c r="D35" s="955">
        <v>100</v>
      </c>
      <c r="E35" s="1494"/>
      <c r="F35" s="1309">
        <f>SUMIF(107:107,E35,108:108)-SUMIF(107:107,C35,108:108)+100</f>
        <v>100</v>
      </c>
      <c r="G35" s="998"/>
      <c r="H35" s="955">
        <f>SUMIF(107:107,G35,108:108)-SUMIF(107:107,C35,108:108)+100</f>
        <v>100</v>
      </c>
      <c r="I35" s="1494"/>
      <c r="J35" s="955">
        <f>SUMIF(107:107,I35,108:108)-SUMIF(107:107,C35,108:108)+100</f>
        <v>100</v>
      </c>
      <c r="K35" s="1510"/>
      <c r="L35" s="1085"/>
      <c r="M35" s="1073"/>
      <c r="N35" s="1073"/>
      <c r="O35" s="1073"/>
      <c r="P35" s="3484"/>
      <c r="Q35" s="681" t="str">
        <f t="shared" si="11"/>
        <v>建筑品质</v>
      </c>
      <c r="R35" s="1121" t="s">
        <v>937</v>
      </c>
      <c r="S35" s="1122">
        <f t="shared" si="12"/>
        <v>100</v>
      </c>
      <c r="T35" s="1121" t="s">
        <v>937</v>
      </c>
      <c r="U35" s="1122">
        <f t="shared" si="13"/>
        <v>100</v>
      </c>
      <c r="V35" s="1121" t="s">
        <v>937</v>
      </c>
      <c r="W35" s="1122">
        <f t="shared" si="14"/>
        <v>100</v>
      </c>
      <c r="X35" s="1115"/>
      <c r="Y35" s="3488"/>
      <c r="Z35" s="1105" t="str">
        <f t="shared" si="18"/>
        <v>建筑品质</v>
      </c>
      <c r="AA35" s="1132">
        <f t="shared" si="15"/>
        <v>1</v>
      </c>
      <c r="AB35" s="1132">
        <f t="shared" si="16"/>
        <v>1</v>
      </c>
      <c r="AC35" s="1132">
        <f t="shared" si="17"/>
        <v>1</v>
      </c>
    </row>
    <row r="36" spans="1:29" ht="15">
      <c r="A36" s="997"/>
      <c r="B36" s="943" t="s">
        <v>972</v>
      </c>
      <c r="C36" s="998"/>
      <c r="D36" s="955">
        <v>100</v>
      </c>
      <c r="E36" s="1494"/>
      <c r="F36" s="1309">
        <f>SUMIF(109:109,E36,110:110)-SUMIF(109:109,C36,110:110)+100</f>
        <v>100</v>
      </c>
      <c r="G36" s="998"/>
      <c r="H36" s="955">
        <f>SUMIF(109:109,G36,110:110)-SUMIF(109:109,C36,110:110)+100</f>
        <v>100</v>
      </c>
      <c r="I36" s="1494"/>
      <c r="J36" s="955">
        <f>SUMIF(109:109,I36,110:110)-SUMIF(109:109,C36,110:110)+100</f>
        <v>100</v>
      </c>
      <c r="K36" s="1510"/>
      <c r="L36" s="1085"/>
      <c r="M36" s="1073"/>
      <c r="N36" s="1073"/>
      <c r="O36" s="1073"/>
      <c r="P36" s="3484"/>
      <c r="Q36" s="681" t="str">
        <f t="shared" si="11"/>
        <v>公共部分装修</v>
      </c>
      <c r="R36" s="1121" t="s">
        <v>937</v>
      </c>
      <c r="S36" s="1122">
        <f t="shared" si="12"/>
        <v>100</v>
      </c>
      <c r="T36" s="1121" t="s">
        <v>937</v>
      </c>
      <c r="U36" s="1122">
        <f t="shared" si="13"/>
        <v>100</v>
      </c>
      <c r="V36" s="1121" t="s">
        <v>937</v>
      </c>
      <c r="W36" s="1122">
        <f t="shared" si="14"/>
        <v>100</v>
      </c>
      <c r="X36" s="1115"/>
      <c r="Y36" s="3488"/>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10"/>
      <c r="L37" s="1075"/>
      <c r="M37" s="1076"/>
      <c r="N37" s="1076"/>
      <c r="O37" s="1076"/>
      <c r="P37" s="3484"/>
      <c r="Q37" s="1120" t="str">
        <f t="shared" si="11"/>
        <v>成新度</v>
      </c>
      <c r="R37" s="1116" t="s">
        <v>937</v>
      </c>
      <c r="S37" s="1117" t="e">
        <f t="shared" si="12"/>
        <v>#N/A</v>
      </c>
      <c r="T37" s="1116" t="s">
        <v>937</v>
      </c>
      <c r="U37" s="1117" t="e">
        <f t="shared" si="13"/>
        <v>#N/A</v>
      </c>
      <c r="V37" s="1116" t="s">
        <v>937</v>
      </c>
      <c r="W37" s="1117" t="e">
        <f t="shared" si="14"/>
        <v>#N/A</v>
      </c>
      <c r="X37" s="1118"/>
      <c r="Y37" s="3488"/>
      <c r="Z37" s="1131" t="str">
        <f t="shared" si="18"/>
        <v>成新度</v>
      </c>
      <c r="AA37" s="1130" t="e">
        <f t="shared" si="15"/>
        <v>#N/A</v>
      </c>
      <c r="AB37" s="1130" t="e">
        <f t="shared" si="16"/>
        <v>#N/A</v>
      </c>
      <c r="AC37" s="1130" t="e">
        <f t="shared" si="17"/>
        <v>#N/A</v>
      </c>
    </row>
    <row r="38" spans="1:29" ht="15">
      <c r="A38" s="997"/>
      <c r="B38" s="943" t="s">
        <v>975</v>
      </c>
      <c r="C38" s="998"/>
      <c r="D38" s="955">
        <v>100</v>
      </c>
      <c r="E38" s="1494"/>
      <c r="F38" s="1309">
        <f>SUMIF(114:114,E38,115:115)-SUMIF(114:114,C38,115:115)+100</f>
        <v>100</v>
      </c>
      <c r="G38" s="998"/>
      <c r="H38" s="955">
        <f>SUMIF(114:114,G38,115:115)-SUMIF(114:114,C38,115:115)+100</f>
        <v>100</v>
      </c>
      <c r="I38" s="1494"/>
      <c r="J38" s="955">
        <f>SUMIF(114:114,I38,115:115)-SUMIF(114:114,C38,115:115)+100</f>
        <v>100</v>
      </c>
      <c r="K38" s="1510"/>
      <c r="L38" s="1085"/>
      <c r="M38" s="1073"/>
      <c r="N38" s="1073"/>
      <c r="O38" s="1073"/>
      <c r="P38" s="3484" t="s">
        <v>968</v>
      </c>
      <c r="Q38" s="681" t="str">
        <f t="shared" si="11"/>
        <v>物业管理</v>
      </c>
      <c r="R38" s="1121" t="s">
        <v>937</v>
      </c>
      <c r="S38" s="1122">
        <f t="shared" si="12"/>
        <v>100</v>
      </c>
      <c r="T38" s="1121" t="s">
        <v>937</v>
      </c>
      <c r="U38" s="1122">
        <f t="shared" si="13"/>
        <v>100</v>
      </c>
      <c r="V38" s="1121" t="s">
        <v>937</v>
      </c>
      <c r="W38" s="1122">
        <f t="shared" si="14"/>
        <v>100</v>
      </c>
      <c r="X38" s="1115"/>
      <c r="Y38" s="3488" t="s">
        <v>968</v>
      </c>
      <c r="Z38" s="1105" t="str">
        <f t="shared" si="18"/>
        <v>物业管理</v>
      </c>
      <c r="AA38" s="1132">
        <f t="shared" si="15"/>
        <v>1</v>
      </c>
      <c r="AB38" s="1132">
        <f t="shared" si="16"/>
        <v>1</v>
      </c>
      <c r="AC38" s="1132">
        <f t="shared" si="17"/>
        <v>1</v>
      </c>
    </row>
    <row r="39" spans="1:29" ht="15">
      <c r="A39" s="997"/>
      <c r="B39" s="943" t="s">
        <v>978</v>
      </c>
      <c r="C39" s="998"/>
      <c r="D39" s="955">
        <v>100</v>
      </c>
      <c r="E39" s="1494"/>
      <c r="F39" s="1309">
        <f>SUMIF(116:116,E39,117:117)-SUMIF(116:116,C39,117:117)+100</f>
        <v>100</v>
      </c>
      <c r="G39" s="998"/>
      <c r="H39" s="955">
        <f>SUMIF(116:116,G39,117:117)-SUMIF(116:116,C39,117:117)+100</f>
        <v>100</v>
      </c>
      <c r="I39" s="1494"/>
      <c r="J39" s="955">
        <f>SUMIF(116:116,I39,117:117)-SUMIF(116:116,C39,117:117)+100</f>
        <v>100</v>
      </c>
      <c r="K39" s="1510"/>
      <c r="L39" s="1085"/>
      <c r="M39" s="1073"/>
      <c r="N39" s="1073"/>
      <c r="O39" s="1073"/>
      <c r="P39" s="3484"/>
      <c r="Q39" s="681" t="str">
        <f t="shared" si="11"/>
        <v>市政基础设施</v>
      </c>
      <c r="R39" s="1121" t="s">
        <v>937</v>
      </c>
      <c r="S39" s="1122">
        <f t="shared" si="12"/>
        <v>100</v>
      </c>
      <c r="T39" s="1121" t="s">
        <v>937</v>
      </c>
      <c r="U39" s="1122">
        <f t="shared" si="13"/>
        <v>100</v>
      </c>
      <c r="V39" s="1121" t="s">
        <v>937</v>
      </c>
      <c r="W39" s="1122">
        <f t="shared" si="14"/>
        <v>100</v>
      </c>
      <c r="X39" s="1115"/>
      <c r="Y39" s="3488"/>
      <c r="Z39" s="1105" t="str">
        <f t="shared" si="18"/>
        <v>市政基础设施</v>
      </c>
      <c r="AA39" s="1132">
        <f t="shared" si="15"/>
        <v>1</v>
      </c>
      <c r="AB39" s="1132">
        <f t="shared" si="16"/>
        <v>1</v>
      </c>
      <c r="AC39" s="1132">
        <f t="shared" si="17"/>
        <v>1</v>
      </c>
    </row>
    <row r="40" spans="1:29" ht="15">
      <c r="A40" s="997"/>
      <c r="B40" s="943" t="s">
        <v>1600</v>
      </c>
      <c r="C40" s="998"/>
      <c r="D40" s="955">
        <v>100</v>
      </c>
      <c r="E40" s="1494"/>
      <c r="F40" s="1309">
        <f>SUMIF(118:118,E40,119:119)-SUMIF(118:118,C40,119:119)+100</f>
        <v>100</v>
      </c>
      <c r="G40" s="998"/>
      <c r="H40" s="955">
        <f>SUMIF(118:118,G40,119:119)-SUMIF(118:118,C40,119:119)+100</f>
        <v>100</v>
      </c>
      <c r="I40" s="1494"/>
      <c r="J40" s="955">
        <f>SUMIF(118:118,I40,119:119)-SUMIF(118:118,C40,119:119)+100</f>
        <v>100</v>
      </c>
      <c r="K40" s="1510"/>
      <c r="L40" s="1085"/>
      <c r="M40" s="1073"/>
      <c r="N40" s="1073"/>
      <c r="O40" s="1073"/>
      <c r="P40" s="3484"/>
      <c r="Q40" s="681" t="str">
        <f t="shared" si="11"/>
        <v>房型</v>
      </c>
      <c r="R40" s="1121" t="s">
        <v>937</v>
      </c>
      <c r="S40" s="1122">
        <f t="shared" si="12"/>
        <v>100</v>
      </c>
      <c r="T40" s="1121" t="s">
        <v>937</v>
      </c>
      <c r="U40" s="1122">
        <f t="shared" si="13"/>
        <v>100</v>
      </c>
      <c r="V40" s="1121" t="s">
        <v>937</v>
      </c>
      <c r="W40" s="1122">
        <f t="shared" si="14"/>
        <v>100</v>
      </c>
      <c r="X40" s="1115"/>
      <c r="Y40" s="3488"/>
      <c r="Z40" s="1105" t="str">
        <f t="shared" si="18"/>
        <v>房型</v>
      </c>
      <c r="AA40" s="1132">
        <f t="shared" si="15"/>
        <v>1</v>
      </c>
      <c r="AB40" s="1132">
        <f t="shared" si="16"/>
        <v>1</v>
      </c>
      <c r="AC40" s="1132">
        <f t="shared" si="17"/>
        <v>1</v>
      </c>
    </row>
    <row r="41" spans="1:29" s="907" customFormat="1" ht="28.8">
      <c r="A41" s="1002"/>
      <c r="B41" s="943" t="s">
        <v>1601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11"/>
      <c r="L41" s="1083"/>
      <c r="M41" s="1092"/>
      <c r="N41" s="1092"/>
      <c r="O41" s="1092"/>
      <c r="P41" s="3484"/>
      <c r="Q41" s="1348" t="str">
        <f t="shared" si="11"/>
        <v>单套/主力户型建筑面积</v>
      </c>
      <c r="R41" s="1123" t="s">
        <v>937</v>
      </c>
      <c r="S41" s="1124">
        <f t="shared" si="12"/>
        <v>100</v>
      </c>
      <c r="T41" s="1123" t="s">
        <v>937</v>
      </c>
      <c r="U41" s="1124">
        <f t="shared" si="13"/>
        <v>100</v>
      </c>
      <c r="V41" s="1123" t="s">
        <v>937</v>
      </c>
      <c r="W41" s="1124">
        <f t="shared" si="14"/>
        <v>100</v>
      </c>
      <c r="X41" s="1125"/>
      <c r="Y41" s="3488"/>
      <c r="Z41" s="1133" t="str">
        <f t="shared" si="18"/>
        <v>单套/主力户型建筑面积</v>
      </c>
      <c r="AA41" s="1132">
        <f t="shared" si="15"/>
        <v>1</v>
      </c>
      <c r="AB41" s="1132">
        <f t="shared" si="16"/>
        <v>1</v>
      </c>
      <c r="AC41" s="1132">
        <f t="shared" si="17"/>
        <v>1</v>
      </c>
    </row>
    <row r="42" spans="1:29" ht="15">
      <c r="A42" s="997"/>
      <c r="B42" s="943" t="s">
        <v>982</v>
      </c>
      <c r="C42" s="998"/>
      <c r="D42" s="955">
        <v>100</v>
      </c>
      <c r="E42" s="1494"/>
      <c r="F42" s="1309">
        <f>SUMIF(122:122,E42,123:123)-SUMIF(122:122,C42,123:123)+100</f>
        <v>100</v>
      </c>
      <c r="G42" s="998"/>
      <c r="H42" s="955">
        <f>SUMIF(122:122,G42,123:123)-SUMIF(122:122,C42,123:123)+100</f>
        <v>100</v>
      </c>
      <c r="I42" s="1494"/>
      <c r="J42" s="955">
        <f>SUMIF(122:122,I42,123:123)-SUMIF(122:122,C42,123:123)+100</f>
        <v>100</v>
      </c>
      <c r="K42" s="1510"/>
      <c r="L42" s="1085"/>
      <c r="M42" s="1073"/>
      <c r="N42" s="1073"/>
      <c r="O42" s="1073"/>
      <c r="P42" s="3484"/>
      <c r="Q42" s="681" t="str">
        <f t="shared" si="11"/>
        <v>内部装修</v>
      </c>
      <c r="R42" s="1121" t="s">
        <v>937</v>
      </c>
      <c r="S42" s="1122">
        <f t="shared" si="12"/>
        <v>100</v>
      </c>
      <c r="T42" s="1121" t="s">
        <v>937</v>
      </c>
      <c r="U42" s="1122">
        <f t="shared" si="13"/>
        <v>100</v>
      </c>
      <c r="V42" s="1121" t="s">
        <v>937</v>
      </c>
      <c r="W42" s="1122">
        <f t="shared" si="14"/>
        <v>100</v>
      </c>
      <c r="X42" s="1115"/>
      <c r="Y42" s="3488"/>
      <c r="Z42" s="1105" t="str">
        <f t="shared" si="18"/>
        <v>内部装修</v>
      </c>
      <c r="AA42" s="1132">
        <f t="shared" si="15"/>
        <v>1</v>
      </c>
      <c r="AB42" s="1132">
        <f t="shared" si="16"/>
        <v>1</v>
      </c>
      <c r="AC42" s="1132">
        <f t="shared" si="17"/>
        <v>1</v>
      </c>
    </row>
    <row r="43" spans="1:29" ht="28.8">
      <c r="A43" s="997"/>
      <c r="B43" s="943" t="s">
        <v>985</v>
      </c>
      <c r="C43" s="998"/>
      <c r="D43" s="955">
        <v>100</v>
      </c>
      <c r="E43" s="1494"/>
      <c r="F43" s="1309">
        <f>SUMIF(124:124,E43,125:125)-SUMIF(124:124,C43,125:125)+100</f>
        <v>100</v>
      </c>
      <c r="G43" s="998"/>
      <c r="H43" s="955">
        <f>SUMIF(124:124,G43,125:125)-SUMIF(124:124,C43,125:125)+100</f>
        <v>100</v>
      </c>
      <c r="I43" s="1494"/>
      <c r="J43" s="955">
        <f>SUMIF(124:124,I43,125:125)-SUMIF(124:124,C43,125:125)+100</f>
        <v>100</v>
      </c>
      <c r="K43" s="1510"/>
      <c r="L43" s="1085"/>
      <c r="M43" s="1073"/>
      <c r="N43" s="1073"/>
      <c r="O43" s="1073"/>
      <c r="P43" s="3484"/>
      <c r="Q43" s="681" t="str">
        <f t="shared" si="11"/>
        <v>内部装修维护情况</v>
      </c>
      <c r="R43" s="1121" t="s">
        <v>937</v>
      </c>
      <c r="S43" s="1122">
        <f t="shared" si="12"/>
        <v>100</v>
      </c>
      <c r="T43" s="1121" t="s">
        <v>937</v>
      </c>
      <c r="U43" s="1122">
        <f t="shared" si="13"/>
        <v>100</v>
      </c>
      <c r="V43" s="1121" t="s">
        <v>937</v>
      </c>
      <c r="W43" s="1122">
        <f t="shared" si="14"/>
        <v>100</v>
      </c>
      <c r="X43" s="1115"/>
      <c r="Y43" s="3488"/>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11"/>
      <c r="L44" s="1075"/>
      <c r="M44" s="1076"/>
      <c r="N44" s="1076"/>
      <c r="O44" s="1076"/>
      <c r="P44" s="3484"/>
      <c r="Q44" s="1120">
        <f t="shared" si="11"/>
        <v>111</v>
      </c>
      <c r="R44" s="1116" t="s">
        <v>937</v>
      </c>
      <c r="S44" s="1117">
        <f t="shared" si="12"/>
        <v>100</v>
      </c>
      <c r="T44" s="1116" t="s">
        <v>937</v>
      </c>
      <c r="U44" s="1117">
        <f t="shared" si="13"/>
        <v>100</v>
      </c>
      <c r="V44" s="1116" t="s">
        <v>937</v>
      </c>
      <c r="W44" s="1117">
        <f t="shared" si="14"/>
        <v>100</v>
      </c>
      <c r="X44" s="1118"/>
      <c r="Y44" s="3488"/>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11"/>
      <c r="L45" s="1085"/>
      <c r="M45" s="1073"/>
      <c r="N45" s="1073"/>
      <c r="O45" s="1073"/>
      <c r="P45" s="3484"/>
      <c r="Q45" s="681">
        <f t="shared" si="11"/>
        <v>111</v>
      </c>
      <c r="R45" s="1121" t="s">
        <v>937</v>
      </c>
      <c r="S45" s="1122">
        <f t="shared" si="12"/>
        <v>100</v>
      </c>
      <c r="T45" s="1121" t="s">
        <v>937</v>
      </c>
      <c r="U45" s="1122">
        <f t="shared" si="13"/>
        <v>100</v>
      </c>
      <c r="V45" s="1121" t="s">
        <v>937</v>
      </c>
      <c r="W45" s="1122">
        <f t="shared" si="14"/>
        <v>100</v>
      </c>
      <c r="X45" s="1115"/>
      <c r="Y45" s="3488"/>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11"/>
      <c r="L46" s="1085"/>
      <c r="M46" s="1073"/>
      <c r="N46" s="1073"/>
      <c r="O46" s="1073"/>
      <c r="P46" s="3485"/>
      <c r="Q46" s="681">
        <f t="shared" si="11"/>
        <v>111</v>
      </c>
      <c r="R46" s="1121" t="s">
        <v>937</v>
      </c>
      <c r="S46" s="1122">
        <f t="shared" si="12"/>
        <v>100</v>
      </c>
      <c r="T46" s="1121" t="s">
        <v>937</v>
      </c>
      <c r="U46" s="1122">
        <f t="shared" si="13"/>
        <v>100</v>
      </c>
      <c r="V46" s="1121" t="s">
        <v>937</v>
      </c>
      <c r="W46" s="1122">
        <f t="shared" si="14"/>
        <v>100</v>
      </c>
      <c r="X46" s="1115"/>
      <c r="Y46" s="3489"/>
      <c r="Z46" s="1105">
        <f t="shared" si="18"/>
        <v>111</v>
      </c>
      <c r="AA46" s="1132">
        <f t="shared" si="15"/>
        <v>1</v>
      </c>
      <c r="AB46" s="1132">
        <f t="shared" si="16"/>
        <v>1</v>
      </c>
      <c r="AC46" s="1132">
        <f t="shared" si="17"/>
        <v>1</v>
      </c>
    </row>
    <row r="47" spans="1:29" ht="14.4">
      <c r="A47" s="1004" t="s">
        <v>986</v>
      </c>
      <c r="B47" s="1323"/>
      <c r="C47" s="1324" t="s">
        <v>124</v>
      </c>
      <c r="D47" s="1325"/>
      <c r="E47" s="1326"/>
      <c r="F47" s="1327"/>
      <c r="G47" s="1328"/>
      <c r="H47" s="1329"/>
      <c r="I47" s="1326"/>
      <c r="J47" s="1329"/>
      <c r="K47" s="1515"/>
      <c r="L47" s="1097"/>
      <c r="M47" s="1021"/>
      <c r="N47" s="1073"/>
      <c r="O47" s="1021"/>
      <c r="P47" s="3473" t="str">
        <f>A47</f>
        <v>成交单价（元/平方米）</v>
      </c>
      <c r="Q47" s="3473"/>
      <c r="R47" s="3474">
        <f>E47</f>
        <v>0</v>
      </c>
      <c r="S47" s="3474"/>
      <c r="T47" s="3474">
        <f>G47</f>
        <v>0</v>
      </c>
      <c r="U47" s="3474"/>
      <c r="V47" s="3474">
        <f>I47</f>
        <v>0</v>
      </c>
      <c r="W47" s="3474"/>
      <c r="X47" s="1061"/>
      <c r="Y47" s="1134"/>
      <c r="Z47" s="1061"/>
      <c r="AA47" s="1061"/>
      <c r="AB47" s="1061"/>
      <c r="AC47" s="1061"/>
    </row>
    <row r="48" spans="1:29" ht="14.4">
      <c r="A48" s="1012" t="s">
        <v>987</v>
      </c>
      <c r="B48" s="1330"/>
      <c r="C48" s="1331" t="e">
        <f>R49</f>
        <v>#DIV/0!</v>
      </c>
      <c r="D48" s="1015" t="s">
        <v>988</v>
      </c>
      <c r="E48" s="1332" t="e">
        <f>R48</f>
        <v>#DIV/0!</v>
      </c>
      <c r="F48" s="1016"/>
      <c r="G48" s="1331" t="e">
        <f>T48</f>
        <v>#DIV/0!</v>
      </c>
      <c r="H48" s="1016"/>
      <c r="I48" s="1332" t="e">
        <f>V48</f>
        <v>#DIV/0!</v>
      </c>
      <c r="J48" s="1016"/>
      <c r="K48" s="1516">
        <f>F48+H48+J48</f>
        <v>0</v>
      </c>
      <c r="L48" s="1097"/>
      <c r="M48" s="1021"/>
      <c r="N48" s="1021"/>
      <c r="O48" s="1021"/>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061"/>
      <c r="Y48" s="1061"/>
      <c r="Z48" s="1061"/>
      <c r="AA48" s="1061"/>
      <c r="AB48" s="1061"/>
      <c r="AC48" s="1061"/>
    </row>
    <row r="49" spans="1:29" ht="14.4">
      <c r="A49" s="1018" t="s">
        <v>989</v>
      </c>
      <c r="B49" s="1019"/>
      <c r="C49" s="1499" t="e">
        <f>R49</f>
        <v>#DIV/0!</v>
      </c>
      <c r="D49" s="1333"/>
      <c r="E49" s="1333"/>
      <c r="F49" s="1333"/>
      <c r="G49" s="1333"/>
      <c r="H49" s="1333"/>
      <c r="I49" s="1333"/>
      <c r="J49" s="1333"/>
      <c r="K49" s="1517"/>
      <c r="L49" s="1097"/>
      <c r="M49" s="1021"/>
      <c r="N49" s="1021"/>
      <c r="O49" s="1021"/>
      <c r="P49" s="3541" t="str">
        <f>A49</f>
        <v>估价对象XX用房的比较价值（楼面单价，元/平方米）</v>
      </c>
      <c r="Q49" s="3542"/>
      <c r="R49" s="3543" t="e">
        <f>IF(F1="售价",ROUND(IF(D48="简单平均",AVERAGE(R48:V48),R48*F48+T48*H48+V48*J48),0),ROUND(IF(D48="简单平均",AVERAGE(R48:V48),R48*F48+T48*H48+V48*J48),1))</f>
        <v>#DIV/0!</v>
      </c>
      <c r="S49" s="3543"/>
      <c r="T49" s="3543"/>
      <c r="U49" s="3543"/>
      <c r="V49" s="3543"/>
      <c r="W49" s="354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18"/>
    </row>
    <row r="55" spans="1:29" s="908" customFormat="1">
      <c r="A55" s="1026"/>
      <c r="B55" s="1027"/>
      <c r="C55" s="1334"/>
      <c r="D55" s="1026"/>
      <c r="E55" s="1026"/>
      <c r="F55" s="1026"/>
      <c r="G55" s="1026"/>
      <c r="H55" s="1026"/>
      <c r="I55" s="1026"/>
      <c r="J55" s="1026"/>
      <c r="K55" s="1103"/>
      <c r="L55" s="1104"/>
      <c r="M55" s="1026"/>
      <c r="N55" s="1026"/>
      <c r="O55" s="1026"/>
      <c r="P55" s="1518"/>
    </row>
    <row r="56" spans="1:29">
      <c r="A56" s="1021"/>
      <c r="B56" s="1027"/>
      <c r="C56" s="1334"/>
      <c r="D56" s="1021"/>
      <c r="E56" s="1021"/>
      <c r="F56" s="1021"/>
      <c r="G56" s="1021"/>
      <c r="H56" s="1021"/>
      <c r="I56" s="1021"/>
      <c r="J56" s="1021"/>
      <c r="K56" s="1101"/>
      <c r="L56" s="1102"/>
      <c r="M56" s="1021"/>
      <c r="N56" s="1021"/>
      <c r="O56" s="1021"/>
    </row>
    <row r="57" spans="1:29" ht="21.6">
      <c r="A57" s="1060" t="s">
        <v>993</v>
      </c>
      <c r="B57" s="1061"/>
      <c r="C57" s="1062"/>
      <c r="D57" s="1062"/>
      <c r="E57" s="1062"/>
      <c r="F57" s="1063"/>
      <c r="G57" s="1063"/>
      <c r="H57" s="1062"/>
      <c r="I57" s="1062"/>
      <c r="J57" s="1062"/>
      <c r="K57" s="1279"/>
      <c r="L57" s="1280"/>
      <c r="M57" s="1113"/>
      <c r="N57" s="1113"/>
      <c r="O57" s="1113"/>
      <c r="P57" s="1519"/>
      <c r="Q57" s="1443"/>
    </row>
    <row r="58" spans="1:29" s="910" customFormat="1" ht="14.4">
      <c r="A58" s="1335" t="s">
        <v>935</v>
      </c>
      <c r="B58" s="1336"/>
      <c r="C58" s="1500"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20"/>
    </row>
    <row r="59" spans="1:29" s="905" customFormat="1">
      <c r="A59" s="1339"/>
      <c r="B59" s="1501"/>
      <c r="C59" s="1340">
        <v>100</v>
      </c>
      <c r="D59" s="1471"/>
      <c r="E59" s="1150"/>
      <c r="F59" s="1150"/>
      <c r="G59" s="1150"/>
      <c r="H59" s="1150"/>
      <c r="I59" s="1150"/>
      <c r="J59" s="1150"/>
      <c r="K59" s="1150"/>
      <c r="L59" s="1150"/>
      <c r="M59" s="1347"/>
      <c r="N59" s="1150"/>
      <c r="O59" s="1347"/>
      <c r="P59" s="1521"/>
    </row>
    <row r="60" spans="1:29" s="905" customFormat="1" ht="14.4">
      <c r="A60" s="1141" t="s">
        <v>994</v>
      </c>
      <c r="B60" s="1142"/>
      <c r="C60" s="1143"/>
      <c r="D60" s="1144"/>
      <c r="E60" s="1144"/>
      <c r="F60" s="1144"/>
      <c r="G60" s="1144"/>
      <c r="H60" s="1144"/>
      <c r="I60" s="1144"/>
      <c r="J60" s="1144"/>
      <c r="K60" s="1144"/>
      <c r="L60" s="1144"/>
      <c r="M60" s="1192"/>
      <c r="N60" s="1144"/>
      <c r="O60" s="1192"/>
      <c r="P60" s="1521"/>
      <c r="Q60" s="1443"/>
    </row>
    <row r="61" spans="1:29" s="905" customFormat="1" ht="14.4">
      <c r="A61" s="1145" t="s">
        <v>938</v>
      </c>
      <c r="B61" s="1146"/>
      <c r="C61" s="1147" t="s">
        <v>939</v>
      </c>
      <c r="D61" s="1148"/>
      <c r="E61" s="1148"/>
      <c r="F61" s="1148"/>
      <c r="G61" s="1148"/>
      <c r="H61" s="1148"/>
      <c r="I61" s="1148"/>
      <c r="J61" s="1148"/>
      <c r="K61" s="1148"/>
      <c r="L61" s="1194"/>
      <c r="M61" s="1195"/>
      <c r="N61" s="1446"/>
      <c r="O61" s="1446"/>
      <c r="P61" s="1522"/>
      <c r="Q61" s="1443"/>
    </row>
    <row r="62" spans="1:29" s="905" customFormat="1">
      <c r="A62" s="1145"/>
      <c r="B62" s="1146"/>
      <c r="C62" s="1471">
        <v>100</v>
      </c>
      <c r="D62" s="1150"/>
      <c r="E62" s="1150"/>
      <c r="F62" s="1150"/>
      <c r="G62" s="1150"/>
      <c r="H62" s="1150"/>
      <c r="I62" s="1150"/>
      <c r="J62" s="1150"/>
      <c r="K62" s="1150"/>
      <c r="L62" s="1150"/>
      <c r="M62" s="1198"/>
      <c r="N62" s="1446"/>
      <c r="O62" s="1446"/>
      <c r="P62" s="1521"/>
      <c r="Q62" s="1443"/>
    </row>
    <row r="63" spans="1:29" ht="14.4">
      <c r="A63" s="1151" t="s">
        <v>995</v>
      </c>
      <c r="B63" s="1152" t="s">
        <v>943</v>
      </c>
      <c r="C63" s="1174">
        <f>C9</f>
        <v>0</v>
      </c>
      <c r="D63" s="1094"/>
      <c r="E63" s="1094"/>
      <c r="F63" s="1094"/>
      <c r="G63" s="1094"/>
      <c r="H63" s="1094"/>
      <c r="I63" s="1094"/>
      <c r="J63" s="1094"/>
      <c r="K63" s="1199"/>
      <c r="L63" s="1200"/>
      <c r="M63" s="1201"/>
      <c r="N63" s="1448"/>
      <c r="O63" s="1448"/>
      <c r="P63" s="1523"/>
      <c r="Q63" s="1443"/>
    </row>
    <row r="64" spans="1:29">
      <c r="A64" s="1153"/>
      <c r="B64" s="1154"/>
      <c r="C64" s="1155">
        <v>100</v>
      </c>
      <c r="D64" s="1155"/>
      <c r="E64" s="1155"/>
      <c r="F64" s="1155"/>
      <c r="G64" s="1155"/>
      <c r="H64" s="1155"/>
      <c r="I64" s="1155"/>
      <c r="J64" s="1155"/>
      <c r="K64" s="1155"/>
      <c r="L64" s="1155"/>
      <c r="M64" s="1204"/>
      <c r="N64" s="1450"/>
      <c r="O64" s="1450"/>
      <c r="P64" s="1523"/>
      <c r="Q64" s="1443"/>
    </row>
    <row r="65" spans="1:17" ht="28.8">
      <c r="A65" s="1153"/>
      <c r="B65" s="1156" t="s">
        <v>947</v>
      </c>
      <c r="C65" s="1157" t="s">
        <v>996</v>
      </c>
      <c r="D65" s="1157" t="s">
        <v>997</v>
      </c>
      <c r="E65" s="1157" t="s">
        <v>998</v>
      </c>
      <c r="F65" s="1157" t="s">
        <v>999</v>
      </c>
      <c r="G65" s="1157" t="s">
        <v>1000</v>
      </c>
      <c r="H65" s="1157" t="s">
        <v>1001</v>
      </c>
      <c r="I65" s="1157" t="s">
        <v>1002</v>
      </c>
      <c r="J65" s="1157"/>
      <c r="K65" s="1206"/>
      <c r="L65" s="1207"/>
      <c r="M65" s="1208"/>
      <c r="N65" s="1448"/>
      <c r="O65" s="1448"/>
      <c r="P65" s="1523"/>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23"/>
      <c r="Q66" s="1443"/>
    </row>
    <row r="67" spans="1:17" ht="14.4">
      <c r="A67" s="1153"/>
      <c r="B67" s="1160" t="s">
        <v>950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23"/>
      <c r="Q67" s="1443"/>
    </row>
    <row r="68" spans="1:17">
      <c r="A68" s="1153"/>
      <c r="B68" s="1162"/>
      <c r="C68" s="952"/>
      <c r="D68" s="952"/>
      <c r="E68" s="952"/>
      <c r="F68" s="952"/>
      <c r="G68" s="952"/>
      <c r="H68" s="952"/>
      <c r="I68" s="952"/>
      <c r="J68" s="952"/>
      <c r="K68" s="1210"/>
      <c r="L68" s="1211"/>
      <c r="M68" s="1212"/>
      <c r="N68" s="1448"/>
      <c r="O68" s="1448"/>
      <c r="P68" s="1523"/>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23"/>
      <c r="Q69" s="1443"/>
    </row>
    <row r="70" spans="1:17" s="907" customFormat="1">
      <c r="A70" s="1163"/>
      <c r="B70" s="1156">
        <f>B12</f>
        <v>111</v>
      </c>
      <c r="C70" s="1164"/>
      <c r="D70" s="1164"/>
      <c r="E70" s="1164"/>
      <c r="F70" s="1164"/>
      <c r="G70" s="1164"/>
      <c r="H70" s="1165"/>
      <c r="I70" s="1165"/>
      <c r="J70" s="1165"/>
      <c r="K70" s="1165"/>
      <c r="L70" s="1213"/>
      <c r="M70" s="1214"/>
      <c r="N70" s="1451"/>
      <c r="O70" s="1451"/>
      <c r="P70" s="1527"/>
      <c r="Q70" s="1453"/>
    </row>
    <row r="71" spans="1:17" s="907" customFormat="1">
      <c r="A71" s="1163"/>
      <c r="B71" s="1158"/>
      <c r="C71" s="1166"/>
      <c r="D71" s="1155"/>
      <c r="E71" s="1155"/>
      <c r="F71" s="1155"/>
      <c r="G71" s="1155"/>
      <c r="H71" s="1155"/>
      <c r="I71" s="1155"/>
      <c r="J71" s="1155"/>
      <c r="K71" s="1155"/>
      <c r="L71" s="1155"/>
      <c r="M71" s="1204"/>
      <c r="N71" s="1450"/>
      <c r="O71" s="1450"/>
      <c r="P71" s="1527"/>
      <c r="Q71" s="1453"/>
    </row>
    <row r="72" spans="1:17" s="907" customFormat="1">
      <c r="A72" s="1163"/>
      <c r="B72" s="1156">
        <f>B13</f>
        <v>111</v>
      </c>
      <c r="C72" s="1164"/>
      <c r="D72" s="1164"/>
      <c r="E72" s="1164"/>
      <c r="F72" s="1164"/>
      <c r="G72" s="1164"/>
      <c r="H72" s="1165"/>
      <c r="I72" s="1165"/>
      <c r="J72" s="1165"/>
      <c r="K72" s="1165"/>
      <c r="L72" s="1213"/>
      <c r="M72" s="1214"/>
      <c r="N72" s="1451"/>
      <c r="O72" s="1451"/>
      <c r="P72" s="1528"/>
      <c r="Q72" s="1459"/>
    </row>
    <row r="73" spans="1:17" s="907" customFormat="1">
      <c r="A73" s="1163"/>
      <c r="B73" s="1158"/>
      <c r="C73" s="1166"/>
      <c r="D73" s="1166"/>
      <c r="E73" s="1166"/>
      <c r="F73" s="1166"/>
      <c r="G73" s="1166"/>
      <c r="H73" s="1167"/>
      <c r="I73" s="1167"/>
      <c r="J73" s="1167"/>
      <c r="K73" s="1167"/>
      <c r="L73" s="1167"/>
      <c r="M73" s="1217"/>
      <c r="N73" s="1451"/>
      <c r="O73" s="1451"/>
      <c r="P73" s="1527"/>
      <c r="Q73" s="1453"/>
    </row>
    <row r="74" spans="1:17" s="907" customFormat="1">
      <c r="A74" s="1163"/>
      <c r="B74" s="1160">
        <f>B14</f>
        <v>111</v>
      </c>
      <c r="C74" s="1164"/>
      <c r="D74" s="1164"/>
      <c r="E74" s="1164"/>
      <c r="F74" s="1164"/>
      <c r="G74" s="1148"/>
      <c r="H74" s="1168"/>
      <c r="I74" s="1168"/>
      <c r="J74" s="1168"/>
      <c r="K74" s="1168"/>
      <c r="L74" s="1218"/>
      <c r="M74" s="1219"/>
      <c r="N74" s="1451"/>
      <c r="O74" s="1451"/>
      <c r="P74" s="1529"/>
      <c r="Q74" s="1453"/>
    </row>
    <row r="75" spans="1:17" s="907" customFormat="1">
      <c r="A75" s="1169"/>
      <c r="B75" s="1170"/>
      <c r="C75" s="1171"/>
      <c r="D75" s="1171"/>
      <c r="E75" s="1171"/>
      <c r="F75" s="1171"/>
      <c r="G75" s="1171"/>
      <c r="H75" s="1172"/>
      <c r="I75" s="1172"/>
      <c r="J75" s="1172"/>
      <c r="K75" s="1172"/>
      <c r="L75" s="1172"/>
      <c r="M75" s="1221"/>
      <c r="N75" s="1451"/>
      <c r="O75" s="1451"/>
      <c r="P75" s="1527"/>
      <c r="Q75" s="1453"/>
    </row>
    <row r="76" spans="1:17" ht="14.4">
      <c r="A76" s="1151" t="s">
        <v>951</v>
      </c>
      <c r="B76" s="1152" t="s">
        <v>1596</v>
      </c>
      <c r="C76" s="1173" t="s">
        <v>1004</v>
      </c>
      <c r="D76" s="1173" t="s">
        <v>1005</v>
      </c>
      <c r="E76" s="1173" t="s">
        <v>1006</v>
      </c>
      <c r="F76" s="1173" t="s">
        <v>1007</v>
      </c>
      <c r="G76" s="1173" t="s">
        <v>1008</v>
      </c>
      <c r="H76" s="1174"/>
      <c r="I76" s="1174"/>
      <c r="J76" s="1174"/>
      <c r="K76" s="1222"/>
      <c r="L76" s="1223"/>
      <c r="M76" s="1224"/>
      <c r="N76" s="1448"/>
      <c r="O76" s="1448"/>
      <c r="P76" s="1530"/>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23"/>
      <c r="Q77" s="1443"/>
    </row>
    <row r="78" spans="1:17" ht="14.4">
      <c r="A78" s="1153"/>
      <c r="B78" s="1156" t="s">
        <v>956</v>
      </c>
      <c r="C78" s="1175" t="s">
        <v>1004</v>
      </c>
      <c r="D78" s="1175" t="s">
        <v>1005</v>
      </c>
      <c r="E78" s="1175" t="s">
        <v>1006</v>
      </c>
      <c r="F78" s="1175" t="s">
        <v>1007</v>
      </c>
      <c r="G78" s="1175" t="s">
        <v>1008</v>
      </c>
      <c r="H78" s="1157"/>
      <c r="I78" s="1157"/>
      <c r="J78" s="1157"/>
      <c r="K78" s="1206"/>
      <c r="L78" s="1207"/>
      <c r="M78" s="1208"/>
      <c r="N78" s="1448"/>
      <c r="O78" s="1448"/>
      <c r="P78" s="1523"/>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23"/>
      <c r="Q79" s="1443"/>
    </row>
    <row r="80" spans="1:17" ht="14.4">
      <c r="A80" s="1153"/>
      <c r="B80" s="1156" t="s">
        <v>957</v>
      </c>
      <c r="C80" s="1175" t="s">
        <v>1004</v>
      </c>
      <c r="D80" s="1175" t="s">
        <v>1005</v>
      </c>
      <c r="E80" s="1175" t="s">
        <v>1006</v>
      </c>
      <c r="F80" s="1175" t="s">
        <v>1007</v>
      </c>
      <c r="G80" s="1175" t="s">
        <v>1008</v>
      </c>
      <c r="H80" s="1157"/>
      <c r="I80" s="1157"/>
      <c r="J80" s="1157"/>
      <c r="K80" s="1206"/>
      <c r="L80" s="1207"/>
      <c r="M80" s="1208"/>
      <c r="N80" s="1448"/>
      <c r="O80" s="1448"/>
      <c r="P80" s="1523"/>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23"/>
      <c r="Q81" s="1443"/>
    </row>
    <row r="82" spans="1:17" ht="14.4">
      <c r="A82" s="1153"/>
      <c r="B82" s="1160" t="s">
        <v>958</v>
      </c>
      <c r="C82" s="1157" t="s">
        <v>1009</v>
      </c>
      <c r="D82" s="1157" t="s">
        <v>1010</v>
      </c>
      <c r="E82" s="1157" t="s">
        <v>1011</v>
      </c>
      <c r="F82" s="1157" t="s">
        <v>1012</v>
      </c>
      <c r="G82" s="1157" t="s">
        <v>1013</v>
      </c>
      <c r="H82" s="1157"/>
      <c r="I82" s="1157"/>
      <c r="J82" s="1157"/>
      <c r="K82" s="1157"/>
      <c r="L82" s="1157"/>
      <c r="M82" s="1352"/>
      <c r="N82" s="1450"/>
      <c r="O82" s="1450"/>
      <c r="P82" s="1523"/>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23"/>
      <c r="Q83" s="1443"/>
    </row>
    <row r="84" spans="1:17" ht="14.4">
      <c r="A84" s="1153"/>
      <c r="B84" s="1156" t="s">
        <v>1597</v>
      </c>
      <c r="C84" s="1175" t="s">
        <v>1004</v>
      </c>
      <c r="D84" s="1175" t="s">
        <v>1005</v>
      </c>
      <c r="E84" s="1175" t="s">
        <v>1006</v>
      </c>
      <c r="F84" s="1175" t="s">
        <v>1007</v>
      </c>
      <c r="G84" s="1175" t="s">
        <v>1008</v>
      </c>
      <c r="H84" s="1157"/>
      <c r="I84" s="1157"/>
      <c r="J84" s="1157"/>
      <c r="K84" s="1206"/>
      <c r="L84" s="1207"/>
      <c r="M84" s="1208"/>
      <c r="N84" s="1448"/>
      <c r="O84" s="1448"/>
      <c r="P84" s="1523"/>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23"/>
      <c r="Q85" s="1443"/>
    </row>
    <row r="86" spans="1:17" s="905" customFormat="1" ht="14.4">
      <c r="A86" s="1176"/>
      <c r="B86" s="1156" t="s">
        <v>1598</v>
      </c>
      <c r="C86" s="1164"/>
      <c r="D86" s="1164"/>
      <c r="E86" s="1164"/>
      <c r="F86" s="1164"/>
      <c r="G86" s="1164"/>
      <c r="H86" s="1164"/>
      <c r="I86" s="1164"/>
      <c r="J86" s="1164"/>
      <c r="K86" s="1164"/>
      <c r="L86" s="1353"/>
      <c r="M86" s="1354"/>
      <c r="N86" s="1446"/>
      <c r="O86" s="1446"/>
      <c r="P86" s="1523"/>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23"/>
      <c r="Q87" s="1443"/>
    </row>
    <row r="88" spans="1:17" s="905" customFormat="1" ht="14.4">
      <c r="A88" s="1176"/>
      <c r="B88" s="1156" t="s">
        <v>964</v>
      </c>
      <c r="C88" s="1164"/>
      <c r="D88" s="1164"/>
      <c r="E88" s="1164"/>
      <c r="F88" s="1484"/>
      <c r="G88" s="1164"/>
      <c r="H88" s="1164"/>
      <c r="I88" s="1164"/>
      <c r="J88" s="1164"/>
      <c r="K88" s="1164"/>
      <c r="L88" s="1164"/>
      <c r="M88" s="1354"/>
      <c r="N88" s="1446"/>
      <c r="O88" s="1446"/>
      <c r="P88" s="1523"/>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23"/>
      <c r="Q89" s="1443"/>
    </row>
    <row r="90" spans="1:17" s="907" customFormat="1">
      <c r="A90" s="1163"/>
      <c r="B90" s="1156">
        <f>B27</f>
        <v>111</v>
      </c>
      <c r="C90" s="1164"/>
      <c r="D90" s="1164"/>
      <c r="E90" s="1164"/>
      <c r="F90" s="1164"/>
      <c r="G90" s="1164"/>
      <c r="H90" s="1165"/>
      <c r="I90" s="1165"/>
      <c r="J90" s="1165"/>
      <c r="K90" s="1165"/>
      <c r="L90" s="1213"/>
      <c r="M90" s="1214"/>
      <c r="N90" s="1451"/>
      <c r="O90" s="1451"/>
      <c r="P90" s="1527"/>
      <c r="Q90" s="1453"/>
    </row>
    <row r="91" spans="1:17" s="907" customFormat="1">
      <c r="A91" s="1163"/>
      <c r="B91" s="1158"/>
      <c r="C91" s="1166"/>
      <c r="D91" s="1166"/>
      <c r="E91" s="1166"/>
      <c r="F91" s="1166"/>
      <c r="G91" s="1166"/>
      <c r="H91" s="1167"/>
      <c r="I91" s="1167"/>
      <c r="J91" s="1167"/>
      <c r="K91" s="1167"/>
      <c r="L91" s="1167"/>
      <c r="M91" s="1217"/>
      <c r="N91" s="1451"/>
      <c r="O91" s="1451"/>
      <c r="P91" s="1527"/>
      <c r="Q91" s="1453"/>
    </row>
    <row r="92" spans="1:17">
      <c r="A92" s="1153"/>
      <c r="B92" s="1156">
        <f>B28</f>
        <v>111</v>
      </c>
      <c r="C92" s="1164"/>
      <c r="D92" s="1164"/>
      <c r="E92" s="1164"/>
      <c r="F92" s="1164"/>
      <c r="G92" s="1181"/>
      <c r="H92" s="1181"/>
      <c r="I92" s="1181"/>
      <c r="J92" s="1181"/>
      <c r="K92" s="1232"/>
      <c r="L92" s="1233"/>
      <c r="M92" s="1234"/>
      <c r="N92" s="1448"/>
      <c r="O92" s="1448"/>
      <c r="P92" s="1523"/>
      <c r="Q92" s="1443"/>
    </row>
    <row r="93" spans="1:17">
      <c r="A93" s="1153"/>
      <c r="B93" s="1158"/>
      <c r="C93" s="1166"/>
      <c r="D93" s="1155"/>
      <c r="E93" s="1155"/>
      <c r="F93" s="1155"/>
      <c r="G93" s="1155"/>
      <c r="H93" s="1155"/>
      <c r="I93" s="1155"/>
      <c r="J93" s="1155"/>
      <c r="K93" s="1155"/>
      <c r="L93" s="1155"/>
      <c r="M93" s="1204"/>
      <c r="N93" s="1450"/>
      <c r="O93" s="1450"/>
      <c r="P93" s="1523"/>
      <c r="Q93" s="1443"/>
    </row>
    <row r="94" spans="1:17">
      <c r="A94" s="1153"/>
      <c r="B94" s="1156">
        <f>B29</f>
        <v>111</v>
      </c>
      <c r="C94" s="1164"/>
      <c r="D94" s="1164"/>
      <c r="E94" s="1164"/>
      <c r="F94" s="1164"/>
      <c r="G94" s="1181"/>
      <c r="H94" s="1181"/>
      <c r="I94" s="1181"/>
      <c r="J94" s="1181"/>
      <c r="K94" s="1232"/>
      <c r="L94" s="1233"/>
      <c r="M94" s="1234"/>
      <c r="N94" s="1448"/>
      <c r="O94" s="1448"/>
      <c r="P94" s="1523"/>
      <c r="Q94" s="1443"/>
    </row>
    <row r="95" spans="1:17">
      <c r="A95" s="1153"/>
      <c r="B95" s="1158"/>
      <c r="C95" s="1166"/>
      <c r="D95" s="1166"/>
      <c r="E95" s="1166"/>
      <c r="F95" s="1166"/>
      <c r="G95" s="1155"/>
      <c r="H95" s="1155"/>
      <c r="I95" s="1155"/>
      <c r="J95" s="1155"/>
      <c r="K95" s="1155"/>
      <c r="L95" s="1155"/>
      <c r="M95" s="1204"/>
      <c r="N95" s="1450"/>
      <c r="O95" s="1450"/>
      <c r="P95" s="1523"/>
      <c r="Q95" s="1443"/>
    </row>
    <row r="96" spans="1:17">
      <c r="A96" s="1153"/>
      <c r="B96" s="1156">
        <f>B30</f>
        <v>111</v>
      </c>
      <c r="C96" s="1164"/>
      <c r="D96" s="1164"/>
      <c r="E96" s="1164"/>
      <c r="F96" s="1164"/>
      <c r="G96" s="1181"/>
      <c r="H96" s="1181"/>
      <c r="I96" s="1181"/>
      <c r="J96" s="1181"/>
      <c r="K96" s="1232"/>
      <c r="L96" s="1233"/>
      <c r="M96" s="1234"/>
      <c r="N96" s="1448"/>
      <c r="O96" s="1448"/>
      <c r="P96" s="1523"/>
      <c r="Q96" s="1443"/>
    </row>
    <row r="97" spans="1:17">
      <c r="A97" s="1153"/>
      <c r="B97" s="1158"/>
      <c r="C97" s="1171"/>
      <c r="D97" s="1171"/>
      <c r="E97" s="1171"/>
      <c r="F97" s="1171"/>
      <c r="G97" s="1155"/>
      <c r="H97" s="1155"/>
      <c r="I97" s="1155"/>
      <c r="J97" s="1155"/>
      <c r="K97" s="1155"/>
      <c r="L97" s="1155"/>
      <c r="M97" s="1204"/>
      <c r="N97" s="1450"/>
      <c r="O97" s="1450"/>
      <c r="P97" s="1523"/>
      <c r="Q97" s="1443"/>
    </row>
    <row r="98" spans="1:17">
      <c r="A98" s="1153"/>
      <c r="B98" s="1160">
        <f>B31</f>
        <v>111</v>
      </c>
      <c r="C98" s="1182"/>
      <c r="D98" s="1182"/>
      <c r="E98" s="1182"/>
      <c r="F98" s="1182"/>
      <c r="G98" s="1182"/>
      <c r="H98" s="1182"/>
      <c r="I98" s="1182"/>
      <c r="J98" s="1182"/>
      <c r="K98" s="1235"/>
      <c r="L98" s="1236"/>
      <c r="M98" s="1237"/>
      <c r="N98" s="1448"/>
      <c r="O98" s="1448"/>
      <c r="P98" s="1523"/>
      <c r="Q98" s="1443"/>
    </row>
    <row r="99" spans="1:17">
      <c r="A99" s="1454"/>
      <c r="B99" s="1170"/>
      <c r="C99" s="1183"/>
      <c r="D99" s="1183"/>
      <c r="E99" s="1183"/>
      <c r="F99" s="1183"/>
      <c r="G99" s="1183"/>
      <c r="H99" s="1183"/>
      <c r="I99" s="1183"/>
      <c r="J99" s="1183"/>
      <c r="K99" s="1183"/>
      <c r="L99" s="1183"/>
      <c r="M99" s="1238"/>
      <c r="N99" s="1450"/>
      <c r="O99" s="1450"/>
      <c r="P99" s="1523"/>
      <c r="Q99" s="1443"/>
    </row>
    <row r="100" spans="1:17" ht="14.4">
      <c r="A100" s="1151" t="s">
        <v>965</v>
      </c>
      <c r="B100" s="1152" t="s">
        <v>966</v>
      </c>
      <c r="C100" s="1094"/>
      <c r="D100" s="1094"/>
      <c r="E100" s="1094"/>
      <c r="F100" s="1094"/>
      <c r="G100" s="1094"/>
      <c r="H100" s="1094"/>
      <c r="I100" s="1094"/>
      <c r="J100" s="1094"/>
      <c r="K100" s="1199"/>
      <c r="L100" s="1200"/>
      <c r="M100" s="1201"/>
      <c r="N100" s="1448"/>
      <c r="O100" s="1448"/>
      <c r="P100" s="1523"/>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23"/>
      <c r="Q101" s="1443"/>
    </row>
    <row r="102" spans="1:17" ht="14.4">
      <c r="A102" s="1153"/>
      <c r="B102" s="1156" t="s">
        <v>969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23"/>
      <c r="Q102" s="1443"/>
    </row>
    <row r="103" spans="1:17" s="907" customFormat="1">
      <c r="A103" s="1184"/>
      <c r="B103" s="1185"/>
      <c r="C103" s="1140"/>
      <c r="D103" s="1140"/>
      <c r="E103" s="1140"/>
      <c r="F103" s="1140"/>
      <c r="G103" s="1140"/>
      <c r="H103" s="1140"/>
      <c r="I103" s="1140"/>
      <c r="J103" s="1239"/>
      <c r="K103" s="1239"/>
      <c r="L103" s="1240"/>
      <c r="M103" s="1241"/>
      <c r="N103" s="1451"/>
      <c r="O103" s="1451"/>
      <c r="P103" s="1527"/>
      <c r="Q103" s="1453"/>
    </row>
    <row r="104" spans="1:17" s="907" customFormat="1">
      <c r="A104" s="1163"/>
      <c r="B104" s="1158"/>
      <c r="C104" s="1166"/>
      <c r="D104" s="1155"/>
      <c r="E104" s="1155"/>
      <c r="F104" s="1155"/>
      <c r="G104" s="1155"/>
      <c r="H104" s="1155"/>
      <c r="I104" s="1155"/>
      <c r="J104" s="1155"/>
      <c r="K104" s="1155"/>
      <c r="L104" s="1155"/>
      <c r="M104" s="1155"/>
      <c r="N104" s="1450"/>
      <c r="O104" s="1450"/>
      <c r="P104" s="1527"/>
      <c r="Q104" s="1453"/>
    </row>
    <row r="105" spans="1:17" ht="14.4">
      <c r="A105" s="1187"/>
      <c r="B105" s="1156" t="s">
        <v>970</v>
      </c>
      <c r="C105" s="1164"/>
      <c r="D105" s="1164"/>
      <c r="E105" s="1181"/>
      <c r="F105" s="1181"/>
      <c r="G105" s="1181"/>
      <c r="H105" s="1181"/>
      <c r="I105" s="1181"/>
      <c r="J105" s="1181"/>
      <c r="K105" s="1232"/>
      <c r="L105" s="1233"/>
      <c r="M105" s="1234"/>
      <c r="N105" s="1448"/>
      <c r="O105" s="1448"/>
      <c r="P105" s="1523"/>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23"/>
      <c r="Q106" s="1443"/>
    </row>
    <row r="107" spans="1:17" ht="14.4">
      <c r="A107" s="1187"/>
      <c r="B107" s="1156" t="s">
        <v>1599</v>
      </c>
      <c r="C107" s="1181"/>
      <c r="D107" s="1181"/>
      <c r="E107" s="1181"/>
      <c r="F107" s="1181"/>
      <c r="G107" s="1181"/>
      <c r="H107" s="1181"/>
      <c r="I107" s="1181"/>
      <c r="J107" s="1181"/>
      <c r="K107" s="1232"/>
      <c r="L107" s="1233"/>
      <c r="M107" s="1234"/>
      <c r="N107" s="1448"/>
      <c r="O107" s="1448"/>
      <c r="P107" s="1523"/>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23"/>
      <c r="Q108" s="1443"/>
    </row>
    <row r="109" spans="1:17" ht="14.4">
      <c r="A109" s="1187"/>
      <c r="B109" s="1156" t="s">
        <v>972</v>
      </c>
      <c r="C109" s="1164"/>
      <c r="D109" s="1164"/>
      <c r="E109" s="1164"/>
      <c r="F109" s="1181"/>
      <c r="G109" s="1181"/>
      <c r="H109" s="1181"/>
      <c r="I109" s="1181"/>
      <c r="J109" s="1181"/>
      <c r="K109" s="1232"/>
      <c r="L109" s="1233"/>
      <c r="M109" s="1234"/>
      <c r="N109" s="1448"/>
      <c r="O109" s="1448"/>
      <c r="P109" s="1523"/>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23"/>
      <c r="Q110" s="1443"/>
    </row>
    <row r="111" spans="1:17" s="907" customFormat="1" ht="14.4">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27"/>
      <c r="Q111" s="1453"/>
    </row>
    <row r="112" spans="1:17" s="907" customFormat="1">
      <c r="A112" s="1184"/>
      <c r="B112" s="1160"/>
      <c r="C112" s="840">
        <v>0.5</v>
      </c>
      <c r="D112" s="840">
        <v>0.6</v>
      </c>
      <c r="E112" s="840">
        <v>0.7</v>
      </c>
      <c r="F112" s="840">
        <v>0.8</v>
      </c>
      <c r="G112" s="840">
        <v>0.9</v>
      </c>
      <c r="H112" s="840">
        <v>1.0001</v>
      </c>
      <c r="I112" s="840"/>
      <c r="J112" s="1531"/>
      <c r="K112" s="1531"/>
      <c r="L112" s="1532"/>
      <c r="M112" s="1533"/>
      <c r="N112" s="1451"/>
      <c r="O112" s="1451"/>
      <c r="P112" s="1527"/>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27"/>
      <c r="Q113" s="1453"/>
    </row>
    <row r="114" spans="1:17" ht="14.4">
      <c r="A114" s="1187"/>
      <c r="B114" s="1156" t="s">
        <v>975</v>
      </c>
      <c r="C114" s="1164"/>
      <c r="D114" s="1164"/>
      <c r="E114" s="1181"/>
      <c r="F114" s="1181"/>
      <c r="G114" s="1181"/>
      <c r="H114" s="1181"/>
      <c r="I114" s="1181"/>
      <c r="J114" s="1181"/>
      <c r="K114" s="1232"/>
      <c r="L114" s="1233"/>
      <c r="M114" s="1234"/>
      <c r="N114" s="1448"/>
      <c r="O114" s="1448"/>
      <c r="P114" s="1523"/>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23"/>
      <c r="Q115" s="1443"/>
    </row>
    <row r="116" spans="1:17" ht="14.4">
      <c r="A116" s="1187"/>
      <c r="B116" s="1156" t="s">
        <v>978</v>
      </c>
      <c r="C116" s="1164"/>
      <c r="D116" s="1164"/>
      <c r="E116" s="1164"/>
      <c r="F116" s="1164"/>
      <c r="G116" s="1164"/>
      <c r="H116" s="1181"/>
      <c r="I116" s="1181"/>
      <c r="J116" s="1181"/>
      <c r="K116" s="1232"/>
      <c r="L116" s="1233"/>
      <c r="M116" s="1234"/>
      <c r="N116" s="1448"/>
      <c r="O116" s="1448"/>
      <c r="P116" s="1523"/>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23"/>
      <c r="Q117" s="1443"/>
    </row>
    <row r="118" spans="1:17" ht="14.4">
      <c r="A118" s="1187"/>
      <c r="B118" s="1156" t="s">
        <v>1600</v>
      </c>
      <c r="C118" s="1181"/>
      <c r="D118" s="1181"/>
      <c r="E118" s="1181"/>
      <c r="F118" s="1181"/>
      <c r="G118" s="1181"/>
      <c r="H118" s="1181"/>
      <c r="I118" s="1181"/>
      <c r="J118" s="1181"/>
      <c r="K118" s="1232"/>
      <c r="L118" s="1233"/>
      <c r="M118" s="1234"/>
      <c r="N118" s="1448"/>
      <c r="O118" s="1448"/>
      <c r="P118" s="1523"/>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23"/>
      <c r="Q119" s="1443"/>
    </row>
    <row r="120" spans="1:17" s="907" customFormat="1" ht="28.8">
      <c r="A120" s="1184"/>
      <c r="B120" s="1156" t="s">
        <v>1601</v>
      </c>
      <c r="C120" s="1164"/>
      <c r="D120" s="1164"/>
      <c r="E120" s="1164"/>
      <c r="F120" s="1164"/>
      <c r="G120" s="1164"/>
      <c r="H120" s="1164"/>
      <c r="I120" s="1164"/>
      <c r="J120" s="1164"/>
      <c r="K120" s="1164"/>
      <c r="L120" s="1353"/>
      <c r="M120" s="1354"/>
      <c r="N120" s="1451"/>
      <c r="O120" s="1451"/>
      <c r="P120" s="1527"/>
      <c r="Q120" s="1453"/>
    </row>
    <row r="121" spans="1:17" s="907" customFormat="1">
      <c r="A121" s="1163"/>
      <c r="B121" s="1154"/>
      <c r="C121" s="1166"/>
      <c r="D121" s="1155"/>
      <c r="E121" s="1155"/>
      <c r="F121" s="1155"/>
      <c r="G121" s="1155"/>
      <c r="H121" s="1155"/>
      <c r="I121" s="1155"/>
      <c r="J121" s="1155"/>
      <c r="K121" s="1155"/>
      <c r="L121" s="1155"/>
      <c r="M121" s="1155"/>
      <c r="N121" s="1451"/>
      <c r="O121" s="1451"/>
      <c r="P121" s="1527"/>
      <c r="Q121" s="1453"/>
    </row>
    <row r="122" spans="1:17" ht="14.4">
      <c r="A122" s="1187"/>
      <c r="B122" s="1156" t="s">
        <v>982</v>
      </c>
      <c r="C122" s="1164"/>
      <c r="D122" s="1164"/>
      <c r="E122" s="1164"/>
      <c r="F122" s="1181"/>
      <c r="G122" s="1181"/>
      <c r="H122" s="1181"/>
      <c r="I122" s="1181"/>
      <c r="J122" s="1181"/>
      <c r="K122" s="1232"/>
      <c r="L122" s="1233"/>
      <c r="M122" s="1234"/>
      <c r="N122" s="1448"/>
      <c r="O122" s="1448"/>
      <c r="P122" s="1523"/>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23"/>
      <c r="Q123" s="1443"/>
    </row>
    <row r="124" spans="1:17" ht="28.8">
      <c r="A124" s="1187"/>
      <c r="B124" s="1156" t="s">
        <v>985</v>
      </c>
      <c r="C124" s="1175" t="s">
        <v>1004</v>
      </c>
      <c r="D124" s="1175" t="s">
        <v>1005</v>
      </c>
      <c r="E124" s="1175" t="s">
        <v>1006</v>
      </c>
      <c r="F124" s="1175" t="s">
        <v>1007</v>
      </c>
      <c r="G124" s="1175" t="s">
        <v>1008</v>
      </c>
      <c r="H124" s="1157"/>
      <c r="I124" s="1157"/>
      <c r="J124" s="1157"/>
      <c r="K124" s="1206"/>
      <c r="L124" s="1207"/>
      <c r="M124" s="1208"/>
      <c r="N124" s="1448"/>
      <c r="O124" s="1448"/>
      <c r="P124" s="1527"/>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23"/>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27"/>
      <c r="Q126" s="1453"/>
    </row>
    <row r="127" spans="1:17" s="907" customFormat="1">
      <c r="A127" s="1163"/>
      <c r="B127" s="1158"/>
      <c r="C127" s="1166"/>
      <c r="D127" s="1155"/>
      <c r="E127" s="1155"/>
      <c r="F127" s="1155"/>
      <c r="G127" s="1166"/>
      <c r="H127" s="1167"/>
      <c r="I127" s="1167"/>
      <c r="J127" s="1167"/>
      <c r="K127" s="1167"/>
      <c r="L127" s="1167"/>
      <c r="M127" s="1217"/>
      <c r="N127" s="1451"/>
      <c r="O127" s="1451"/>
      <c r="P127" s="1527"/>
      <c r="Q127" s="1453"/>
    </row>
    <row r="128" spans="1:17">
      <c r="A128" s="1187"/>
      <c r="B128" s="1156">
        <f>B45</f>
        <v>111</v>
      </c>
      <c r="C128" s="1164"/>
      <c r="D128" s="1164"/>
      <c r="E128" s="1164"/>
      <c r="F128" s="1164"/>
      <c r="G128" s="1181"/>
      <c r="H128" s="1181"/>
      <c r="I128" s="1181"/>
      <c r="J128" s="1181"/>
      <c r="K128" s="1232"/>
      <c r="L128" s="1233"/>
      <c r="M128" s="1234"/>
      <c r="N128" s="1448"/>
      <c r="O128" s="1448"/>
      <c r="P128" s="1523"/>
      <c r="Q128" s="1443"/>
    </row>
    <row r="129" spans="1:17">
      <c r="A129" s="1153"/>
      <c r="B129" s="1158"/>
      <c r="C129" s="1166"/>
      <c r="D129" s="1166"/>
      <c r="E129" s="1166"/>
      <c r="F129" s="1166"/>
      <c r="G129" s="1155"/>
      <c r="H129" s="1155"/>
      <c r="I129" s="1155"/>
      <c r="J129" s="1155"/>
      <c r="K129" s="1155"/>
      <c r="L129" s="1155"/>
      <c r="M129" s="1204"/>
      <c r="N129" s="1450"/>
      <c r="O129" s="1450"/>
      <c r="P129" s="1523"/>
      <c r="Q129" s="1443"/>
    </row>
    <row r="130" spans="1:17">
      <c r="A130" s="1187"/>
      <c r="B130" s="1160">
        <f>B46</f>
        <v>111</v>
      </c>
      <c r="C130" s="1164"/>
      <c r="D130" s="1164"/>
      <c r="E130" s="1164"/>
      <c r="F130" s="1164"/>
      <c r="G130" s="1182"/>
      <c r="H130" s="1182"/>
      <c r="I130" s="1182"/>
      <c r="J130" s="1182"/>
      <c r="K130" s="1148"/>
      <c r="L130" s="1194"/>
      <c r="M130" s="1237"/>
      <c r="N130" s="1448"/>
      <c r="O130" s="1448"/>
      <c r="P130" s="1523"/>
      <c r="Q130" s="1443"/>
    </row>
    <row r="131" spans="1:17">
      <c r="A131" s="1454"/>
      <c r="B131" s="1170"/>
      <c r="C131" s="1171"/>
      <c r="D131" s="1171"/>
      <c r="E131" s="1171"/>
      <c r="F131" s="1171"/>
      <c r="G131" s="1183"/>
      <c r="H131" s="1183"/>
      <c r="I131" s="1183"/>
      <c r="J131" s="1183"/>
      <c r="K131" s="1183"/>
      <c r="L131" s="1183"/>
      <c r="M131" s="1238"/>
      <c r="N131" s="1450"/>
      <c r="O131" s="1450"/>
      <c r="P131" s="1523"/>
      <c r="Q131" s="1443"/>
    </row>
    <row r="136" spans="1:17" ht="14.4">
      <c r="B136" s="1534" t="s">
        <v>1602</v>
      </c>
    </row>
    <row r="137" spans="1:17" ht="15">
      <c r="B137" s="1535" t="s">
        <v>1603</v>
      </c>
      <c r="C137" s="1536"/>
      <c r="D137" s="1536"/>
      <c r="E137" s="1536"/>
      <c r="F137" s="1536"/>
      <c r="G137" s="1537"/>
      <c r="H137" s="1538"/>
      <c r="I137" s="1563" t="s">
        <v>1604</v>
      </c>
      <c r="J137" s="1536"/>
      <c r="K137" s="1564"/>
    </row>
    <row r="138" spans="1:17" ht="15">
      <c r="B138" s="1539"/>
      <c r="C138" s="1540" t="s">
        <v>1605</v>
      </c>
      <c r="D138" s="1540" t="s">
        <v>1606</v>
      </c>
      <c r="E138" s="1541" t="s">
        <v>1607</v>
      </c>
      <c r="F138" s="1542" t="s">
        <v>1608</v>
      </c>
      <c r="G138" s="1540" t="s">
        <v>1606</v>
      </c>
      <c r="H138" s="1543" t="s">
        <v>1607</v>
      </c>
      <c r="I138" s="1565"/>
      <c r="J138" s="1540" t="s">
        <v>1609</v>
      </c>
      <c r="K138" s="1543" t="s">
        <v>1610</v>
      </c>
    </row>
    <row r="139" spans="1:17" ht="15">
      <c r="B139" s="1544">
        <v>6</v>
      </c>
      <c r="C139" s="1545">
        <v>96</v>
      </c>
      <c r="D139" s="1546" t="s">
        <v>1611</v>
      </c>
      <c r="E139" s="1547">
        <v>100</v>
      </c>
      <c r="F139" s="1548">
        <v>102.5</v>
      </c>
      <c r="G139" s="1546" t="s">
        <v>1611</v>
      </c>
      <c r="H139" s="1549">
        <v>105</v>
      </c>
      <c r="I139" s="1566" t="s">
        <v>1612</v>
      </c>
      <c r="J139" s="1545">
        <v>20</v>
      </c>
      <c r="K139" s="1567">
        <f>C145/(J139-2)</f>
        <v>4.0555555555555596E-3</v>
      </c>
    </row>
    <row r="140" spans="1:17" ht="15">
      <c r="B140" s="1550">
        <v>5</v>
      </c>
      <c r="C140" s="1551">
        <v>100</v>
      </c>
      <c r="D140" s="1551"/>
      <c r="E140" s="1552"/>
      <c r="F140" s="1553">
        <v>102</v>
      </c>
      <c r="G140" s="1551"/>
      <c r="H140" s="1554"/>
      <c r="I140" s="1568" t="s">
        <v>1613</v>
      </c>
      <c r="J140" s="227">
        <f>ROUNDUP((J139-1)/2,0)</f>
        <v>10</v>
      </c>
      <c r="K140" s="1569">
        <v>100</v>
      </c>
    </row>
    <row r="141" spans="1:17" ht="15">
      <c r="B141" s="1550">
        <v>4</v>
      </c>
      <c r="C141" s="1551">
        <v>102</v>
      </c>
      <c r="D141" s="1551"/>
      <c r="E141" s="1552"/>
      <c r="F141" s="1553">
        <v>101.5</v>
      </c>
      <c r="G141" s="1551"/>
      <c r="H141" s="1554"/>
      <c r="I141" s="1568" t="s">
        <v>1614</v>
      </c>
      <c r="J141" s="227">
        <v>1</v>
      </c>
      <c r="K141" s="1570">
        <f>ROUND(100+(J141-J140)*K139*100,1)</f>
        <v>96.4</v>
      </c>
    </row>
    <row r="142" spans="1:17" ht="15">
      <c r="B142" s="1550">
        <v>3</v>
      </c>
      <c r="C142" s="1551">
        <v>103</v>
      </c>
      <c r="D142" s="1551"/>
      <c r="E142" s="1552"/>
      <c r="F142" s="1553">
        <v>101</v>
      </c>
      <c r="G142" s="1551"/>
      <c r="H142" s="1554"/>
      <c r="I142" s="1568" t="s">
        <v>1615</v>
      </c>
      <c r="J142" s="227">
        <f>J139</f>
        <v>20</v>
      </c>
      <c r="K142" s="1571">
        <v>95</v>
      </c>
    </row>
    <row r="143" spans="1:17" ht="15">
      <c r="B143" s="1550">
        <v>2</v>
      </c>
      <c r="C143" s="1551">
        <v>100</v>
      </c>
      <c r="D143" s="1551"/>
      <c r="E143" s="1552"/>
      <c r="F143" s="1553">
        <v>100.5</v>
      </c>
      <c r="G143" s="1551"/>
      <c r="H143" s="1554"/>
      <c r="I143" s="1568" t="s">
        <v>1616</v>
      </c>
      <c r="J143" s="1551">
        <v>15</v>
      </c>
      <c r="K143" s="1570">
        <f>ROUND(100+(J143-J140)*K139*100,1)</f>
        <v>102</v>
      </c>
    </row>
    <row r="144" spans="1:17" ht="15">
      <c r="B144" s="1550">
        <v>1</v>
      </c>
      <c r="C144" s="1551">
        <v>98</v>
      </c>
      <c r="D144" s="1555" t="s">
        <v>1617</v>
      </c>
      <c r="E144" s="1552">
        <v>102</v>
      </c>
      <c r="F144" s="1556">
        <v>100</v>
      </c>
      <c r="G144" s="1555" t="s">
        <v>1617</v>
      </c>
      <c r="H144" s="1554">
        <v>105</v>
      </c>
      <c r="I144" s="1568" t="s">
        <v>1616</v>
      </c>
      <c r="J144" s="1551">
        <v>18</v>
      </c>
      <c r="K144" s="1570">
        <f>ROUND(100+(J144-J140)*K139*100,1)</f>
        <v>103.2</v>
      </c>
    </row>
    <row r="145" spans="2:11" ht="15.6">
      <c r="B145" s="1557" t="s">
        <v>1618</v>
      </c>
      <c r="C145" s="1558">
        <f>ROUND(MAX(C139:C144)/MIN(C139:C144)-1,3)</f>
        <v>7.2999999999999995E-2</v>
      </c>
      <c r="D145" s="1559"/>
      <c r="E145" s="1559"/>
      <c r="F145" s="1560" t="s">
        <v>1619</v>
      </c>
      <c r="G145" s="1561"/>
      <c r="H145" s="1562"/>
      <c r="I145" s="1572" t="s">
        <v>1616</v>
      </c>
      <c r="J145" s="1573">
        <v>8</v>
      </c>
      <c r="K145" s="1574">
        <f>ROUND(100+(J145-J140)*K139*100,1)</f>
        <v>99.2</v>
      </c>
    </row>
    <row r="147" spans="2:11" ht="14.4">
      <c r="B147" s="1534" t="s">
        <v>1620</v>
      </c>
    </row>
    <row r="148" spans="2:11" ht="14.4">
      <c r="B148" s="1534" t="s">
        <v>1621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3" customWidth="1"/>
    <col min="2" max="16384" width="9" style="493"/>
  </cols>
  <sheetData>
    <row r="1" spans="1:1" ht="22.8">
      <c r="A1" s="3225" t="s">
        <v>82</v>
      </c>
    </row>
    <row r="2" spans="1:1">
      <c r="A2" s="3226"/>
    </row>
    <row r="3" spans="1:1" ht="17.399999999999999">
      <c r="A3" s="3227" t="str">
        <f>项目基本情况!B5&amp;"："</f>
        <v>：</v>
      </c>
    </row>
    <row r="4" spans="1:1" ht="17.399999999999999">
      <c r="A4" s="3228" t="str">
        <f>"受贵公司委托，我公司对"&amp;项目基本情况!S1&amp;"进行了预评估。"</f>
        <v>受贵公司委托，我公司对北京市房地产抵押价值进行了预评估。</v>
      </c>
    </row>
    <row r="5" spans="1:1" ht="17.399999999999999">
      <c r="A5" s="3229" t="s">
        <v>83</v>
      </c>
    </row>
    <row r="6" spans="1:1" ht="17.399999999999999">
      <c r="A6" s="3230" t="s">
        <v>84</v>
      </c>
    </row>
    <row r="7" spans="1:1" ht="52.2">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4.6">
      <c r="A8" s="3231" t="s">
        <v>85</v>
      </c>
    </row>
    <row r="9" spans="1:1" ht="17.399999999999999">
      <c r="A9" s="3230" t="s">
        <v>86</v>
      </c>
    </row>
    <row r="10" spans="1:1" ht="52.2">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2">
      <c r="A11" s="3231" t="s">
        <v>87</v>
      </c>
    </row>
    <row r="12" spans="1:1" ht="17.399999999999999">
      <c r="A12" s="3229" t="s">
        <v>88</v>
      </c>
    </row>
    <row r="13" spans="1:1" ht="38.25" customHeight="1">
      <c r="A13" s="32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33" t="s">
        <v>89</v>
      </c>
    </row>
    <row r="15" spans="1:1" ht="17.399999999999999">
      <c r="A15" s="3234" t="str">
        <f>TEXT(项目基本情况!D3,"yyyy年m月d日;;")&amp;IF(项目基本情况!D3=项目基本情况!B3,"（评估专业人员实地查勘之日）","")</f>
        <v>2022年7月28日</v>
      </c>
    </row>
    <row r="16" spans="1:1" ht="17.399999999999999">
      <c r="A16" s="3233" t="s">
        <v>90</v>
      </c>
    </row>
    <row r="17" spans="1:1" ht="69.599999999999994">
      <c r="A17" s="3228" t="s">
        <v>91</v>
      </c>
    </row>
    <row r="18" spans="1:1" ht="69.599999999999994">
      <c r="A18" s="32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9" spans="1:1" ht="157.5" customHeight="1">
      <c r="A19" s="32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33" t="s">
        <v>92</v>
      </c>
    </row>
    <row r="24" spans="1:1" ht="17.399999999999999">
      <c r="A24" s="3200" t="str">
        <f>"本次评估采用的主估价方法为"&amp;结果表!K4&amp;"和"&amp;结果表!L4&amp;"。"</f>
        <v>本次评估采用的主估价方法为比较法和收益法。</v>
      </c>
    </row>
    <row r="25" spans="1:1" ht="17.399999999999999">
      <c r="A25" s="3200"/>
    </row>
    <row r="26" spans="1:1" ht="17.399999999999999">
      <c r="A26" s="3235"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6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913</v>
      </c>
      <c r="B1" s="1462" t="s">
        <v>1622</v>
      </c>
      <c r="C1" s="1343" t="s">
        <v>915</v>
      </c>
      <c r="D1" s="1287"/>
      <c r="E1" s="1463"/>
      <c r="F1" s="1289"/>
      <c r="G1" s="1290" t="s">
        <v>917</v>
      </c>
      <c r="H1" s="1288"/>
      <c r="I1" s="1288"/>
      <c r="J1" s="1288"/>
      <c r="K1" s="1341"/>
      <c r="L1" s="1342"/>
      <c r="M1" s="1343"/>
      <c r="N1" s="1343"/>
      <c r="O1" s="1343"/>
      <c r="P1" s="1472"/>
      <c r="Q1" s="1481"/>
      <c r="R1" s="1481"/>
      <c r="S1" s="1481"/>
      <c r="T1" s="1481"/>
      <c r="U1" s="1481"/>
      <c r="V1" s="1481"/>
      <c r="W1" s="1481"/>
      <c r="X1" s="1481"/>
      <c r="Y1" s="1481"/>
      <c r="Z1" s="1481"/>
      <c r="AA1" s="1481"/>
      <c r="AB1" s="1481"/>
      <c r="AC1" s="1482"/>
    </row>
    <row r="2" spans="1:29" s="904" customFormat="1" ht="28.5" customHeight="1">
      <c r="A2" s="1291" t="s">
        <v>918</v>
      </c>
      <c r="B2" s="1292" t="e">
        <f ca="1">IF(C2="——",ROUND(C49*D3/10000,0),ROUND(C49*D3/10000,0)-D2)</f>
        <v>#DIV/0!</v>
      </c>
      <c r="C2" s="1293"/>
      <c r="D2" s="1464" t="e">
        <f ca="1">SUMIF(INDIRECT("'"&amp;F2&amp;"'"&amp;"!A:A"),"承租人权益价值",INDIRECT("'"&amp;F2&amp;"'"&amp;"!c:c"))</f>
        <v>#REF!</v>
      </c>
      <c r="E2" s="1294" t="s">
        <v>919</v>
      </c>
      <c r="F2" s="1295"/>
      <c r="G2" s="920"/>
      <c r="H2" s="920"/>
      <c r="I2" s="920"/>
      <c r="J2" s="920"/>
      <c r="K2" s="920"/>
      <c r="L2" s="1069"/>
      <c r="M2" s="1070"/>
      <c r="N2" s="1070"/>
      <c r="O2" s="1070"/>
      <c r="P2" s="1473"/>
      <c r="Q2" s="1424"/>
      <c r="R2" s="1424"/>
      <c r="S2" s="1424"/>
      <c r="T2" s="1424"/>
      <c r="U2" s="1424"/>
      <c r="V2" s="1424"/>
      <c r="W2" s="1424"/>
      <c r="X2" s="1424"/>
      <c r="Y2" s="1424"/>
      <c r="Z2" s="1424"/>
      <c r="AA2" s="1424"/>
      <c r="AB2" s="1424"/>
      <c r="AC2" s="1483"/>
    </row>
    <row r="3" spans="1:29" s="904" customFormat="1" ht="28.5" customHeight="1">
      <c r="A3" s="153" t="s">
        <v>920</v>
      </c>
      <c r="B3" s="922" t="e">
        <f ca="1">IF(C2="——",C49,ROUND(B2*10000/D3,0))</f>
        <v>#DIV/0!</v>
      </c>
      <c r="C3" s="1296" t="s">
        <v>921</v>
      </c>
      <c r="D3" s="1297">
        <f>IF(D1="",'数据-汇总表'!E3,SUMIF('数据-汇总表'!$C19:$C33,D1,'数据-汇总表'!$E19:$E33))</f>
        <v>5858.09</v>
      </c>
      <c r="E3" s="1465"/>
      <c r="F3" s="921"/>
      <c r="G3" s="920"/>
      <c r="H3" s="920"/>
      <c r="I3" s="920"/>
      <c r="J3" s="920"/>
      <c r="K3" s="1068"/>
      <c r="L3" s="1069"/>
      <c r="M3" s="1070"/>
      <c r="N3" s="1070"/>
      <c r="O3" s="1070"/>
      <c r="P3" s="1473"/>
      <c r="Q3" s="1424"/>
      <c r="R3" s="1424"/>
      <c r="S3" s="1424"/>
      <c r="T3" s="1424"/>
      <c r="U3" s="1424"/>
      <c r="V3" s="1424"/>
      <c r="W3" s="1424"/>
      <c r="X3" s="1424"/>
      <c r="Y3" s="1424"/>
      <c r="Z3" s="1424"/>
      <c r="AA3" s="1424"/>
      <c r="AB3" s="1424"/>
      <c r="AC3" s="1465"/>
    </row>
    <row r="4" spans="1:29" ht="14.4">
      <c r="A4" s="924" t="s">
        <v>922</v>
      </c>
      <c r="B4" s="925"/>
      <c r="C4" s="3495" t="s">
        <v>923</v>
      </c>
      <c r="D4" s="3496"/>
      <c r="E4" s="3497" t="s">
        <v>924</v>
      </c>
      <c r="F4" s="3498"/>
      <c r="G4" s="3495" t="s">
        <v>925</v>
      </c>
      <c r="H4" s="3496"/>
      <c r="I4" s="3495" t="s">
        <v>926</v>
      </c>
      <c r="J4" s="3496"/>
      <c r="K4" s="1071" t="s">
        <v>927</v>
      </c>
      <c r="L4" s="1072"/>
      <c r="M4" s="1073"/>
      <c r="N4" s="1073"/>
      <c r="O4" s="1073"/>
      <c r="P4" s="3535" t="s">
        <v>928</v>
      </c>
      <c r="Q4" s="3536"/>
      <c r="R4" s="3539" t="s">
        <v>924</v>
      </c>
      <c r="S4" s="3540"/>
      <c r="T4" s="3539" t="s">
        <v>925</v>
      </c>
      <c r="U4" s="3540"/>
      <c r="V4" s="3471" t="s">
        <v>926</v>
      </c>
      <c r="W4" s="3471"/>
      <c r="X4" s="1115"/>
      <c r="Y4" s="3539" t="s">
        <v>928</v>
      </c>
      <c r="Z4" s="3540"/>
      <c r="AA4" s="3534" t="s">
        <v>924</v>
      </c>
      <c r="AB4" s="3471" t="s">
        <v>925</v>
      </c>
      <c r="AC4" s="3534" t="s">
        <v>926</v>
      </c>
    </row>
    <row r="5" spans="1:29">
      <c r="A5" s="926"/>
      <c r="B5" s="927"/>
      <c r="C5" s="3499" t="s">
        <v>929</v>
      </c>
      <c r="D5" s="3500"/>
      <c r="E5" s="3544" t="s">
        <v>1593</v>
      </c>
      <c r="F5" s="3502"/>
      <c r="G5" s="3499" t="s">
        <v>1594</v>
      </c>
      <c r="H5" s="3500"/>
      <c r="I5" s="3499" t="s">
        <v>1595</v>
      </c>
      <c r="J5" s="3500"/>
      <c r="K5" s="1071"/>
      <c r="L5" s="1072"/>
      <c r="M5" s="1073"/>
      <c r="N5" s="1073"/>
      <c r="O5" s="1073"/>
      <c r="P5" s="3537"/>
      <c r="Q5" s="3461"/>
      <c r="R5" s="3466"/>
      <c r="S5" s="3467"/>
      <c r="T5" s="3466"/>
      <c r="U5" s="3467"/>
      <c r="V5" s="3471"/>
      <c r="W5" s="3471"/>
      <c r="X5" s="1115"/>
      <c r="Y5" s="3466"/>
      <c r="Z5" s="3467"/>
      <c r="AA5" s="3453"/>
      <c r="AB5" s="3471"/>
      <c r="AC5" s="3453"/>
    </row>
    <row r="6" spans="1:29" ht="14.4">
      <c r="A6" s="928"/>
      <c r="B6" s="929"/>
      <c r="C6" s="3490" t="s">
        <v>933</v>
      </c>
      <c r="D6" s="3491"/>
      <c r="E6" s="3492" t="s">
        <v>933</v>
      </c>
      <c r="F6" s="3493"/>
      <c r="G6" s="3490" t="s">
        <v>933</v>
      </c>
      <c r="H6" s="3491"/>
      <c r="I6" s="3490" t="s">
        <v>933</v>
      </c>
      <c r="J6" s="3491"/>
      <c r="K6" s="1071" t="s">
        <v>934</v>
      </c>
      <c r="L6" s="1072"/>
      <c r="M6" s="1073"/>
      <c r="N6" s="1073"/>
      <c r="O6" s="1073"/>
      <c r="P6" s="3538"/>
      <c r="Q6" s="3463"/>
      <c r="R6" s="3466"/>
      <c r="S6" s="3467"/>
      <c r="T6" s="3468"/>
      <c r="U6" s="3469"/>
      <c r="V6" s="3471"/>
      <c r="W6" s="3471"/>
      <c r="X6" s="1115"/>
      <c r="Y6" s="3468"/>
      <c r="Z6" s="3469"/>
      <c r="AA6" s="3454"/>
      <c r="AB6" s="3471"/>
      <c r="AC6" s="3454"/>
    </row>
    <row r="7" spans="1:29" s="905" customFormat="1" ht="14.4">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78" t="s">
        <v>936</v>
      </c>
      <c r="Q7" s="3494"/>
      <c r="R7" s="1116" t="s">
        <v>937</v>
      </c>
      <c r="S7" s="1117">
        <f t="shared" ref="S7:S15" si="0">F7</f>
        <v>0</v>
      </c>
      <c r="T7" s="1116" t="s">
        <v>937</v>
      </c>
      <c r="U7" s="1117">
        <f t="shared" ref="U7:U15" si="1">H7</f>
        <v>0</v>
      </c>
      <c r="V7" s="1116" t="s">
        <v>937</v>
      </c>
      <c r="W7" s="1117">
        <f t="shared" ref="W7:W15" si="2">J7</f>
        <v>0</v>
      </c>
      <c r="X7" s="1118"/>
      <c r="Y7" s="3478" t="s">
        <v>936</v>
      </c>
      <c r="Z7" s="3479"/>
      <c r="AA7" s="1130" t="e">
        <f>D7/F7</f>
        <v>#DIV/0!</v>
      </c>
      <c r="AB7" s="1130" t="e">
        <f>D7/H7</f>
        <v>#DIV/0!</v>
      </c>
      <c r="AC7" s="1130" t="e">
        <f>D7/J7</f>
        <v>#DIV/0!</v>
      </c>
    </row>
    <row r="8" spans="1:29" s="905" customFormat="1" ht="14.4">
      <c r="A8" s="930" t="s">
        <v>938</v>
      </c>
      <c r="B8" s="931"/>
      <c r="C8" s="937" t="s">
        <v>939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46" si="3">D8/F8</f>
        <v>#DIV/0!</v>
      </c>
      <c r="AB8" s="1130" t="e">
        <f t="shared" ref="AB8:AB46" si="4">D8/H8</f>
        <v>#DIV/0!</v>
      </c>
      <c r="AC8" s="1130" t="e">
        <f t="shared" ref="AC8:AC46" si="5">D8/J8</f>
        <v>#DIV/0!</v>
      </c>
    </row>
    <row r="9" spans="1:29" s="905" customFormat="1" ht="14.4">
      <c r="A9" s="938" t="s">
        <v>942</v>
      </c>
      <c r="B9" s="939" t="s">
        <v>943</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72" t="s">
        <v>945</v>
      </c>
      <c r="Q9" s="1120" t="str">
        <f t="shared" ref="Q9:Q15" si="6">B9</f>
        <v>用途</v>
      </c>
      <c r="R9" s="1116" t="s">
        <v>937</v>
      </c>
      <c r="S9" s="1117">
        <f t="shared" si="0"/>
        <v>100</v>
      </c>
      <c r="T9" s="1116" t="s">
        <v>937</v>
      </c>
      <c r="U9" s="1117">
        <f t="shared" si="1"/>
        <v>100</v>
      </c>
      <c r="V9" s="1116" t="s">
        <v>937</v>
      </c>
      <c r="W9" s="1117">
        <f t="shared" si="2"/>
        <v>100</v>
      </c>
      <c r="X9" s="1118"/>
      <c r="Y9" s="3364" t="s">
        <v>946</v>
      </c>
      <c r="Z9" s="1131" t="str">
        <f t="shared" ref="Z9:Z15" si="7">Q9</f>
        <v>用途</v>
      </c>
      <c r="AA9" s="1130">
        <f t="shared" si="3"/>
        <v>1</v>
      </c>
      <c r="AB9" s="1130">
        <f t="shared" si="4"/>
        <v>1</v>
      </c>
      <c r="AC9" s="1130">
        <f t="shared" si="5"/>
        <v>1</v>
      </c>
    </row>
    <row r="10" spans="1:29" s="906" customFormat="1" ht="28.8">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72"/>
      <c r="Q10" s="1120" t="str">
        <f t="shared" si="6"/>
        <v>土地使用年限（年）</v>
      </c>
      <c r="R10" s="1116" t="s">
        <v>937</v>
      </c>
      <c r="S10" s="1117">
        <f t="shared" si="0"/>
        <v>100</v>
      </c>
      <c r="T10" s="1116" t="s">
        <v>937</v>
      </c>
      <c r="U10" s="1117">
        <f t="shared" si="1"/>
        <v>100</v>
      </c>
      <c r="V10" s="1116" t="s">
        <v>937</v>
      </c>
      <c r="W10" s="1117">
        <f t="shared" si="2"/>
        <v>100</v>
      </c>
      <c r="X10" s="1118"/>
      <c r="Y10" s="3364"/>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72"/>
      <c r="Q11" s="1120" t="str">
        <f t="shared" si="6"/>
        <v>容积率</v>
      </c>
      <c r="R11" s="1116" t="s">
        <v>937</v>
      </c>
      <c r="S11" s="1117" t="e">
        <f t="shared" si="0"/>
        <v>#N/A</v>
      </c>
      <c r="T11" s="1116" t="s">
        <v>937</v>
      </c>
      <c r="U11" s="1117" t="e">
        <f t="shared" si="1"/>
        <v>#N/A</v>
      </c>
      <c r="V11" s="1116" t="s">
        <v>937</v>
      </c>
      <c r="W11" s="1117" t="e">
        <f t="shared" si="2"/>
        <v>#N/A</v>
      </c>
      <c r="X11" s="1118"/>
      <c r="Y11" s="336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72"/>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72"/>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72"/>
      <c r="Q14" s="1120">
        <f t="shared" si="6"/>
        <v>111</v>
      </c>
      <c r="R14" s="1116" t="s">
        <v>937</v>
      </c>
      <c r="S14" s="1117">
        <f t="shared" si="0"/>
        <v>100</v>
      </c>
      <c r="T14" s="1116" t="s">
        <v>937</v>
      </c>
      <c r="U14" s="1117">
        <f t="shared" si="1"/>
        <v>100</v>
      </c>
      <c r="V14" s="1116" t="s">
        <v>937</v>
      </c>
      <c r="W14" s="1117">
        <f t="shared" si="2"/>
        <v>100</v>
      </c>
      <c r="X14" s="1118"/>
      <c r="Y14" s="3364"/>
      <c r="Z14" s="1131">
        <f t="shared" si="7"/>
        <v>111</v>
      </c>
      <c r="AA14" s="1130">
        <f t="shared" si="3"/>
        <v>1</v>
      </c>
      <c r="AB14" s="1130">
        <f t="shared" si="4"/>
        <v>1</v>
      </c>
      <c r="AC14" s="1130">
        <f t="shared" si="5"/>
        <v>1</v>
      </c>
    </row>
    <row r="15" spans="1:29" ht="69">
      <c r="A15" s="960" t="s">
        <v>951</v>
      </c>
      <c r="B15" s="1253" t="s">
        <v>1623</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81" t="s">
        <v>953</v>
      </c>
      <c r="Q15" s="681" t="str">
        <f t="shared" si="6"/>
        <v>商业繁华度</v>
      </c>
      <c r="R15" s="1121" t="s">
        <v>937</v>
      </c>
      <c r="S15" s="1122">
        <f t="shared" si="0"/>
        <v>100</v>
      </c>
      <c r="T15" s="1121" t="s">
        <v>937</v>
      </c>
      <c r="U15" s="1122">
        <f t="shared" si="1"/>
        <v>100</v>
      </c>
      <c r="V15" s="1121" t="s">
        <v>937</v>
      </c>
      <c r="W15" s="1122">
        <f t="shared" si="2"/>
        <v>100</v>
      </c>
      <c r="X15" s="1115"/>
      <c r="Y15" s="3486" t="s">
        <v>953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82"/>
      <c r="Q16" s="681"/>
      <c r="R16" s="1121"/>
      <c r="S16" s="1122"/>
      <c r="T16" s="1121"/>
      <c r="U16" s="1122"/>
      <c r="V16" s="1121"/>
      <c r="W16" s="1122"/>
      <c r="X16" s="1115"/>
      <c r="Y16" s="3487"/>
      <c r="Z16" s="1105"/>
      <c r="AA16" s="1132">
        <v>1</v>
      </c>
      <c r="AB16" s="1132">
        <v>1</v>
      </c>
      <c r="AC16" s="1132">
        <v>1</v>
      </c>
    </row>
    <row r="17" spans="1:29" ht="82.8">
      <c r="A17" s="946"/>
      <c r="B17" s="1256" t="s">
        <v>956</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82"/>
      <c r="Q17" s="681" t="str">
        <f>B17</f>
        <v>交通便捷度</v>
      </c>
      <c r="R17" s="1121" t="s">
        <v>937</v>
      </c>
      <c r="S17" s="1122">
        <f>F17</f>
        <v>100</v>
      </c>
      <c r="T17" s="1121" t="s">
        <v>937</v>
      </c>
      <c r="U17" s="1122">
        <f>H17</f>
        <v>100</v>
      </c>
      <c r="V17" s="1121" t="s">
        <v>937</v>
      </c>
      <c r="W17" s="1122">
        <f>J17</f>
        <v>100</v>
      </c>
      <c r="X17" s="1115"/>
      <c r="Y17" s="3487"/>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82"/>
      <c r="Q18" s="681"/>
      <c r="R18" s="1121"/>
      <c r="S18" s="1122"/>
      <c r="T18" s="1121"/>
      <c r="U18" s="1122"/>
      <c r="V18" s="1121"/>
      <c r="W18" s="1122"/>
      <c r="X18" s="1115"/>
      <c r="Y18" s="3487"/>
      <c r="Z18" s="1105"/>
      <c r="AA18" s="1132">
        <v>1</v>
      </c>
      <c r="AB18" s="1132">
        <v>1</v>
      </c>
      <c r="AC18" s="1132">
        <v>1</v>
      </c>
    </row>
    <row r="19" spans="1:29" ht="41.4">
      <c r="A19" s="946"/>
      <c r="B19" s="1256" t="s">
        <v>957</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82"/>
      <c r="Q19" s="681" t="str">
        <f>B19</f>
        <v>公共配套设施</v>
      </c>
      <c r="R19" s="1121" t="s">
        <v>937</v>
      </c>
      <c r="S19" s="1122">
        <f>F19</f>
        <v>100</v>
      </c>
      <c r="T19" s="1121" t="s">
        <v>937</v>
      </c>
      <c r="U19" s="1122">
        <f>H19</f>
        <v>100</v>
      </c>
      <c r="V19" s="1121" t="s">
        <v>937</v>
      </c>
      <c r="W19" s="1122">
        <f>J19</f>
        <v>100</v>
      </c>
      <c r="X19" s="1115"/>
      <c r="Y19" s="3487"/>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82"/>
      <c r="Q20" s="681"/>
      <c r="R20" s="1121"/>
      <c r="S20" s="1122"/>
      <c r="T20" s="1121"/>
      <c r="U20" s="1122"/>
      <c r="V20" s="1121"/>
      <c r="W20" s="1122"/>
      <c r="X20" s="1115"/>
      <c r="Y20" s="3487"/>
      <c r="Z20" s="1105"/>
      <c r="AA20" s="1132">
        <v>1</v>
      </c>
      <c r="AB20" s="1132">
        <v>1</v>
      </c>
      <c r="AC20" s="1132">
        <v>1</v>
      </c>
    </row>
    <row r="21" spans="1:29" ht="27.6">
      <c r="A21" s="946"/>
      <c r="B21" s="1260" t="s">
        <v>958</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82"/>
      <c r="Q21" s="681" t="str">
        <f>B21</f>
        <v>基础设施水平</v>
      </c>
      <c r="R21" s="1121" t="s">
        <v>937</v>
      </c>
      <c r="S21" s="1122">
        <f>F21</f>
        <v>100</v>
      </c>
      <c r="T21" s="1121" t="s">
        <v>937</v>
      </c>
      <c r="U21" s="1122">
        <f>H21</f>
        <v>100</v>
      </c>
      <c r="V21" s="1121" t="s">
        <v>937</v>
      </c>
      <c r="W21" s="1122">
        <f>J21</f>
        <v>100</v>
      </c>
      <c r="X21" s="1115"/>
      <c r="Y21" s="348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82"/>
      <c r="Q22" s="681"/>
      <c r="R22" s="1121"/>
      <c r="S22" s="1122"/>
      <c r="T22" s="1121"/>
      <c r="U22" s="1122"/>
      <c r="V22" s="1121"/>
      <c r="W22" s="1122"/>
      <c r="X22" s="1115"/>
      <c r="Y22" s="3487"/>
      <c r="Z22" s="1105"/>
      <c r="AA22" s="1132">
        <v>1</v>
      </c>
      <c r="AB22" s="1132">
        <v>1</v>
      </c>
      <c r="AC22" s="1132">
        <v>1</v>
      </c>
    </row>
    <row r="23" spans="1:29" ht="55.2">
      <c r="A23" s="946"/>
      <c r="B23" s="1256" t="s">
        <v>1597</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82"/>
      <c r="Q23" s="681" t="str">
        <f>B23</f>
        <v>自然及人文环境</v>
      </c>
      <c r="R23" s="1121" t="s">
        <v>937</v>
      </c>
      <c r="S23" s="1122">
        <f>F23</f>
        <v>100</v>
      </c>
      <c r="T23" s="1121" t="s">
        <v>937</v>
      </c>
      <c r="U23" s="1122">
        <f>H23</f>
        <v>100</v>
      </c>
      <c r="V23" s="1121" t="s">
        <v>937</v>
      </c>
      <c r="W23" s="1122">
        <f>J23</f>
        <v>100</v>
      </c>
      <c r="X23" s="1115"/>
      <c r="Y23" s="3487"/>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82"/>
      <c r="Q24" s="681"/>
      <c r="R24" s="1121"/>
      <c r="S24" s="1122"/>
      <c r="T24" s="1121"/>
      <c r="U24" s="1122"/>
      <c r="V24" s="1121"/>
      <c r="W24" s="1122"/>
      <c r="X24" s="1115"/>
      <c r="Y24" s="3487"/>
      <c r="Z24" s="1105"/>
      <c r="AA24" s="1132">
        <v>1</v>
      </c>
      <c r="AB24" s="1132">
        <v>1</v>
      </c>
      <c r="AC24" s="1132">
        <v>1</v>
      </c>
    </row>
    <row r="25" spans="1:29" ht="15">
      <c r="A25" s="946"/>
      <c r="B25" s="943" t="s">
        <v>1624</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82"/>
      <c r="Q25" s="681" t="str">
        <f t="shared" ref="Q25:Q46" si="11">B25</f>
        <v>临街状况</v>
      </c>
      <c r="R25" s="1121" t="s">
        <v>937</v>
      </c>
      <c r="S25" s="1122">
        <f>F25</f>
        <v>100</v>
      </c>
      <c r="T25" s="1121" t="s">
        <v>937</v>
      </c>
      <c r="U25" s="1122">
        <f>H25</f>
        <v>100</v>
      </c>
      <c r="V25" s="1121" t="s">
        <v>937</v>
      </c>
      <c r="W25" s="1122">
        <f>J25</f>
        <v>100</v>
      </c>
      <c r="X25" s="1115"/>
      <c r="Y25" s="3487"/>
      <c r="Z25" s="1105" t="str">
        <f>Q25</f>
        <v>临街状况</v>
      </c>
      <c r="AA25" s="1132">
        <f t="shared" si="3"/>
        <v>1</v>
      </c>
      <c r="AB25" s="1132">
        <f t="shared" si="4"/>
        <v>1</v>
      </c>
      <c r="AC25" s="1132">
        <f t="shared" si="5"/>
        <v>1</v>
      </c>
    </row>
    <row r="26" spans="1:29" ht="15">
      <c r="A26" s="946"/>
      <c r="B26" s="1261" t="s">
        <v>1625</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82"/>
      <c r="Q26" s="681" t="str">
        <f t="shared" si="11"/>
        <v>平面位置/可视性</v>
      </c>
      <c r="R26" s="1121" t="s">
        <v>937</v>
      </c>
      <c r="S26" s="1122">
        <f>F26</f>
        <v>100</v>
      </c>
      <c r="T26" s="1121" t="s">
        <v>937</v>
      </c>
      <c r="U26" s="1122">
        <f>H26</f>
        <v>100</v>
      </c>
      <c r="V26" s="1121" t="s">
        <v>937</v>
      </c>
      <c r="W26" s="1122">
        <f>J26</f>
        <v>100</v>
      </c>
      <c r="X26" s="1115"/>
      <c r="Y26" s="3487"/>
      <c r="Z26" s="1105" t="str">
        <f>Q26</f>
        <v>平面位置/可视性</v>
      </c>
      <c r="AA26" s="1132">
        <f t="shared" si="3"/>
        <v>1</v>
      </c>
      <c r="AB26" s="1132">
        <f t="shared" si="4"/>
        <v>1</v>
      </c>
      <c r="AC26" s="1132">
        <f t="shared" si="5"/>
        <v>1</v>
      </c>
    </row>
    <row r="27" spans="1:29" s="905" customFormat="1" ht="15">
      <c r="A27" s="949"/>
      <c r="B27" s="1256" t="s">
        <v>1626</v>
      </c>
      <c r="C27" s="1466"/>
      <c r="D27" s="1421">
        <v>100</v>
      </c>
      <c r="E27" s="1466"/>
      <c r="F27" s="1422">
        <f>SUMIF(90:90,E27,91:91)-SUMIF(90:90,C27,91:91)+100</f>
        <v>100</v>
      </c>
      <c r="G27" s="1466"/>
      <c r="H27" s="1421">
        <f>SUMIF(90:90,G27,91:91)-SUMIF(90:90,C27,91:91)+100</f>
        <v>100</v>
      </c>
      <c r="I27" s="1466"/>
      <c r="J27" s="1421">
        <f>SUMIF(90:90,I27,91:91)-SUMIF(90:90,C27,91:91)+100</f>
        <v>100</v>
      </c>
      <c r="K27" s="1091"/>
      <c r="L27" s="1075"/>
      <c r="M27" s="1076"/>
      <c r="N27" s="1076"/>
      <c r="O27" s="1076"/>
      <c r="P27" s="3482"/>
      <c r="Q27" s="1120" t="str">
        <f t="shared" si="11"/>
        <v>人流量</v>
      </c>
      <c r="R27" s="1116" t="s">
        <v>937</v>
      </c>
      <c r="S27" s="1117">
        <f>F27</f>
        <v>100</v>
      </c>
      <c r="T27" s="1116" t="s">
        <v>937</v>
      </c>
      <c r="U27" s="1117">
        <f>H27</f>
        <v>100</v>
      </c>
      <c r="V27" s="1116" t="s">
        <v>937</v>
      </c>
      <c r="W27" s="1117">
        <f>J27</f>
        <v>100</v>
      </c>
      <c r="X27" s="1118"/>
      <c r="Y27" s="3487"/>
      <c r="Z27" s="1131" t="str">
        <f>Q27</f>
        <v>人流量</v>
      </c>
      <c r="AA27" s="1132">
        <f t="shared" si="3"/>
        <v>1</v>
      </c>
      <c r="AB27" s="1132">
        <f t="shared" si="4"/>
        <v>1</v>
      </c>
      <c r="AC27" s="1132">
        <f t="shared" si="5"/>
        <v>1</v>
      </c>
    </row>
    <row r="28" spans="1:29" ht="15">
      <c r="A28" s="946"/>
      <c r="B28" s="943" t="s">
        <v>961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82"/>
      <c r="Q28" s="681" t="str">
        <f t="shared" si="11"/>
        <v>楼层</v>
      </c>
      <c r="R28" s="1121" t="s">
        <v>937</v>
      </c>
      <c r="S28" s="1122">
        <f t="shared" ref="S28:S46" si="12">F28</f>
        <v>100</v>
      </c>
      <c r="T28" s="1121" t="s">
        <v>937</v>
      </c>
      <c r="U28" s="1122">
        <f t="shared" ref="U28:U46" si="13">H28</f>
        <v>100</v>
      </c>
      <c r="V28" s="1121" t="s">
        <v>937</v>
      </c>
      <c r="W28" s="1122">
        <f t="shared" ref="W28:W46" si="14">J28</f>
        <v>100</v>
      </c>
      <c r="X28" s="1115"/>
      <c r="Y28" s="3487"/>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82"/>
      <c r="Q29" s="681">
        <f t="shared" si="11"/>
        <v>111</v>
      </c>
      <c r="R29" s="1121" t="s">
        <v>937</v>
      </c>
      <c r="S29" s="1122">
        <f t="shared" si="12"/>
        <v>100</v>
      </c>
      <c r="T29" s="1121" t="s">
        <v>937</v>
      </c>
      <c r="U29" s="1122">
        <f t="shared" si="13"/>
        <v>100</v>
      </c>
      <c r="V29" s="1121" t="s">
        <v>937</v>
      </c>
      <c r="W29" s="1122">
        <f t="shared" si="14"/>
        <v>100</v>
      </c>
      <c r="X29" s="1115"/>
      <c r="Y29" s="3487"/>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82"/>
      <c r="Q30" s="681">
        <f t="shared" si="11"/>
        <v>111</v>
      </c>
      <c r="R30" s="1121" t="s">
        <v>937</v>
      </c>
      <c r="S30" s="1122">
        <f t="shared" si="12"/>
        <v>100</v>
      </c>
      <c r="T30" s="1121" t="s">
        <v>937</v>
      </c>
      <c r="U30" s="1122">
        <f t="shared" si="13"/>
        <v>100</v>
      </c>
      <c r="V30" s="1121" t="s">
        <v>937</v>
      </c>
      <c r="W30" s="1122">
        <f t="shared" si="14"/>
        <v>100</v>
      </c>
      <c r="X30" s="1115"/>
      <c r="Y30" s="3487"/>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82"/>
      <c r="Q31" s="681">
        <f t="shared" si="11"/>
        <v>111</v>
      </c>
      <c r="R31" s="1121" t="s">
        <v>937</v>
      </c>
      <c r="S31" s="1122">
        <f t="shared" si="12"/>
        <v>100</v>
      </c>
      <c r="T31" s="1121" t="s">
        <v>937</v>
      </c>
      <c r="U31" s="1122">
        <f t="shared" si="13"/>
        <v>100</v>
      </c>
      <c r="V31" s="1121" t="s">
        <v>937</v>
      </c>
      <c r="W31" s="1122">
        <f t="shared" si="14"/>
        <v>100</v>
      </c>
      <c r="X31" s="1115"/>
      <c r="Y31" s="3487"/>
      <c r="Z31" s="1105">
        <f t="shared" si="15"/>
        <v>111</v>
      </c>
      <c r="AA31" s="1132">
        <f t="shared" si="3"/>
        <v>1</v>
      </c>
      <c r="AB31" s="1132">
        <f t="shared" si="4"/>
        <v>1</v>
      </c>
      <c r="AC31" s="1132">
        <f t="shared" si="5"/>
        <v>1</v>
      </c>
    </row>
    <row r="32" spans="1:29" ht="15">
      <c r="A32" s="960" t="s">
        <v>965</v>
      </c>
      <c r="B32" s="939" t="s">
        <v>1627</v>
      </c>
      <c r="C32" s="1467"/>
      <c r="D32" s="996">
        <v>100</v>
      </c>
      <c r="E32" s="1467"/>
      <c r="F32" s="1309">
        <f>SUMIF(100:100,E32,101:101)-SUMIF(100:100,C32,101:101)+100</f>
        <v>100</v>
      </c>
      <c r="G32" s="1467"/>
      <c r="H32" s="955">
        <f>SUMIF(100:100,G32,101:101)-SUMIF(100:100,C32,101:101)+100</f>
        <v>100</v>
      </c>
      <c r="I32" s="1467"/>
      <c r="J32" s="996">
        <f>SUMIF(100:100,I32,101:101)-SUMIF(100:100,C32,101:101)+100</f>
        <v>100</v>
      </c>
      <c r="K32" s="1091"/>
      <c r="L32" s="1085"/>
      <c r="M32" s="1073"/>
      <c r="N32" s="1073"/>
      <c r="O32" s="1073"/>
      <c r="P32" s="3483" t="s">
        <v>968</v>
      </c>
      <c r="Q32" s="681" t="str">
        <f t="shared" si="11"/>
        <v>商业类型</v>
      </c>
      <c r="R32" s="1121" t="s">
        <v>937</v>
      </c>
      <c r="S32" s="1122">
        <f t="shared" si="12"/>
        <v>100</v>
      </c>
      <c r="T32" s="1121" t="s">
        <v>937</v>
      </c>
      <c r="U32" s="1122">
        <f t="shared" si="13"/>
        <v>100</v>
      </c>
      <c r="V32" s="1121" t="s">
        <v>937</v>
      </c>
      <c r="W32" s="1122">
        <f t="shared" si="14"/>
        <v>100</v>
      </c>
      <c r="X32" s="1115"/>
      <c r="Y32" s="3488" t="s">
        <v>968</v>
      </c>
      <c r="Z32" s="1105" t="str">
        <f t="shared" si="15"/>
        <v>商业类型</v>
      </c>
      <c r="AA32" s="1132">
        <f t="shared" si="3"/>
        <v>1</v>
      </c>
      <c r="AB32" s="1132">
        <f t="shared" si="4"/>
        <v>1</v>
      </c>
      <c r="AC32" s="1132">
        <f t="shared" si="5"/>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84"/>
      <c r="Q33" s="1348" t="str">
        <f t="shared" si="11"/>
        <v>项目建筑规模</v>
      </c>
      <c r="R33" s="1123" t="s">
        <v>937</v>
      </c>
      <c r="S33" s="1124" t="e">
        <f t="shared" si="12"/>
        <v>#N/A</v>
      </c>
      <c r="T33" s="1123" t="s">
        <v>937</v>
      </c>
      <c r="U33" s="1124" t="e">
        <f t="shared" si="13"/>
        <v>#N/A</v>
      </c>
      <c r="V33" s="1123" t="s">
        <v>937</v>
      </c>
      <c r="W33" s="1124" t="e">
        <f t="shared" si="14"/>
        <v>#N/A</v>
      </c>
      <c r="X33" s="1125"/>
      <c r="Y33" s="3488"/>
      <c r="Z33" s="1133" t="str">
        <f t="shared" si="15"/>
        <v>项目建筑规模</v>
      </c>
      <c r="AA33" s="1132" t="e">
        <f t="shared" si="3"/>
        <v>#N/A</v>
      </c>
      <c r="AB33" s="1132" t="e">
        <f t="shared" si="4"/>
        <v>#N/A</v>
      </c>
      <c r="AC33" s="1132" t="e">
        <f t="shared" si="5"/>
        <v>#N/A</v>
      </c>
    </row>
    <row r="34" spans="1:29" ht="15">
      <c r="A34" s="997"/>
      <c r="B34" s="943" t="s">
        <v>970</v>
      </c>
      <c r="C34" s="1468"/>
      <c r="D34" s="955">
        <v>100</v>
      </c>
      <c r="E34" s="1468"/>
      <c r="F34" s="1309">
        <f>SUMIF(105:105,E34,106:106)-SUMIF(105:105,C34,106:106)+100</f>
        <v>100</v>
      </c>
      <c r="G34" s="1468"/>
      <c r="H34" s="955">
        <f>SUMIF(105:105,G34,106:106)-SUMIF(105:105,C34,106:106)+100</f>
        <v>100</v>
      </c>
      <c r="I34" s="1468"/>
      <c r="J34" s="955">
        <f>SUMIF(105:105,I34,106:106)-SUMIF(105:105,C34,106:106)+100</f>
        <v>100</v>
      </c>
      <c r="K34" s="1091"/>
      <c r="L34" s="1085"/>
      <c r="M34" s="1073"/>
      <c r="N34" s="1073"/>
      <c r="O34" s="1073"/>
      <c r="P34" s="3484"/>
      <c r="Q34" s="681" t="str">
        <f t="shared" si="11"/>
        <v>建筑结构</v>
      </c>
      <c r="R34" s="1121" t="s">
        <v>937</v>
      </c>
      <c r="S34" s="1122">
        <f t="shared" si="12"/>
        <v>100</v>
      </c>
      <c r="T34" s="1121" t="s">
        <v>937</v>
      </c>
      <c r="U34" s="1122">
        <f t="shared" si="13"/>
        <v>100</v>
      </c>
      <c r="V34" s="1121" t="s">
        <v>937</v>
      </c>
      <c r="W34" s="1122">
        <f t="shared" si="14"/>
        <v>100</v>
      </c>
      <c r="X34" s="1115"/>
      <c r="Y34" s="3488"/>
      <c r="Z34" s="1105" t="str">
        <f t="shared" si="15"/>
        <v>建筑结构</v>
      </c>
      <c r="AA34" s="1132">
        <f t="shared" si="3"/>
        <v>1</v>
      </c>
      <c r="AB34" s="1132">
        <f t="shared" si="4"/>
        <v>1</v>
      </c>
      <c r="AC34" s="1132">
        <f t="shared" si="5"/>
        <v>1</v>
      </c>
    </row>
    <row r="35" spans="1:29" ht="15">
      <c r="A35" s="997"/>
      <c r="B35" s="943" t="s">
        <v>972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84"/>
      <c r="Q35" s="681" t="str">
        <f t="shared" si="11"/>
        <v>公共部分装修</v>
      </c>
      <c r="R35" s="1121" t="s">
        <v>937</v>
      </c>
      <c r="S35" s="1122">
        <f t="shared" si="12"/>
        <v>100</v>
      </c>
      <c r="T35" s="1121" t="s">
        <v>937</v>
      </c>
      <c r="U35" s="1122">
        <f t="shared" si="13"/>
        <v>100</v>
      </c>
      <c r="V35" s="1121" t="s">
        <v>937</v>
      </c>
      <c r="W35" s="1122">
        <f t="shared" si="14"/>
        <v>100</v>
      </c>
      <c r="X35" s="1115"/>
      <c r="Y35" s="3488"/>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84"/>
      <c r="Q36" s="681" t="str">
        <f t="shared" si="11"/>
        <v>成新度</v>
      </c>
      <c r="R36" s="1121" t="s">
        <v>937</v>
      </c>
      <c r="S36" s="1122" t="e">
        <f t="shared" si="12"/>
        <v>#N/A</v>
      </c>
      <c r="T36" s="1121" t="s">
        <v>937</v>
      </c>
      <c r="U36" s="1122" t="e">
        <f t="shared" si="13"/>
        <v>#N/A</v>
      </c>
      <c r="V36" s="1121" t="s">
        <v>937</v>
      </c>
      <c r="W36" s="1122" t="e">
        <f t="shared" si="14"/>
        <v>#N/A</v>
      </c>
      <c r="X36" s="1115"/>
      <c r="Y36" s="3488"/>
      <c r="Z36" s="1105" t="str">
        <f t="shared" si="15"/>
        <v>成新度</v>
      </c>
      <c r="AA36" s="1132" t="e">
        <f t="shared" si="3"/>
        <v>#N/A</v>
      </c>
      <c r="AB36" s="1132" t="e">
        <f t="shared" si="4"/>
        <v>#N/A</v>
      </c>
      <c r="AC36" s="1132" t="e">
        <f t="shared" si="5"/>
        <v>#N/A</v>
      </c>
    </row>
    <row r="37" spans="1:29" s="905" customFormat="1" ht="15">
      <c r="A37" s="999"/>
      <c r="B37" s="943" t="s">
        <v>978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84"/>
      <c r="Q37" s="1120" t="str">
        <f t="shared" si="11"/>
        <v>市政基础设施</v>
      </c>
      <c r="R37" s="1116" t="s">
        <v>937</v>
      </c>
      <c r="S37" s="1117">
        <f t="shared" si="12"/>
        <v>100</v>
      </c>
      <c r="T37" s="1116" t="s">
        <v>937</v>
      </c>
      <c r="U37" s="1117">
        <f t="shared" si="13"/>
        <v>100</v>
      </c>
      <c r="V37" s="1116" t="s">
        <v>937</v>
      </c>
      <c r="W37" s="1117">
        <f t="shared" si="14"/>
        <v>100</v>
      </c>
      <c r="X37" s="1118"/>
      <c r="Y37" s="3488"/>
      <c r="Z37" s="1131" t="str">
        <f t="shared" si="15"/>
        <v>市政基础设施</v>
      </c>
      <c r="AA37" s="1130">
        <f t="shared" si="3"/>
        <v>1</v>
      </c>
      <c r="AB37" s="1130">
        <f t="shared" si="4"/>
        <v>1</v>
      </c>
      <c r="AC37" s="1130">
        <f t="shared" si="5"/>
        <v>1</v>
      </c>
    </row>
    <row r="38" spans="1:29" ht="15">
      <c r="A38" s="997"/>
      <c r="B38" s="943" t="s">
        <v>1628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84" t="s">
        <v>968</v>
      </c>
      <c r="Q38" s="681" t="str">
        <f t="shared" si="11"/>
        <v>业态</v>
      </c>
      <c r="R38" s="1121" t="s">
        <v>937</v>
      </c>
      <c r="S38" s="1122">
        <f t="shared" si="12"/>
        <v>100</v>
      </c>
      <c r="T38" s="1121" t="s">
        <v>937</v>
      </c>
      <c r="U38" s="1122">
        <f t="shared" si="13"/>
        <v>100</v>
      </c>
      <c r="V38" s="1121" t="s">
        <v>937</v>
      </c>
      <c r="W38" s="1122">
        <f t="shared" si="14"/>
        <v>100</v>
      </c>
      <c r="X38" s="1115"/>
      <c r="Y38" s="3488" t="s">
        <v>968</v>
      </c>
      <c r="Z38" s="1105" t="str">
        <f t="shared" si="15"/>
        <v>业态</v>
      </c>
      <c r="AA38" s="1132">
        <f t="shared" si="3"/>
        <v>1</v>
      </c>
      <c r="AB38" s="1132">
        <f t="shared" si="4"/>
        <v>1</v>
      </c>
      <c r="AC38" s="1132">
        <f t="shared" si="5"/>
        <v>1</v>
      </c>
    </row>
    <row r="39" spans="1:29" ht="15">
      <c r="A39" s="997"/>
      <c r="B39" s="943" t="s">
        <v>979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84"/>
      <c r="Q39" s="681" t="str">
        <f t="shared" si="11"/>
        <v>层高</v>
      </c>
      <c r="R39" s="1121" t="s">
        <v>937</v>
      </c>
      <c r="S39" s="1122">
        <f t="shared" si="12"/>
        <v>100</v>
      </c>
      <c r="T39" s="1121" t="s">
        <v>937</v>
      </c>
      <c r="U39" s="1122">
        <f t="shared" si="13"/>
        <v>100</v>
      </c>
      <c r="V39" s="1121" t="s">
        <v>937</v>
      </c>
      <c r="W39" s="1122">
        <f t="shared" si="14"/>
        <v>100</v>
      </c>
      <c r="X39" s="1115"/>
      <c r="Y39" s="3488"/>
      <c r="Z39" s="1105" t="str">
        <f t="shared" si="15"/>
        <v>层高</v>
      </c>
      <c r="AA39" s="1132">
        <f t="shared" si="3"/>
        <v>1</v>
      </c>
      <c r="AB39" s="1132">
        <f t="shared" si="4"/>
        <v>1</v>
      </c>
      <c r="AC39" s="1132">
        <f t="shared" si="5"/>
        <v>1</v>
      </c>
    </row>
    <row r="40" spans="1:29" ht="15">
      <c r="A40" s="997"/>
      <c r="B40" s="943" t="s">
        <v>1016</v>
      </c>
      <c r="C40" s="1469"/>
      <c r="D40" s="955">
        <v>100</v>
      </c>
      <c r="E40" s="1470"/>
      <c r="F40" s="1309">
        <f>SUMIF(118:118,E40,119:119)-SUMIF(118:118,C40,119:119)+100</f>
        <v>100</v>
      </c>
      <c r="G40" s="1470"/>
      <c r="H40" s="955">
        <f>SUMIF(118:118,G40,119:119)-SUMIF(118:118,C40,119:119)+100</f>
        <v>100</v>
      </c>
      <c r="I40" s="1470"/>
      <c r="J40" s="955">
        <f>SUMIF(118:118,I40,119:119)-SUMIF(118:118,C40,119:119)+100</f>
        <v>100</v>
      </c>
      <c r="K40" s="1090"/>
      <c r="L40" s="1085"/>
      <c r="M40" s="1073"/>
      <c r="N40" s="1073"/>
      <c r="O40" s="1073"/>
      <c r="P40" s="3484"/>
      <c r="Q40" s="681" t="str">
        <f t="shared" si="11"/>
        <v>单套建筑面积</v>
      </c>
      <c r="R40" s="1121" t="s">
        <v>937</v>
      </c>
      <c r="S40" s="1122">
        <f t="shared" si="12"/>
        <v>100</v>
      </c>
      <c r="T40" s="1121" t="s">
        <v>937</v>
      </c>
      <c r="U40" s="1122">
        <f t="shared" si="13"/>
        <v>100</v>
      </c>
      <c r="V40" s="1121" t="s">
        <v>937</v>
      </c>
      <c r="W40" s="1122">
        <f t="shared" si="14"/>
        <v>100</v>
      </c>
      <c r="X40" s="1115"/>
      <c r="Y40" s="3488"/>
      <c r="Z40" s="1105" t="str">
        <f t="shared" si="15"/>
        <v>单套建筑面积</v>
      </c>
      <c r="AA40" s="1132">
        <f t="shared" si="3"/>
        <v>1</v>
      </c>
      <c r="AB40" s="1132">
        <f t="shared" si="4"/>
        <v>1</v>
      </c>
      <c r="AC40" s="1132">
        <f t="shared" si="5"/>
        <v>1</v>
      </c>
    </row>
    <row r="41" spans="1:29" s="907" customFormat="1" ht="15">
      <c r="A41" s="1002"/>
      <c r="B41" s="1100" t="s">
        <v>1629</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84"/>
      <c r="Q41" s="1348" t="str">
        <f t="shared" si="11"/>
        <v>进深比</v>
      </c>
      <c r="R41" s="1123" t="s">
        <v>937</v>
      </c>
      <c r="S41" s="1124">
        <f t="shared" si="12"/>
        <v>100</v>
      </c>
      <c r="T41" s="1123" t="s">
        <v>937</v>
      </c>
      <c r="U41" s="1124">
        <f t="shared" si="13"/>
        <v>100</v>
      </c>
      <c r="V41" s="1123" t="s">
        <v>937</v>
      </c>
      <c r="W41" s="1124">
        <f t="shared" si="14"/>
        <v>100</v>
      </c>
      <c r="X41" s="1125"/>
      <c r="Y41" s="3488"/>
      <c r="Z41" s="1133" t="str">
        <f t="shared" si="15"/>
        <v>进深比</v>
      </c>
      <c r="AA41" s="1132">
        <f t="shared" si="3"/>
        <v>1</v>
      </c>
      <c r="AB41" s="1132">
        <f t="shared" si="4"/>
        <v>1</v>
      </c>
      <c r="AC41" s="1132">
        <f t="shared" si="5"/>
        <v>1</v>
      </c>
    </row>
    <row r="42" spans="1:29" ht="15">
      <c r="A42" s="997"/>
      <c r="B42" s="943" t="s">
        <v>982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84"/>
      <c r="Q42" s="681" t="str">
        <f t="shared" si="11"/>
        <v>内部装修</v>
      </c>
      <c r="R42" s="1121" t="s">
        <v>937</v>
      </c>
      <c r="S42" s="1122">
        <f t="shared" si="12"/>
        <v>100</v>
      </c>
      <c r="T42" s="1121" t="s">
        <v>937</v>
      </c>
      <c r="U42" s="1122">
        <f t="shared" si="13"/>
        <v>100</v>
      </c>
      <c r="V42" s="1121" t="s">
        <v>937</v>
      </c>
      <c r="W42" s="1122">
        <f t="shared" si="14"/>
        <v>100</v>
      </c>
      <c r="X42" s="1115"/>
      <c r="Y42" s="3488"/>
      <c r="Z42" s="1105" t="str">
        <f t="shared" si="15"/>
        <v>内部装修</v>
      </c>
      <c r="AA42" s="1132">
        <f t="shared" si="3"/>
        <v>1</v>
      </c>
      <c r="AB42" s="1132">
        <f t="shared" si="4"/>
        <v>1</v>
      </c>
      <c r="AC42" s="1132">
        <f t="shared" si="5"/>
        <v>1</v>
      </c>
    </row>
    <row r="43" spans="1:29" ht="28.8">
      <c r="A43" s="997"/>
      <c r="B43" s="943" t="s">
        <v>985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84"/>
      <c r="Q43" s="681" t="str">
        <f t="shared" si="11"/>
        <v>内部装修维护情况</v>
      </c>
      <c r="R43" s="1121" t="s">
        <v>937</v>
      </c>
      <c r="S43" s="1122">
        <f t="shared" si="12"/>
        <v>100</v>
      </c>
      <c r="T43" s="1121" t="s">
        <v>937</v>
      </c>
      <c r="U43" s="1122">
        <f t="shared" si="13"/>
        <v>100</v>
      </c>
      <c r="V43" s="1121" t="s">
        <v>937</v>
      </c>
      <c r="W43" s="1122">
        <f t="shared" si="14"/>
        <v>100</v>
      </c>
      <c r="X43" s="1115"/>
      <c r="Y43" s="3488"/>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84"/>
      <c r="Q44" s="1120">
        <f t="shared" si="11"/>
        <v>111</v>
      </c>
      <c r="R44" s="1116" t="s">
        <v>937</v>
      </c>
      <c r="S44" s="1117">
        <f t="shared" si="12"/>
        <v>100</v>
      </c>
      <c r="T44" s="1116" t="s">
        <v>937</v>
      </c>
      <c r="U44" s="1117">
        <f t="shared" si="13"/>
        <v>100</v>
      </c>
      <c r="V44" s="1116" t="s">
        <v>937</v>
      </c>
      <c r="W44" s="1117">
        <f t="shared" si="14"/>
        <v>100</v>
      </c>
      <c r="X44" s="1118"/>
      <c r="Y44" s="3488"/>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84"/>
      <c r="Q45" s="681">
        <f t="shared" si="11"/>
        <v>111</v>
      </c>
      <c r="R45" s="1121" t="s">
        <v>937</v>
      </c>
      <c r="S45" s="1122">
        <f t="shared" si="12"/>
        <v>100</v>
      </c>
      <c r="T45" s="1121" t="s">
        <v>937</v>
      </c>
      <c r="U45" s="1122">
        <f t="shared" si="13"/>
        <v>100</v>
      </c>
      <c r="V45" s="1121" t="s">
        <v>937</v>
      </c>
      <c r="W45" s="1122">
        <f t="shared" si="14"/>
        <v>100</v>
      </c>
      <c r="X45" s="1115"/>
      <c r="Y45" s="3488"/>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85"/>
      <c r="Q46" s="681">
        <f t="shared" si="11"/>
        <v>111</v>
      </c>
      <c r="R46" s="1121" t="s">
        <v>937</v>
      </c>
      <c r="S46" s="1122">
        <f t="shared" si="12"/>
        <v>100</v>
      </c>
      <c r="T46" s="1121" t="s">
        <v>937</v>
      </c>
      <c r="U46" s="1122">
        <f t="shared" si="13"/>
        <v>100</v>
      </c>
      <c r="V46" s="1121" t="s">
        <v>937</v>
      </c>
      <c r="W46" s="1122">
        <f t="shared" si="14"/>
        <v>100</v>
      </c>
      <c r="X46" s="1115"/>
      <c r="Y46" s="3489"/>
      <c r="Z46" s="1105">
        <f t="shared" si="15"/>
        <v>111</v>
      </c>
      <c r="AA46" s="1132">
        <f t="shared" si="3"/>
        <v>1</v>
      </c>
      <c r="AB46" s="1132">
        <f t="shared" si="4"/>
        <v>1</v>
      </c>
      <c r="AC46" s="1132">
        <f t="shared" si="5"/>
        <v>1</v>
      </c>
    </row>
    <row r="47" spans="1:29" ht="14.4">
      <c r="A47" s="1004" t="s">
        <v>986</v>
      </c>
      <c r="B47" s="1323"/>
      <c r="C47" s="1324" t="s">
        <v>124</v>
      </c>
      <c r="D47" s="1325"/>
      <c r="E47" s="1326"/>
      <c r="F47" s="1327"/>
      <c r="G47" s="1328"/>
      <c r="H47" s="1329"/>
      <c r="I47" s="1326"/>
      <c r="J47" s="1329"/>
      <c r="K47" s="1096"/>
      <c r="L47" s="1097"/>
      <c r="M47" s="1021"/>
      <c r="N47" s="1073"/>
      <c r="O47" s="1021"/>
      <c r="P47" s="3473" t="str">
        <f>A47</f>
        <v>成交单价（元/平方米）</v>
      </c>
      <c r="Q47" s="3473"/>
      <c r="R47" s="3471">
        <f>E47</f>
        <v>0</v>
      </c>
      <c r="S47" s="3471"/>
      <c r="T47" s="3471">
        <f>G47</f>
        <v>0</v>
      </c>
      <c r="U47" s="3471"/>
      <c r="V47" s="3471">
        <f>I47</f>
        <v>0</v>
      </c>
      <c r="W47" s="3471"/>
      <c r="X47" s="1061"/>
      <c r="Y47" s="1134"/>
      <c r="Z47" s="1061"/>
      <c r="AA47" s="1061"/>
      <c r="AB47" s="1061"/>
      <c r="AC47" s="1061"/>
    </row>
    <row r="48" spans="1:29" ht="14.4">
      <c r="A48" s="1012" t="s">
        <v>987</v>
      </c>
      <c r="B48" s="1330"/>
      <c r="C48" s="1331" t="e">
        <f>R49</f>
        <v>#DIV/0!</v>
      </c>
      <c r="D48" s="1015" t="s">
        <v>988</v>
      </c>
      <c r="E48" s="1332" t="e">
        <f>R48</f>
        <v>#DIV/0!</v>
      </c>
      <c r="F48" s="1016"/>
      <c r="G48" s="1331" t="e">
        <f>T48</f>
        <v>#DIV/0!</v>
      </c>
      <c r="H48" s="1016"/>
      <c r="I48" s="1332" t="e">
        <f>V48</f>
        <v>#DIV/0!</v>
      </c>
      <c r="J48" s="1016"/>
      <c r="K48" s="1098">
        <f>F48+H48+J48</f>
        <v>0</v>
      </c>
      <c r="L48" s="1097"/>
      <c r="M48" s="1021"/>
      <c r="N48" s="1073"/>
      <c r="O48" s="1021"/>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061"/>
      <c r="Y48" s="1061"/>
      <c r="Z48" s="1061"/>
      <c r="AA48" s="1061"/>
      <c r="AB48" s="1061"/>
      <c r="AC48" s="1061"/>
    </row>
    <row r="49" spans="1:29" ht="14.4">
      <c r="A49" s="1018" t="s">
        <v>989</v>
      </c>
      <c r="B49" s="1019"/>
      <c r="C49" s="1333" t="e">
        <f>R49</f>
        <v>#DIV/0!</v>
      </c>
      <c r="D49" s="1333"/>
      <c r="E49" s="1333"/>
      <c r="F49" s="1333"/>
      <c r="G49" s="1333"/>
      <c r="H49" s="1333"/>
      <c r="I49" s="1333"/>
      <c r="J49" s="1333"/>
      <c r="K49" s="1099"/>
      <c r="L49" s="1097"/>
      <c r="M49" s="1021"/>
      <c r="N49" s="1073"/>
      <c r="O49" s="1021"/>
      <c r="P49" s="3541" t="str">
        <f>A49</f>
        <v>估价对象XX用房的比较价值（楼面单价，元/平方米）</v>
      </c>
      <c r="Q49" s="3542"/>
      <c r="R49" s="3543" t="e">
        <f>IF(F1="售价",ROUND(IF(D48="简单平均",AVERAGE(R48:V48),R48*F48+T48*H48+V48*J48),0),ROUND(IF(D48="简单平均",AVERAGE(R48:V48),R48*F48+T48*H48+V48*J48),1))</f>
        <v>#DIV/0!</v>
      </c>
      <c r="S49" s="3543"/>
      <c r="T49" s="3543"/>
      <c r="U49" s="3543"/>
      <c r="V49" s="3543"/>
      <c r="W49" s="354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4"/>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4"/>
      <c r="Q51" s="1021"/>
      <c r="R51" s="1021"/>
      <c r="S51" s="1021"/>
      <c r="T51" s="1021"/>
      <c r="U51" s="1021"/>
      <c r="V51" s="1021"/>
      <c r="W51" s="1021"/>
      <c r="X51" s="1021"/>
      <c r="Y51" s="1021"/>
      <c r="Z51" s="1021"/>
      <c r="AA51" s="1021"/>
      <c r="AB51" s="1021"/>
      <c r="AC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4"/>
      <c r="Q52" s="1021"/>
      <c r="R52" s="1021"/>
      <c r="S52" s="1021"/>
      <c r="T52" s="1021"/>
      <c r="U52" s="1021"/>
      <c r="V52" s="1021"/>
      <c r="W52" s="1021"/>
      <c r="X52" s="1021"/>
      <c r="Y52" s="1021"/>
      <c r="Z52" s="1021"/>
      <c r="AA52" s="1021"/>
      <c r="AB52" s="1021"/>
      <c r="AC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4"/>
      <c r="Q53" s="1021"/>
      <c r="R53" s="1021"/>
      <c r="S53" s="1021"/>
      <c r="T53" s="1021"/>
      <c r="U53" s="1021"/>
      <c r="V53" s="1021"/>
      <c r="W53" s="1021"/>
      <c r="X53" s="1021"/>
      <c r="Y53" s="1021"/>
      <c r="Z53" s="1021"/>
      <c r="AA53" s="1021"/>
      <c r="AB53" s="1021"/>
      <c r="AC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5"/>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75"/>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74"/>
      <c r="Q56" s="1021"/>
      <c r="R56" s="1021"/>
      <c r="S56" s="1021"/>
      <c r="T56" s="1021"/>
      <c r="U56" s="1021"/>
      <c r="V56" s="1021"/>
      <c r="W56" s="1021"/>
      <c r="X56" s="1021"/>
      <c r="Y56" s="1021"/>
      <c r="Z56" s="1021"/>
      <c r="AA56" s="1021"/>
      <c r="AB56" s="1021"/>
      <c r="AC56" s="1021"/>
    </row>
    <row r="57" spans="1:29" ht="21.6">
      <c r="A57" s="1060" t="s">
        <v>993</v>
      </c>
      <c r="B57" s="1061"/>
      <c r="C57" s="1062"/>
      <c r="D57" s="1062"/>
      <c r="E57" s="1062"/>
      <c r="F57" s="1063"/>
      <c r="G57" s="1063"/>
      <c r="H57" s="1062"/>
      <c r="I57" s="1062"/>
      <c r="J57" s="1062"/>
      <c r="K57" s="1111"/>
      <c r="L57" s="1280"/>
      <c r="M57" s="1113"/>
      <c r="N57" s="1113"/>
      <c r="O57" s="1113"/>
      <c r="P57" s="1476"/>
      <c r="Q57" s="1126"/>
      <c r="R57" s="1021"/>
      <c r="S57" s="1021"/>
      <c r="T57" s="1021"/>
      <c r="U57" s="1021"/>
      <c r="V57" s="1021"/>
      <c r="W57" s="1021"/>
      <c r="X57" s="1021"/>
      <c r="Y57" s="1021"/>
      <c r="Z57" s="1021"/>
      <c r="AA57" s="1021"/>
      <c r="AB57" s="1021"/>
      <c r="AC57" s="1021"/>
    </row>
    <row r="58" spans="1:29" s="910" customFormat="1" ht="14.4">
      <c r="A58" s="1335" t="s">
        <v>935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77"/>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78"/>
      <c r="Q59" s="1246"/>
      <c r="R59" s="1246"/>
      <c r="S59" s="1246"/>
      <c r="T59" s="1246"/>
      <c r="U59" s="1246"/>
      <c r="V59" s="1246"/>
      <c r="W59" s="1246"/>
      <c r="X59" s="1246"/>
      <c r="Y59" s="1246"/>
      <c r="Z59" s="1246"/>
      <c r="AA59" s="1246"/>
      <c r="AB59" s="1246"/>
      <c r="AC59" s="1246"/>
    </row>
    <row r="60" spans="1:29" s="905" customFormat="1" ht="14.4">
      <c r="A60" s="1141" t="s">
        <v>994</v>
      </c>
      <c r="B60" s="1142"/>
      <c r="C60" s="1143"/>
      <c r="D60" s="1144"/>
      <c r="E60" s="1144"/>
      <c r="F60" s="1144"/>
      <c r="G60" s="1144"/>
      <c r="H60" s="1144"/>
      <c r="I60" s="1144"/>
      <c r="J60" s="1144"/>
      <c r="K60" s="1144"/>
      <c r="L60" s="1144"/>
      <c r="M60" s="1192"/>
      <c r="N60" s="1144"/>
      <c r="O60" s="1192"/>
      <c r="P60" s="1478"/>
      <c r="Q60" s="1126"/>
      <c r="R60" s="1246"/>
      <c r="S60" s="1246"/>
      <c r="T60" s="1246"/>
      <c r="U60" s="1246"/>
      <c r="V60" s="1246"/>
      <c r="W60" s="1246"/>
      <c r="X60" s="1246"/>
      <c r="Y60" s="1246"/>
      <c r="Z60" s="1246"/>
      <c r="AA60" s="1246"/>
      <c r="AB60" s="1246"/>
      <c r="AC60" s="1246"/>
    </row>
    <row r="61" spans="1:29" s="905" customFormat="1" ht="14.4">
      <c r="A61" s="1145" t="s">
        <v>938</v>
      </c>
      <c r="B61" s="1146"/>
      <c r="C61" s="1147" t="s">
        <v>939</v>
      </c>
      <c r="D61" s="1148"/>
      <c r="E61" s="1148"/>
      <c r="F61" s="1148"/>
      <c r="G61" s="1148"/>
      <c r="H61" s="1148"/>
      <c r="I61" s="1148"/>
      <c r="J61" s="1148"/>
      <c r="K61" s="1148"/>
      <c r="L61" s="1194"/>
      <c r="M61" s="1195"/>
      <c r="N61" s="1196"/>
      <c r="O61" s="1196"/>
      <c r="P61" s="1479"/>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78"/>
      <c r="Q62" s="1126"/>
      <c r="R62" s="1246"/>
      <c r="S62" s="1246"/>
      <c r="T62" s="1246"/>
      <c r="U62" s="1246"/>
      <c r="V62" s="1246"/>
      <c r="W62" s="1246"/>
      <c r="X62" s="1246"/>
      <c r="Y62" s="1246"/>
      <c r="Z62" s="1246"/>
      <c r="AA62" s="1246"/>
      <c r="AB62" s="1246"/>
      <c r="AC62" s="1246"/>
    </row>
    <row r="63" spans="1:29" ht="14.4">
      <c r="A63" s="1151" t="s">
        <v>995</v>
      </c>
      <c r="B63" s="1152" t="s">
        <v>943</v>
      </c>
      <c r="C63" s="1174">
        <f>C9</f>
        <v>0</v>
      </c>
      <c r="D63" s="1094"/>
      <c r="E63" s="1094"/>
      <c r="F63" s="1094"/>
      <c r="G63" s="1094"/>
      <c r="H63" s="1094"/>
      <c r="I63" s="1094"/>
      <c r="J63" s="1094"/>
      <c r="K63" s="1199"/>
      <c r="L63" s="1200"/>
      <c r="M63" s="1201"/>
      <c r="N63" s="1202"/>
      <c r="O63" s="1202"/>
      <c r="P63" s="1480"/>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80"/>
      <c r="Q64" s="1126"/>
      <c r="R64" s="1021"/>
      <c r="S64" s="1021"/>
      <c r="T64" s="1021"/>
      <c r="U64" s="1021"/>
      <c r="V64" s="1021"/>
      <c r="W64" s="1021"/>
      <c r="X64" s="1021"/>
      <c r="Y64" s="1021"/>
      <c r="Z64" s="1021"/>
      <c r="AA64" s="1021"/>
      <c r="AB64" s="1021"/>
      <c r="AC64" s="1021"/>
    </row>
    <row r="65" spans="1:29" ht="28.8">
      <c r="A65" s="1153"/>
      <c r="B65" s="1156" t="s">
        <v>947</v>
      </c>
      <c r="C65" s="1157" t="s">
        <v>996</v>
      </c>
      <c r="D65" s="1157" t="s">
        <v>997</v>
      </c>
      <c r="E65" s="1157" t="s">
        <v>998</v>
      </c>
      <c r="F65" s="1157" t="s">
        <v>999</v>
      </c>
      <c r="G65" s="1157" t="s">
        <v>1000</v>
      </c>
      <c r="H65" s="1157" t="s">
        <v>1001</v>
      </c>
      <c r="I65" s="1157" t="s">
        <v>1002</v>
      </c>
      <c r="J65" s="1157"/>
      <c r="K65" s="1206"/>
      <c r="L65" s="1207"/>
      <c r="M65" s="1208"/>
      <c r="N65" s="1202"/>
      <c r="O65" s="1202"/>
      <c r="P65" s="1480"/>
      <c r="Q65" s="1126"/>
      <c r="R65" s="1021"/>
      <c r="S65" s="1021"/>
      <c r="T65" s="1021"/>
      <c r="U65" s="1021"/>
      <c r="V65" s="1021"/>
      <c r="W65" s="1021"/>
      <c r="X65" s="1021"/>
      <c r="Y65" s="1021"/>
      <c r="Z65" s="1021"/>
      <c r="AA65" s="1021"/>
      <c r="AB65" s="1021"/>
      <c r="AC65" s="1021"/>
    </row>
    <row r="66" spans="1:29">
      <c r="A66" s="1153"/>
      <c r="B66" s="1158"/>
      <c r="C66" s="1159" t="s">
        <v>1003</v>
      </c>
      <c r="D66" s="1159" t="s">
        <v>1003</v>
      </c>
      <c r="E66" s="1159" t="s">
        <v>1003</v>
      </c>
      <c r="F66" s="1159">
        <v>100</v>
      </c>
      <c r="G66" s="1159">
        <f>F66-$K10</f>
        <v>100</v>
      </c>
      <c r="H66" s="1159">
        <f>G66-$K10</f>
        <v>100</v>
      </c>
      <c r="I66" s="1159">
        <f>H66-$K10</f>
        <v>100</v>
      </c>
      <c r="J66" s="1159"/>
      <c r="K66" s="1159"/>
      <c r="L66" s="1159"/>
      <c r="M66" s="1209"/>
      <c r="N66" s="1205"/>
      <c r="O66" s="1205"/>
      <c r="P66" s="1480"/>
      <c r="Q66" s="1126"/>
      <c r="R66" s="1021"/>
      <c r="S66" s="1021"/>
      <c r="T66" s="1021"/>
      <c r="U66" s="1021"/>
      <c r="V66" s="1021"/>
      <c r="W66" s="1021"/>
      <c r="X66" s="1021"/>
      <c r="Y66" s="1021"/>
      <c r="Z66" s="1021"/>
      <c r="AA66" s="1021"/>
      <c r="AB66" s="1021"/>
      <c r="AC66" s="1021"/>
    </row>
    <row r="67" spans="1:29" ht="14.4">
      <c r="A67" s="1153"/>
      <c r="B67" s="1160" t="s">
        <v>950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80"/>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80"/>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80"/>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486"/>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486"/>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487"/>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486"/>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488"/>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486"/>
      <c r="Q75" s="1247"/>
      <c r="R75" s="1248"/>
      <c r="S75" s="1248"/>
      <c r="T75" s="1248"/>
      <c r="U75" s="1248"/>
      <c r="V75" s="1248"/>
      <c r="W75" s="1248"/>
      <c r="X75" s="1248"/>
      <c r="Y75" s="1248"/>
      <c r="Z75" s="1248"/>
      <c r="AA75" s="1248"/>
      <c r="AB75" s="1248"/>
      <c r="AC75" s="1248"/>
    </row>
    <row r="76" spans="1:29" ht="14.4">
      <c r="A76" s="1151" t="s">
        <v>951</v>
      </c>
      <c r="B76" s="1152" t="s">
        <v>1596</v>
      </c>
      <c r="C76" s="1173" t="s">
        <v>1004</v>
      </c>
      <c r="D76" s="1173" t="s">
        <v>1005</v>
      </c>
      <c r="E76" s="1173" t="s">
        <v>1006</v>
      </c>
      <c r="F76" s="1173" t="s">
        <v>1007</v>
      </c>
      <c r="G76" s="1173" t="s">
        <v>1008</v>
      </c>
      <c r="H76" s="1174"/>
      <c r="I76" s="1174"/>
      <c r="J76" s="1174"/>
      <c r="K76" s="1222"/>
      <c r="L76" s="1223"/>
      <c r="M76" s="1224"/>
      <c r="N76" s="1202"/>
      <c r="O76" s="1202"/>
      <c r="P76" s="1489"/>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80"/>
      <c r="Q77" s="1126"/>
      <c r="R77" s="1021"/>
      <c r="S77" s="1021"/>
      <c r="T77" s="1021"/>
      <c r="U77" s="1021"/>
      <c r="V77" s="1021"/>
      <c r="W77" s="1021"/>
      <c r="X77" s="1021"/>
      <c r="Y77" s="1021"/>
      <c r="Z77" s="1021"/>
      <c r="AA77" s="1021"/>
      <c r="AB77" s="1021"/>
      <c r="AC77" s="1021"/>
    </row>
    <row r="78" spans="1:29" ht="14.4">
      <c r="A78" s="1153"/>
      <c r="B78" s="1156" t="s">
        <v>956</v>
      </c>
      <c r="C78" s="1175" t="s">
        <v>1004</v>
      </c>
      <c r="D78" s="1175" t="s">
        <v>1005</v>
      </c>
      <c r="E78" s="1175" t="s">
        <v>1006</v>
      </c>
      <c r="F78" s="1175" t="s">
        <v>1007</v>
      </c>
      <c r="G78" s="1175" t="s">
        <v>1008</v>
      </c>
      <c r="H78" s="1157"/>
      <c r="I78" s="1157"/>
      <c r="J78" s="1157"/>
      <c r="K78" s="1206"/>
      <c r="L78" s="1207"/>
      <c r="M78" s="1208"/>
      <c r="N78" s="1202"/>
      <c r="O78" s="1202"/>
      <c r="P78" s="1480"/>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80"/>
      <c r="Q79" s="1126"/>
      <c r="R79" s="1021"/>
      <c r="S79" s="1021"/>
      <c r="T79" s="1021"/>
      <c r="U79" s="1021"/>
      <c r="V79" s="1021"/>
      <c r="W79" s="1021"/>
      <c r="X79" s="1021"/>
      <c r="Y79" s="1021"/>
      <c r="Z79" s="1021"/>
      <c r="AA79" s="1021"/>
      <c r="AB79" s="1021"/>
      <c r="AC79" s="1021"/>
    </row>
    <row r="80" spans="1:29" ht="14.4">
      <c r="A80" s="1153"/>
      <c r="B80" s="1156" t="s">
        <v>957</v>
      </c>
      <c r="C80" s="1175" t="s">
        <v>1004</v>
      </c>
      <c r="D80" s="1175" t="s">
        <v>1005</v>
      </c>
      <c r="E80" s="1175" t="s">
        <v>1006</v>
      </c>
      <c r="F80" s="1175" t="s">
        <v>1007</v>
      </c>
      <c r="G80" s="1175" t="s">
        <v>1008</v>
      </c>
      <c r="H80" s="1157"/>
      <c r="I80" s="1157"/>
      <c r="J80" s="1157"/>
      <c r="K80" s="1206"/>
      <c r="L80" s="1207"/>
      <c r="M80" s="1208"/>
      <c r="N80" s="1202"/>
      <c r="O80" s="1202"/>
      <c r="P80" s="1480"/>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80"/>
      <c r="Q81" s="1126"/>
      <c r="R81" s="1021"/>
      <c r="S81" s="1021"/>
      <c r="T81" s="1021"/>
      <c r="U81" s="1021"/>
      <c r="V81" s="1021"/>
      <c r="W81" s="1021"/>
      <c r="X81" s="1021"/>
      <c r="Y81" s="1021"/>
      <c r="Z81" s="1021"/>
      <c r="AA81" s="1021"/>
      <c r="AB81" s="1021"/>
      <c r="AC81" s="1021"/>
    </row>
    <row r="82" spans="1:29" ht="14.4">
      <c r="A82" s="1153"/>
      <c r="B82" s="1160" t="s">
        <v>958</v>
      </c>
      <c r="C82" s="1180" t="s">
        <v>1009</v>
      </c>
      <c r="D82" s="1180" t="s">
        <v>1010</v>
      </c>
      <c r="E82" s="1180" t="s">
        <v>1011</v>
      </c>
      <c r="F82" s="1180" t="s">
        <v>1012</v>
      </c>
      <c r="G82" s="1180" t="s">
        <v>1013</v>
      </c>
      <c r="H82" s="1157"/>
      <c r="I82" s="1157"/>
      <c r="J82" s="1157"/>
      <c r="K82" s="1157"/>
      <c r="L82" s="1157"/>
      <c r="M82" s="1352"/>
      <c r="N82" s="1205"/>
      <c r="O82" s="1205"/>
      <c r="P82" s="1480"/>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80"/>
      <c r="Q83" s="1126"/>
      <c r="R83" s="1021"/>
      <c r="S83" s="1021"/>
      <c r="T83" s="1021"/>
      <c r="U83" s="1021"/>
      <c r="V83" s="1021"/>
      <c r="W83" s="1021"/>
      <c r="X83" s="1021"/>
      <c r="Y83" s="1021"/>
      <c r="Z83" s="1021"/>
      <c r="AA83" s="1021"/>
      <c r="AB83" s="1021"/>
      <c r="AC83" s="1021"/>
    </row>
    <row r="84" spans="1:29" ht="14.4">
      <c r="A84" s="1153"/>
      <c r="B84" s="1156" t="s">
        <v>1597</v>
      </c>
      <c r="C84" s="1175" t="s">
        <v>1004</v>
      </c>
      <c r="D84" s="1175" t="s">
        <v>1005</v>
      </c>
      <c r="E84" s="1175" t="s">
        <v>1006</v>
      </c>
      <c r="F84" s="1175" t="s">
        <v>1007</v>
      </c>
      <c r="G84" s="1175" t="s">
        <v>1008</v>
      </c>
      <c r="H84" s="1157"/>
      <c r="I84" s="1157"/>
      <c r="J84" s="1157"/>
      <c r="K84" s="1206"/>
      <c r="L84" s="1207"/>
      <c r="M84" s="1208"/>
      <c r="N84" s="1202"/>
      <c r="O84" s="1202"/>
      <c r="P84" s="1480"/>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80"/>
      <c r="Q85" s="1126"/>
      <c r="R85" s="1021"/>
      <c r="S85" s="1021"/>
      <c r="T85" s="1021"/>
      <c r="U85" s="1021"/>
      <c r="V85" s="1021"/>
      <c r="W85" s="1021"/>
      <c r="X85" s="1021"/>
      <c r="Y85" s="1021"/>
      <c r="Z85" s="1021"/>
      <c r="AA85" s="1021"/>
      <c r="AB85" s="1021"/>
      <c r="AC85" s="1021"/>
    </row>
    <row r="86" spans="1:29" s="905" customFormat="1" ht="14.4">
      <c r="A86" s="1176"/>
      <c r="B86" s="1156" t="s">
        <v>1624</v>
      </c>
      <c r="C86" s="1164"/>
      <c r="D86" s="1164"/>
      <c r="E86" s="1164"/>
      <c r="F86" s="1164"/>
      <c r="G86" s="1164"/>
      <c r="H86" s="1164"/>
      <c r="I86" s="1164"/>
      <c r="J86" s="1164"/>
      <c r="K86" s="1164"/>
      <c r="L86" s="1353"/>
      <c r="M86" s="1354"/>
      <c r="N86" s="1196"/>
      <c r="O86" s="1196"/>
      <c r="P86" s="1480"/>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80"/>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84"/>
      <c r="G88" s="1164"/>
      <c r="H88" s="1164"/>
      <c r="I88" s="1164"/>
      <c r="J88" s="1164"/>
      <c r="K88" s="1164"/>
      <c r="L88" s="1164"/>
      <c r="M88" s="1354"/>
      <c r="N88" s="1196"/>
      <c r="O88" s="1196"/>
      <c r="P88" s="1480"/>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80"/>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486"/>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6"/>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80"/>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80"/>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80"/>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80"/>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80"/>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80"/>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80"/>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80"/>
      <c r="Q99" s="1126"/>
      <c r="R99" s="1021"/>
      <c r="S99" s="1021"/>
      <c r="T99" s="1021"/>
      <c r="U99" s="1021"/>
      <c r="V99" s="1021"/>
      <c r="W99" s="1021"/>
      <c r="X99" s="1021"/>
      <c r="Y99" s="1021"/>
      <c r="Z99" s="1021"/>
      <c r="AA99" s="1021"/>
      <c r="AB99" s="1021"/>
      <c r="AC99" s="1021"/>
    </row>
    <row r="100" spans="1:29" ht="14.4">
      <c r="A100" s="1151" t="s">
        <v>965</v>
      </c>
      <c r="B100" s="1152" t="s">
        <v>1627</v>
      </c>
      <c r="C100" s="1094"/>
      <c r="D100" s="1094"/>
      <c r="E100" s="1094"/>
      <c r="F100" s="1094"/>
      <c r="G100" s="1094"/>
      <c r="H100" s="1094"/>
      <c r="I100" s="1094"/>
      <c r="J100" s="1094"/>
      <c r="K100" s="1199"/>
      <c r="L100" s="1200"/>
      <c r="M100" s="1201"/>
      <c r="N100" s="1202"/>
      <c r="O100" s="1202"/>
      <c r="P100" s="1480"/>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80"/>
      <c r="Q101" s="1126"/>
      <c r="R101" s="1021"/>
      <c r="S101" s="1021"/>
      <c r="T101" s="1021"/>
      <c r="U101" s="1021"/>
      <c r="V101" s="1021"/>
      <c r="W101" s="1021"/>
      <c r="X101" s="1021"/>
      <c r="Y101" s="1021"/>
      <c r="Z101" s="1021"/>
      <c r="AA101" s="1021"/>
      <c r="AB101" s="1021"/>
      <c r="AC101" s="1021"/>
    </row>
    <row r="102" spans="1:29" ht="14.4">
      <c r="A102" s="1153"/>
      <c r="B102" s="1156" t="s">
        <v>969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80"/>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6"/>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486"/>
      <c r="Q104" s="1247"/>
      <c r="R104" s="1248"/>
      <c r="S104" s="1248"/>
      <c r="T104" s="1248"/>
      <c r="U104" s="1248"/>
      <c r="V104" s="1248"/>
      <c r="W104" s="1248"/>
      <c r="X104" s="1248"/>
      <c r="Y104" s="1248"/>
      <c r="Z104" s="1248"/>
      <c r="AA104" s="1248"/>
      <c r="AB104" s="1248"/>
      <c r="AC104" s="1248"/>
    </row>
    <row r="105" spans="1:29" ht="14.4">
      <c r="A105" s="1187"/>
      <c r="B105" s="1156" t="s">
        <v>970</v>
      </c>
      <c r="C105" s="1164"/>
      <c r="D105" s="1164"/>
      <c r="E105" s="1181"/>
      <c r="F105" s="1181"/>
      <c r="G105" s="1181"/>
      <c r="H105" s="1181"/>
      <c r="I105" s="1181"/>
      <c r="J105" s="1181"/>
      <c r="K105" s="1232"/>
      <c r="L105" s="1233"/>
      <c r="M105" s="1234"/>
      <c r="N105" s="1202"/>
      <c r="O105" s="1202"/>
      <c r="P105" s="1480"/>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80"/>
      <c r="Q106" s="1126"/>
      <c r="R106" s="1021"/>
      <c r="S106" s="1021"/>
      <c r="T106" s="1021"/>
      <c r="U106" s="1021"/>
      <c r="V106" s="1021"/>
      <c r="W106" s="1021"/>
      <c r="X106" s="1021"/>
      <c r="Y106" s="1021"/>
      <c r="Z106" s="1021"/>
      <c r="AA106" s="1021"/>
      <c r="AB106" s="1021"/>
      <c r="AC106" s="1021"/>
    </row>
    <row r="107" spans="1:29" ht="14.4">
      <c r="A107" s="1187"/>
      <c r="B107" s="1156" t="s">
        <v>972</v>
      </c>
      <c r="C107" s="1164"/>
      <c r="D107" s="1164"/>
      <c r="E107" s="1164"/>
      <c r="F107" s="1181"/>
      <c r="G107" s="1181"/>
      <c r="H107" s="1181"/>
      <c r="I107" s="1181"/>
      <c r="J107" s="1181"/>
      <c r="K107" s="1232"/>
      <c r="L107" s="1233"/>
      <c r="M107" s="1234"/>
      <c r="N107" s="1202"/>
      <c r="O107" s="1202"/>
      <c r="P107" s="1480"/>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80"/>
      <c r="Q108" s="1126"/>
      <c r="R108" s="1021"/>
      <c r="S108" s="1021"/>
      <c r="T108" s="1021"/>
      <c r="U108" s="1021"/>
      <c r="V108" s="1021"/>
      <c r="W108" s="1021"/>
      <c r="X108" s="1021"/>
      <c r="Y108" s="1021"/>
      <c r="Z108" s="1021"/>
      <c r="AA108" s="1021"/>
      <c r="AB108" s="1021"/>
      <c r="AC108" s="1021"/>
    </row>
    <row r="109" spans="1:29" ht="14.4">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80"/>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80"/>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80"/>
      <c r="Q111" s="1126"/>
      <c r="R111" s="1021"/>
      <c r="S111" s="1021"/>
      <c r="T111" s="1021"/>
      <c r="U111" s="1021"/>
      <c r="V111" s="1021"/>
      <c r="W111" s="1021"/>
      <c r="X111" s="1021"/>
      <c r="Y111" s="1021"/>
      <c r="Z111" s="1021"/>
      <c r="AA111" s="1021"/>
      <c r="AB111" s="1021"/>
      <c r="AC111" s="1021"/>
    </row>
    <row r="112" spans="1:29" s="907" customFormat="1" ht="14.4">
      <c r="A112" s="1184"/>
      <c r="B112" s="1156" t="s">
        <v>978</v>
      </c>
      <c r="C112" s="1164"/>
      <c r="D112" s="1164"/>
      <c r="E112" s="1164"/>
      <c r="F112" s="1164"/>
      <c r="G112" s="1164"/>
      <c r="H112" s="1181"/>
      <c r="I112" s="1181"/>
      <c r="J112" s="1181"/>
      <c r="K112" s="1232"/>
      <c r="L112" s="1233"/>
      <c r="M112" s="1234"/>
      <c r="N112" s="1215"/>
      <c r="O112" s="1215"/>
      <c r="P112" s="1486"/>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6"/>
      <c r="Q113" s="1247"/>
      <c r="R113" s="1248"/>
      <c r="S113" s="1248"/>
      <c r="T113" s="1248"/>
      <c r="U113" s="1248"/>
      <c r="V113" s="1248"/>
      <c r="W113" s="1248"/>
      <c r="X113" s="1248"/>
      <c r="Y113" s="1248"/>
      <c r="Z113" s="1248"/>
      <c r="AA113" s="1248"/>
      <c r="AB113" s="1248"/>
      <c r="AC113" s="1248"/>
    </row>
    <row r="114" spans="1:29" ht="14.4">
      <c r="A114" s="1187"/>
      <c r="B114" s="1156" t="s">
        <v>1628</v>
      </c>
      <c r="C114" s="1164"/>
      <c r="D114" s="1164"/>
      <c r="E114" s="1181"/>
      <c r="F114" s="1181"/>
      <c r="G114" s="1181"/>
      <c r="H114" s="1181"/>
      <c r="I114" s="1181"/>
      <c r="J114" s="1181"/>
      <c r="K114" s="1232"/>
      <c r="L114" s="1233"/>
      <c r="M114" s="1234"/>
      <c r="N114" s="1202"/>
      <c r="O114" s="1202"/>
      <c r="P114" s="1480"/>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80"/>
      <c r="Q115" s="1126"/>
      <c r="R115" s="1021"/>
      <c r="S115" s="1021"/>
      <c r="T115" s="1021"/>
      <c r="U115" s="1021"/>
      <c r="V115" s="1021"/>
      <c r="W115" s="1021"/>
      <c r="X115" s="1021"/>
      <c r="Y115" s="1021"/>
      <c r="Z115" s="1021"/>
      <c r="AA115" s="1021"/>
      <c r="AB115" s="1021"/>
      <c r="AC115" s="1021"/>
    </row>
    <row r="116" spans="1:29" ht="14.4">
      <c r="A116" s="1187"/>
      <c r="B116" s="1156" t="s">
        <v>979</v>
      </c>
      <c r="C116" s="1164"/>
      <c r="D116" s="1164"/>
      <c r="E116" s="1164"/>
      <c r="F116" s="1164"/>
      <c r="G116" s="1164"/>
      <c r="H116" s="1181"/>
      <c r="I116" s="1181"/>
      <c r="J116" s="1181"/>
      <c r="K116" s="1232"/>
      <c r="L116" s="1233"/>
      <c r="M116" s="1234"/>
      <c r="N116" s="1202"/>
      <c r="O116" s="1202"/>
      <c r="P116" s="1480"/>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80"/>
      <c r="Q117" s="1126"/>
      <c r="R117" s="1021"/>
      <c r="S117" s="1021"/>
      <c r="T117" s="1021"/>
      <c r="U117" s="1021"/>
      <c r="V117" s="1021"/>
      <c r="W117" s="1021"/>
      <c r="X117" s="1021"/>
      <c r="Y117" s="1021"/>
      <c r="Z117" s="1021"/>
      <c r="AA117" s="1021"/>
      <c r="AB117" s="1021"/>
      <c r="AC117" s="1021"/>
    </row>
    <row r="118" spans="1:29" ht="14.4">
      <c r="A118" s="1187"/>
      <c r="B118" s="1156" t="s">
        <v>1016</v>
      </c>
      <c r="C118" s="1485"/>
      <c r="D118" s="1485"/>
      <c r="E118" s="1485"/>
      <c r="F118" s="1485"/>
      <c r="G118" s="1485"/>
      <c r="H118" s="1165"/>
      <c r="I118" s="1165"/>
      <c r="J118" s="1165"/>
      <c r="K118" s="1165"/>
      <c r="L118" s="1213"/>
      <c r="M118" s="1214"/>
      <c r="N118" s="1202"/>
      <c r="O118" s="1202"/>
      <c r="P118" s="1480"/>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80"/>
      <c r="Q119" s="1126"/>
      <c r="R119" s="1021"/>
      <c r="S119" s="1021"/>
      <c r="T119" s="1021"/>
      <c r="U119" s="1021"/>
      <c r="V119" s="1021"/>
      <c r="W119" s="1021"/>
      <c r="X119" s="1021"/>
      <c r="Y119" s="1021"/>
      <c r="Z119" s="1021"/>
      <c r="AA119" s="1021"/>
      <c r="AB119" s="1021"/>
      <c r="AC119" s="1021"/>
    </row>
    <row r="120" spans="1:29" s="907" customFormat="1" ht="14.4">
      <c r="A120" s="1184"/>
      <c r="B120" s="1156" t="s">
        <v>1630</v>
      </c>
      <c r="C120" s="1181"/>
      <c r="D120" s="1181"/>
      <c r="E120" s="1181"/>
      <c r="F120" s="1181"/>
      <c r="G120" s="1165"/>
      <c r="H120" s="1165"/>
      <c r="I120" s="1165"/>
      <c r="J120" s="1165"/>
      <c r="K120" s="1165"/>
      <c r="L120" s="1213"/>
      <c r="M120" s="1214"/>
      <c r="N120" s="1215"/>
      <c r="O120" s="1215"/>
      <c r="P120" s="1486"/>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6"/>
      <c r="Q121" s="1247"/>
      <c r="R121" s="1248"/>
      <c r="S121" s="1248"/>
      <c r="T121" s="1248"/>
      <c r="U121" s="1248"/>
      <c r="V121" s="1248"/>
      <c r="W121" s="1248"/>
      <c r="X121" s="1248"/>
      <c r="Y121" s="1248"/>
      <c r="Z121" s="1248"/>
      <c r="AA121" s="1248"/>
      <c r="AB121" s="1248"/>
      <c r="AC121" s="1248"/>
    </row>
    <row r="122" spans="1:29" ht="14.4">
      <c r="A122" s="1187"/>
      <c r="B122" s="1156" t="s">
        <v>982</v>
      </c>
      <c r="C122" s="1164"/>
      <c r="D122" s="1164"/>
      <c r="E122" s="1164"/>
      <c r="F122" s="1181"/>
      <c r="G122" s="1181"/>
      <c r="H122" s="1181"/>
      <c r="I122" s="1181"/>
      <c r="J122" s="1181"/>
      <c r="K122" s="1232"/>
      <c r="L122" s="1233"/>
      <c r="M122" s="1234"/>
      <c r="N122" s="1202"/>
      <c r="O122" s="1202"/>
      <c r="P122" s="1480"/>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80"/>
      <c r="Q123" s="1126"/>
      <c r="R123" s="1021"/>
      <c r="S123" s="1021"/>
      <c r="T123" s="1021"/>
      <c r="U123" s="1021"/>
      <c r="V123" s="1021"/>
      <c r="W123" s="1021"/>
      <c r="X123" s="1021"/>
      <c r="Y123" s="1021"/>
      <c r="Z123" s="1021"/>
      <c r="AA123" s="1021"/>
      <c r="AB123" s="1021"/>
      <c r="AC123" s="1021"/>
    </row>
    <row r="124" spans="1:29" ht="28.8">
      <c r="A124" s="1187"/>
      <c r="B124" s="1156" t="s">
        <v>985</v>
      </c>
      <c r="C124" s="1175" t="s">
        <v>1004</v>
      </c>
      <c r="D124" s="1175" t="s">
        <v>1005</v>
      </c>
      <c r="E124" s="1175" t="s">
        <v>1006</v>
      </c>
      <c r="F124" s="1175" t="s">
        <v>1007</v>
      </c>
      <c r="G124" s="1175" t="s">
        <v>1008</v>
      </c>
      <c r="H124" s="1157"/>
      <c r="I124" s="1157"/>
      <c r="J124" s="1157"/>
      <c r="K124" s="1206"/>
      <c r="L124" s="1207"/>
      <c r="M124" s="1208"/>
      <c r="N124" s="1202"/>
      <c r="O124" s="1202"/>
      <c r="P124" s="1486"/>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80"/>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6"/>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486"/>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80"/>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80"/>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80"/>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80"/>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913</v>
      </c>
      <c r="B1" s="1419" t="s">
        <v>1631</v>
      </c>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IF(C2="——",ROUND(C43*D3/10000,0),ROUND(C43*D3/10000,0)-D2)</f>
        <v>#DIV/0!</v>
      </c>
      <c r="C2" s="1293"/>
      <c r="D2" s="1250" t="e">
        <f ca="1">SUMIF(INDIRECT("'"&amp;F2&amp;"'"&amp;"!A:A"),"承租人权益价值",INDIRECT("'"&amp;F2&amp;"'"&amp;"!c:c"))</f>
        <v>#REF!</v>
      </c>
      <c r="E2" s="1294" t="s">
        <v>919</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920</v>
      </c>
      <c r="B3" s="922" t="e">
        <f ca="1">IF(C2="——",C43,ROUND(B2*10000/D3,0))</f>
        <v>#DIV/0!</v>
      </c>
      <c r="C3" s="1296" t="s">
        <v>921</v>
      </c>
      <c r="D3" s="1297">
        <f>IF(D1="",'数据-汇总表'!E3,SUMIF('数据-汇总表'!$C19:$C33,D1,'数据-汇总表'!$E19:$E33))</f>
        <v>5858.09</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922</v>
      </c>
      <c r="B4" s="925"/>
      <c r="C4" s="3495" t="s">
        <v>923</v>
      </c>
      <c r="D4" s="3496"/>
      <c r="E4" s="3497" t="s">
        <v>924</v>
      </c>
      <c r="F4" s="3498"/>
      <c r="G4" s="3495" t="s">
        <v>925</v>
      </c>
      <c r="H4" s="3496"/>
      <c r="I4" s="3495" t="s">
        <v>926</v>
      </c>
      <c r="J4" s="3496"/>
      <c r="K4" s="1071" t="s">
        <v>927</v>
      </c>
      <c r="L4" s="1425"/>
      <c r="M4" s="1426"/>
      <c r="N4" s="1426"/>
      <c r="O4" s="1426"/>
      <c r="P4" s="3535" t="s">
        <v>928</v>
      </c>
      <c r="Q4" s="3536"/>
      <c r="R4" s="3539" t="s">
        <v>924</v>
      </c>
      <c r="S4" s="3540"/>
      <c r="T4" s="3539" t="s">
        <v>925</v>
      </c>
      <c r="U4" s="3540"/>
      <c r="V4" s="3471" t="s">
        <v>926</v>
      </c>
      <c r="W4" s="3471"/>
      <c r="X4" s="1115"/>
      <c r="Y4" s="3539" t="s">
        <v>928</v>
      </c>
      <c r="Z4" s="3540"/>
      <c r="AA4" s="3534" t="s">
        <v>924</v>
      </c>
      <c r="AB4" s="3453" t="s">
        <v>925</v>
      </c>
      <c r="AC4" s="3534" t="s">
        <v>926</v>
      </c>
    </row>
    <row r="5" spans="1:29">
      <c r="A5" s="926"/>
      <c r="B5" s="927"/>
      <c r="C5" s="3499" t="s">
        <v>929</v>
      </c>
      <c r="D5" s="3500"/>
      <c r="E5" s="3544" t="s">
        <v>1593</v>
      </c>
      <c r="F5" s="3502"/>
      <c r="G5" s="3499" t="s">
        <v>1594</v>
      </c>
      <c r="H5" s="3500"/>
      <c r="I5" s="3499" t="s">
        <v>1595</v>
      </c>
      <c r="J5" s="3500"/>
      <c r="K5" s="1071"/>
      <c r="L5" s="1425"/>
      <c r="M5" s="1426"/>
      <c r="N5" s="1426"/>
      <c r="O5" s="1426"/>
      <c r="P5" s="3537"/>
      <c r="Q5" s="3461"/>
      <c r="R5" s="3466"/>
      <c r="S5" s="3467"/>
      <c r="T5" s="3466"/>
      <c r="U5" s="3467"/>
      <c r="V5" s="3471"/>
      <c r="W5" s="3471"/>
      <c r="X5" s="1115"/>
      <c r="Y5" s="3466"/>
      <c r="Z5" s="3467"/>
      <c r="AA5" s="3453"/>
      <c r="AB5" s="3453"/>
      <c r="AC5" s="3453"/>
    </row>
    <row r="6" spans="1:29" ht="14.4">
      <c r="A6" s="928"/>
      <c r="B6" s="929"/>
      <c r="C6" s="3490" t="s">
        <v>933</v>
      </c>
      <c r="D6" s="3491"/>
      <c r="E6" s="3492" t="s">
        <v>933</v>
      </c>
      <c r="F6" s="3493"/>
      <c r="G6" s="3490" t="s">
        <v>933</v>
      </c>
      <c r="H6" s="3491"/>
      <c r="I6" s="3490" t="s">
        <v>933</v>
      </c>
      <c r="J6" s="3491"/>
      <c r="K6" s="1071" t="s">
        <v>934</v>
      </c>
      <c r="L6" s="1425"/>
      <c r="M6" s="1426"/>
      <c r="N6" s="1426"/>
      <c r="O6" s="1426"/>
      <c r="P6" s="3538"/>
      <c r="Q6" s="3463"/>
      <c r="R6" s="3466"/>
      <c r="S6" s="3467"/>
      <c r="T6" s="3468"/>
      <c r="U6" s="3469"/>
      <c r="V6" s="3471"/>
      <c r="W6" s="3471"/>
      <c r="X6" s="1115"/>
      <c r="Y6" s="3468"/>
      <c r="Z6" s="3469"/>
      <c r="AA6" s="3454"/>
      <c r="AB6" s="3454"/>
      <c r="AC6" s="3454"/>
    </row>
    <row r="7" spans="1:29" s="905" customFormat="1" ht="14.4">
      <c r="A7" s="930" t="s">
        <v>935</v>
      </c>
      <c r="B7" s="931"/>
      <c r="C7" s="932">
        <f>'数据-取费表'!B2</f>
        <v>44770</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78" t="s">
        <v>936</v>
      </c>
      <c r="Q7" s="3494"/>
      <c r="R7" s="1116" t="s">
        <v>937</v>
      </c>
      <c r="S7" s="1117">
        <f t="shared" ref="S7:S15" si="0">F7</f>
        <v>0</v>
      </c>
      <c r="T7" s="1116" t="s">
        <v>937</v>
      </c>
      <c r="U7" s="1117">
        <f t="shared" ref="U7:U15" si="1">H7</f>
        <v>0</v>
      </c>
      <c r="V7" s="1116" t="s">
        <v>937</v>
      </c>
      <c r="W7" s="1117">
        <f t="shared" ref="W7:W15" si="2">J7</f>
        <v>0</v>
      </c>
      <c r="X7" s="1118"/>
      <c r="Y7" s="3478" t="s">
        <v>936</v>
      </c>
      <c r="Z7" s="3479"/>
      <c r="AA7" s="1130" t="e">
        <f>D7/F7</f>
        <v>#DIV/0!</v>
      </c>
      <c r="AB7" s="1130" t="e">
        <f>D7/H7</f>
        <v>#DIV/0!</v>
      </c>
      <c r="AC7" s="1130" t="e">
        <f>D7/J7</f>
        <v>#DIV/0!</v>
      </c>
    </row>
    <row r="8" spans="1:29" s="905" customFormat="1" ht="14.4">
      <c r="A8" s="930" t="s">
        <v>938</v>
      </c>
      <c r="B8" s="931"/>
      <c r="C8" s="937" t="s">
        <v>939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40" si="3">D8/F8</f>
        <v>#DIV/0!</v>
      </c>
      <c r="AB8" s="1130" t="e">
        <f t="shared" ref="AB8:AB40" si="4">D8/H8</f>
        <v>#DIV/0!</v>
      </c>
      <c r="AC8" s="1130" t="e">
        <f t="shared" ref="AC8:AC40" si="5">D8/J8</f>
        <v>#DIV/0!</v>
      </c>
    </row>
    <row r="9" spans="1:29" s="905" customFormat="1" ht="14.4">
      <c r="A9" s="938" t="s">
        <v>942</v>
      </c>
      <c r="B9" s="939" t="s">
        <v>943</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73" t="s">
        <v>945</v>
      </c>
      <c r="Q9" s="1120" t="str">
        <f t="shared" ref="Q9:Q15" si="6">B9</f>
        <v>用途</v>
      </c>
      <c r="R9" s="1116" t="s">
        <v>937</v>
      </c>
      <c r="S9" s="1117">
        <f t="shared" si="0"/>
        <v>100</v>
      </c>
      <c r="T9" s="1116" t="s">
        <v>937</v>
      </c>
      <c r="U9" s="1117">
        <f t="shared" si="1"/>
        <v>100</v>
      </c>
      <c r="V9" s="1116" t="s">
        <v>937</v>
      </c>
      <c r="W9" s="1117">
        <f t="shared" si="2"/>
        <v>100</v>
      </c>
      <c r="X9" s="1118"/>
      <c r="Y9" s="3364" t="s">
        <v>946</v>
      </c>
      <c r="Z9" s="1131" t="str">
        <f t="shared" ref="Z9:Z15" si="7">Q9</f>
        <v>用途</v>
      </c>
      <c r="AA9" s="1130">
        <f t="shared" si="3"/>
        <v>1</v>
      </c>
      <c r="AB9" s="1130">
        <f t="shared" si="4"/>
        <v>1</v>
      </c>
      <c r="AC9" s="1130">
        <f t="shared" si="5"/>
        <v>1</v>
      </c>
    </row>
    <row r="10" spans="1:29" s="906" customFormat="1" ht="28.8">
      <c r="A10" s="942"/>
      <c r="B10" s="943" t="s">
        <v>947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73"/>
      <c r="Q10" s="1120" t="str">
        <f t="shared" si="6"/>
        <v>土地使用年限（年）</v>
      </c>
      <c r="R10" s="1116" t="s">
        <v>937</v>
      </c>
      <c r="S10" s="1117">
        <f t="shared" si="0"/>
        <v>100</v>
      </c>
      <c r="T10" s="1116" t="s">
        <v>937</v>
      </c>
      <c r="U10" s="1117">
        <f t="shared" si="1"/>
        <v>100</v>
      </c>
      <c r="V10" s="1116" t="s">
        <v>937</v>
      </c>
      <c r="W10" s="1117">
        <f t="shared" si="2"/>
        <v>100</v>
      </c>
      <c r="X10" s="1118"/>
      <c r="Y10" s="3364"/>
      <c r="Z10" s="1131" t="str">
        <f t="shared" si="7"/>
        <v>土地使用年限（年）</v>
      </c>
      <c r="AA10" s="1130">
        <f t="shared" si="3"/>
        <v>1</v>
      </c>
      <c r="AB10" s="1130">
        <f t="shared" si="4"/>
        <v>1</v>
      </c>
      <c r="AC10" s="1130">
        <f t="shared" si="5"/>
        <v>1</v>
      </c>
    </row>
    <row r="11" spans="1:29" ht="15">
      <c r="A11" s="946"/>
      <c r="B11" s="943" t="s">
        <v>950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73"/>
      <c r="Q11" s="1120" t="str">
        <f t="shared" si="6"/>
        <v>容积率</v>
      </c>
      <c r="R11" s="1116" t="s">
        <v>937</v>
      </c>
      <c r="S11" s="1117" t="e">
        <f t="shared" si="0"/>
        <v>#N/A</v>
      </c>
      <c r="T11" s="1116" t="s">
        <v>937</v>
      </c>
      <c r="U11" s="1117" t="e">
        <f t="shared" si="1"/>
        <v>#N/A</v>
      </c>
      <c r="V11" s="1116" t="s">
        <v>937</v>
      </c>
      <c r="W11" s="1117" t="e">
        <f t="shared" si="2"/>
        <v>#N/A</v>
      </c>
      <c r="X11" s="1118"/>
      <c r="Y11" s="336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73"/>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73"/>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73"/>
      <c r="Q14" s="1120">
        <f t="shared" si="6"/>
        <v>111</v>
      </c>
      <c r="R14" s="1116" t="s">
        <v>937</v>
      </c>
      <c r="S14" s="1117">
        <f t="shared" si="0"/>
        <v>100</v>
      </c>
      <c r="T14" s="1116" t="s">
        <v>937</v>
      </c>
      <c r="U14" s="1117">
        <f t="shared" si="1"/>
        <v>100</v>
      </c>
      <c r="V14" s="1116" t="s">
        <v>937</v>
      </c>
      <c r="W14" s="1117">
        <f t="shared" si="2"/>
        <v>100</v>
      </c>
      <c r="X14" s="1118"/>
      <c r="Y14" s="3364"/>
      <c r="Z14" s="1131">
        <f t="shared" si="7"/>
        <v>111</v>
      </c>
      <c r="AA14" s="1130">
        <f t="shared" si="3"/>
        <v>1</v>
      </c>
      <c r="AB14" s="1130">
        <f t="shared" si="4"/>
        <v>1</v>
      </c>
      <c r="AC14" s="1130">
        <f t="shared" si="5"/>
        <v>1</v>
      </c>
    </row>
    <row r="15" spans="1:29" ht="69">
      <c r="A15" s="960" t="s">
        <v>951</v>
      </c>
      <c r="B15" s="1253" t="s">
        <v>1632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86" t="s">
        <v>953</v>
      </c>
      <c r="Q15" s="681" t="str">
        <f t="shared" si="6"/>
        <v>产业集聚程度</v>
      </c>
      <c r="R15" s="1121" t="s">
        <v>937</v>
      </c>
      <c r="S15" s="1122">
        <f t="shared" si="0"/>
        <v>100</v>
      </c>
      <c r="T15" s="1121" t="s">
        <v>937</v>
      </c>
      <c r="U15" s="1122">
        <f t="shared" si="1"/>
        <v>100</v>
      </c>
      <c r="V15" s="1121" t="s">
        <v>937</v>
      </c>
      <c r="W15" s="1122">
        <f t="shared" si="2"/>
        <v>100</v>
      </c>
      <c r="X15" s="1115"/>
      <c r="Y15" s="3486" t="s">
        <v>953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87"/>
      <c r="Q16" s="681"/>
      <c r="R16" s="1121"/>
      <c r="S16" s="1122"/>
      <c r="T16" s="1121"/>
      <c r="U16" s="1122"/>
      <c r="V16" s="1121"/>
      <c r="W16" s="1122"/>
      <c r="X16" s="1115"/>
      <c r="Y16" s="3487"/>
      <c r="Z16" s="1105"/>
      <c r="AA16" s="1132">
        <v>1</v>
      </c>
      <c r="AB16" s="1132">
        <v>1</v>
      </c>
      <c r="AC16" s="1132">
        <v>1</v>
      </c>
    </row>
    <row r="17" spans="1:29" ht="96.6">
      <c r="A17" s="946"/>
      <c r="B17" s="1256" t="s">
        <v>956</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87"/>
      <c r="Q17" s="681" t="str">
        <f>B17</f>
        <v>交通便捷度</v>
      </c>
      <c r="R17" s="1121" t="s">
        <v>937</v>
      </c>
      <c r="S17" s="1122">
        <f>F17</f>
        <v>100</v>
      </c>
      <c r="T17" s="1121" t="s">
        <v>937</v>
      </c>
      <c r="U17" s="1122">
        <f>H17</f>
        <v>100</v>
      </c>
      <c r="V17" s="1121" t="s">
        <v>937</v>
      </c>
      <c r="W17" s="1122">
        <f>J17</f>
        <v>100</v>
      </c>
      <c r="X17" s="1115"/>
      <c r="Y17" s="3487"/>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87"/>
      <c r="Q18" s="681"/>
      <c r="R18" s="1121"/>
      <c r="S18" s="1122"/>
      <c r="T18" s="1121"/>
      <c r="U18" s="1122"/>
      <c r="V18" s="1121"/>
      <c r="W18" s="1122"/>
      <c r="X18" s="1115"/>
      <c r="Y18" s="3487"/>
      <c r="Z18" s="1105"/>
      <c r="AA18" s="1132">
        <v>1</v>
      </c>
      <c r="AB18" s="1132">
        <v>1</v>
      </c>
      <c r="AC18" s="1132">
        <v>1</v>
      </c>
    </row>
    <row r="19" spans="1:29" ht="41.4">
      <c r="A19" s="946"/>
      <c r="B19" s="1256" t="s">
        <v>957</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87"/>
      <c r="Q19" s="681" t="str">
        <f>B19</f>
        <v>公共配套设施</v>
      </c>
      <c r="R19" s="1121" t="s">
        <v>937</v>
      </c>
      <c r="S19" s="1122">
        <f>F19</f>
        <v>100</v>
      </c>
      <c r="T19" s="1121" t="s">
        <v>937</v>
      </c>
      <c r="U19" s="1122">
        <f>H19</f>
        <v>100</v>
      </c>
      <c r="V19" s="1121" t="s">
        <v>937</v>
      </c>
      <c r="W19" s="1122">
        <f>J19</f>
        <v>100</v>
      </c>
      <c r="X19" s="1115"/>
      <c r="Y19" s="3487"/>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87"/>
      <c r="Q20" s="681"/>
      <c r="R20" s="1121"/>
      <c r="S20" s="1122"/>
      <c r="T20" s="1121"/>
      <c r="U20" s="1122"/>
      <c r="V20" s="1121"/>
      <c r="W20" s="1122"/>
      <c r="X20" s="1115"/>
      <c r="Y20" s="3487"/>
      <c r="Z20" s="1105"/>
      <c r="AA20" s="1132">
        <v>1</v>
      </c>
      <c r="AB20" s="1132">
        <v>1</v>
      </c>
      <c r="AC20" s="1132">
        <v>1</v>
      </c>
    </row>
    <row r="21" spans="1:29" ht="41.4">
      <c r="A21" s="946"/>
      <c r="B21" s="1260" t="s">
        <v>958</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87"/>
      <c r="Q21" s="681" t="str">
        <f>B21</f>
        <v>基础设施水平</v>
      </c>
      <c r="R21" s="1121" t="s">
        <v>937</v>
      </c>
      <c r="S21" s="1122">
        <f>F21</f>
        <v>100</v>
      </c>
      <c r="T21" s="1121" t="s">
        <v>937</v>
      </c>
      <c r="U21" s="1122">
        <f>H21</f>
        <v>100</v>
      </c>
      <c r="V21" s="1121" t="s">
        <v>937</v>
      </c>
      <c r="W21" s="1122">
        <f>J21</f>
        <v>100</v>
      </c>
      <c r="X21" s="1115"/>
      <c r="Y21" s="3487"/>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87"/>
      <c r="Q22" s="681"/>
      <c r="R22" s="1121"/>
      <c r="S22" s="1122"/>
      <c r="T22" s="1121"/>
      <c r="U22" s="1122"/>
      <c r="V22" s="1121"/>
      <c r="W22" s="1122"/>
      <c r="X22" s="1115"/>
      <c r="Y22" s="3487"/>
      <c r="Z22" s="1105"/>
      <c r="AA22" s="1132">
        <v>1</v>
      </c>
      <c r="AB22" s="1132">
        <v>1</v>
      </c>
      <c r="AC22" s="1132">
        <v>1</v>
      </c>
    </row>
    <row r="23" spans="1:29" ht="82.8">
      <c r="A23" s="946"/>
      <c r="B23" s="1256" t="s">
        <v>959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87"/>
      <c r="Q23" s="681" t="str">
        <f>B23</f>
        <v>环境质量</v>
      </c>
      <c r="R23" s="1121" t="s">
        <v>937</v>
      </c>
      <c r="S23" s="1122">
        <f>F23</f>
        <v>100</v>
      </c>
      <c r="T23" s="1121" t="s">
        <v>937</v>
      </c>
      <c r="U23" s="1122">
        <f>H23</f>
        <v>100</v>
      </c>
      <c r="V23" s="1121" t="s">
        <v>937</v>
      </c>
      <c r="W23" s="1122">
        <f>J23</f>
        <v>100</v>
      </c>
      <c r="X23" s="1115"/>
      <c r="Y23" s="3487"/>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87"/>
      <c r="Q24" s="681"/>
      <c r="R24" s="1121"/>
      <c r="S24" s="1122"/>
      <c r="T24" s="1121"/>
      <c r="U24" s="1122"/>
      <c r="V24" s="1121"/>
      <c r="W24" s="1122"/>
      <c r="X24" s="1115"/>
      <c r="Y24" s="3487"/>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87"/>
      <c r="Q25" s="681">
        <f>B25</f>
        <v>111</v>
      </c>
      <c r="R25" s="1121" t="s">
        <v>937</v>
      </c>
      <c r="S25" s="1122">
        <f>F25</f>
        <v>100</v>
      </c>
      <c r="T25" s="1121" t="s">
        <v>937</v>
      </c>
      <c r="U25" s="1122">
        <f>H25</f>
        <v>100</v>
      </c>
      <c r="V25" s="1121" t="s">
        <v>937</v>
      </c>
      <c r="W25" s="1122">
        <f>J25</f>
        <v>100</v>
      </c>
      <c r="X25" s="1115"/>
      <c r="Y25" s="3487"/>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87"/>
      <c r="Q26" s="681">
        <f t="shared" ref="Q26:Q40" si="11">B26</f>
        <v>111</v>
      </c>
      <c r="R26" s="1121" t="s">
        <v>937</v>
      </c>
      <c r="S26" s="1122">
        <f>F26</f>
        <v>100</v>
      </c>
      <c r="T26" s="1121" t="s">
        <v>937</v>
      </c>
      <c r="U26" s="1122">
        <f>H26</f>
        <v>100</v>
      </c>
      <c r="V26" s="1121" t="s">
        <v>937</v>
      </c>
      <c r="W26" s="1122">
        <f>J26</f>
        <v>100</v>
      </c>
      <c r="X26" s="1115"/>
      <c r="Y26" s="3487"/>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87"/>
      <c r="Q27" s="1120">
        <f t="shared" si="11"/>
        <v>111</v>
      </c>
      <c r="R27" s="1116" t="s">
        <v>937</v>
      </c>
      <c r="S27" s="1117">
        <f>F27</f>
        <v>100</v>
      </c>
      <c r="T27" s="1116" t="s">
        <v>937</v>
      </c>
      <c r="U27" s="1117">
        <f>H27</f>
        <v>100</v>
      </c>
      <c r="V27" s="1116" t="s">
        <v>937</v>
      </c>
      <c r="W27" s="1117">
        <f>J27</f>
        <v>100</v>
      </c>
      <c r="X27" s="1118"/>
      <c r="Y27" s="3487"/>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87"/>
      <c r="Q28" s="681">
        <f t="shared" si="11"/>
        <v>111</v>
      </c>
      <c r="R28" s="1121" t="s">
        <v>937</v>
      </c>
      <c r="S28" s="1122">
        <f t="shared" ref="S28:S40" si="12">F28</f>
        <v>100</v>
      </c>
      <c r="T28" s="1121" t="s">
        <v>937</v>
      </c>
      <c r="U28" s="1122">
        <f t="shared" ref="U28:U40" si="13">H28</f>
        <v>100</v>
      </c>
      <c r="V28" s="1121" t="s">
        <v>937</v>
      </c>
      <c r="W28" s="1122">
        <f t="shared" ref="W28:W40" si="14">J28</f>
        <v>100</v>
      </c>
      <c r="X28" s="1115"/>
      <c r="Y28" s="3487"/>
      <c r="Z28" s="1105">
        <f t="shared" ref="Z28:Z40" si="15">Q28</f>
        <v>111</v>
      </c>
      <c r="AA28" s="1132">
        <f t="shared" si="3"/>
        <v>1</v>
      </c>
      <c r="AB28" s="1132">
        <f t="shared" si="4"/>
        <v>1</v>
      </c>
      <c r="AC28" s="1132">
        <f t="shared" si="5"/>
        <v>1</v>
      </c>
    </row>
    <row r="29" spans="1:29" ht="30">
      <c r="A29" s="1313" t="s">
        <v>965</v>
      </c>
      <c r="B29" s="939" t="s">
        <v>966</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45" t="s">
        <v>968</v>
      </c>
      <c r="Q29" s="681" t="str">
        <f t="shared" si="11"/>
        <v>建筑类型</v>
      </c>
      <c r="R29" s="1121" t="s">
        <v>937</v>
      </c>
      <c r="S29" s="1122">
        <f t="shared" si="12"/>
        <v>100</v>
      </c>
      <c r="T29" s="1121" t="s">
        <v>937</v>
      </c>
      <c r="U29" s="1122">
        <f t="shared" si="13"/>
        <v>100</v>
      </c>
      <c r="V29" s="1121" t="s">
        <v>937</v>
      </c>
      <c r="W29" s="1122">
        <f t="shared" si="14"/>
        <v>100</v>
      </c>
      <c r="X29" s="1115"/>
      <c r="Y29" s="3488" t="s">
        <v>968</v>
      </c>
      <c r="Z29" s="1105" t="str">
        <f t="shared" si="15"/>
        <v>建筑类型</v>
      </c>
      <c r="AA29" s="1132">
        <f t="shared" si="3"/>
        <v>1</v>
      </c>
      <c r="AB29" s="1132">
        <f t="shared" si="4"/>
        <v>1</v>
      </c>
      <c r="AC29" s="1132">
        <f t="shared" si="5"/>
        <v>1</v>
      </c>
    </row>
    <row r="30" spans="1:29" s="907" customFormat="1" ht="15">
      <c r="A30" s="1002"/>
      <c r="B30" s="943" t="s">
        <v>969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88"/>
      <c r="Q30" s="1348" t="str">
        <f t="shared" si="11"/>
        <v>项目建筑规模</v>
      </c>
      <c r="R30" s="1123" t="s">
        <v>937</v>
      </c>
      <c r="S30" s="1124" t="e">
        <f t="shared" si="12"/>
        <v>#N/A</v>
      </c>
      <c r="T30" s="1123" t="s">
        <v>937</v>
      </c>
      <c r="U30" s="1124" t="e">
        <f t="shared" si="13"/>
        <v>#N/A</v>
      </c>
      <c r="V30" s="1123" t="s">
        <v>937</v>
      </c>
      <c r="W30" s="1124" t="e">
        <f t="shared" si="14"/>
        <v>#N/A</v>
      </c>
      <c r="X30" s="1125"/>
      <c r="Y30" s="3488"/>
      <c r="Z30" s="1133" t="str">
        <f t="shared" si="15"/>
        <v>项目建筑规模</v>
      </c>
      <c r="AA30" s="1132" t="e">
        <f t="shared" si="3"/>
        <v>#N/A</v>
      </c>
      <c r="AB30" s="1132" t="e">
        <f t="shared" si="4"/>
        <v>#N/A</v>
      </c>
      <c r="AC30" s="1132" t="e">
        <f t="shared" si="5"/>
        <v>#N/A</v>
      </c>
    </row>
    <row r="31" spans="1:29" ht="15">
      <c r="A31" s="997"/>
      <c r="B31" s="943" t="s">
        <v>970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88"/>
      <c r="Q31" s="681" t="str">
        <f t="shared" si="11"/>
        <v>建筑结构</v>
      </c>
      <c r="R31" s="1121" t="s">
        <v>937</v>
      </c>
      <c r="S31" s="1122">
        <f t="shared" si="12"/>
        <v>100</v>
      </c>
      <c r="T31" s="1121" t="s">
        <v>937</v>
      </c>
      <c r="U31" s="1122">
        <f t="shared" si="13"/>
        <v>100</v>
      </c>
      <c r="V31" s="1121" t="s">
        <v>937</v>
      </c>
      <c r="W31" s="1122">
        <f t="shared" si="14"/>
        <v>100</v>
      </c>
      <c r="X31" s="1115"/>
      <c r="Y31" s="3488"/>
      <c r="Z31" s="1105" t="str">
        <f t="shared" si="15"/>
        <v>建筑结构</v>
      </c>
      <c r="AA31" s="1132">
        <f t="shared" si="3"/>
        <v>1</v>
      </c>
      <c r="AB31" s="1132">
        <f t="shared" si="4"/>
        <v>1</v>
      </c>
      <c r="AC31" s="1132">
        <f t="shared" si="5"/>
        <v>1</v>
      </c>
    </row>
    <row r="32" spans="1:29" ht="15">
      <c r="A32" s="997"/>
      <c r="B32" s="943" t="s">
        <v>972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88"/>
      <c r="Q32" s="681" t="str">
        <f t="shared" si="11"/>
        <v>公共部分装修</v>
      </c>
      <c r="R32" s="1121" t="s">
        <v>937</v>
      </c>
      <c r="S32" s="1122">
        <f t="shared" si="12"/>
        <v>100</v>
      </c>
      <c r="T32" s="1121" t="s">
        <v>937</v>
      </c>
      <c r="U32" s="1122">
        <f t="shared" si="13"/>
        <v>100</v>
      </c>
      <c r="V32" s="1121" t="s">
        <v>937</v>
      </c>
      <c r="W32" s="1122">
        <f t="shared" si="14"/>
        <v>100</v>
      </c>
      <c r="X32" s="1115"/>
      <c r="Y32" s="3488"/>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88"/>
      <c r="Q33" s="681" t="str">
        <f t="shared" si="11"/>
        <v>成新度</v>
      </c>
      <c r="R33" s="1121" t="s">
        <v>937</v>
      </c>
      <c r="S33" s="1122" t="e">
        <f t="shared" si="12"/>
        <v>#N/A</v>
      </c>
      <c r="T33" s="1121" t="s">
        <v>937</v>
      </c>
      <c r="U33" s="1122" t="e">
        <f t="shared" si="13"/>
        <v>#N/A</v>
      </c>
      <c r="V33" s="1121" t="s">
        <v>937</v>
      </c>
      <c r="W33" s="1122" t="e">
        <f t="shared" si="14"/>
        <v>#N/A</v>
      </c>
      <c r="X33" s="1115"/>
      <c r="Y33" s="3488"/>
      <c r="Z33" s="1105" t="str">
        <f t="shared" si="15"/>
        <v>成新度</v>
      </c>
      <c r="AA33" s="1132" t="e">
        <f t="shared" si="3"/>
        <v>#N/A</v>
      </c>
      <c r="AB33" s="1132" t="e">
        <f t="shared" si="4"/>
        <v>#N/A</v>
      </c>
      <c r="AC33" s="1132" t="e">
        <f t="shared" si="5"/>
        <v>#N/A</v>
      </c>
    </row>
    <row r="34" spans="1:29" s="905" customFormat="1" ht="15">
      <c r="A34" s="999"/>
      <c r="B34" s="943" t="s">
        <v>975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88"/>
      <c r="Q34" s="1120" t="str">
        <f t="shared" si="11"/>
        <v>物业管理</v>
      </c>
      <c r="R34" s="1116" t="s">
        <v>937</v>
      </c>
      <c r="S34" s="1117">
        <f t="shared" si="12"/>
        <v>100</v>
      </c>
      <c r="T34" s="1116" t="s">
        <v>937</v>
      </c>
      <c r="U34" s="1117">
        <f t="shared" si="13"/>
        <v>100</v>
      </c>
      <c r="V34" s="1116" t="s">
        <v>937</v>
      </c>
      <c r="W34" s="1117">
        <f t="shared" si="14"/>
        <v>100</v>
      </c>
      <c r="X34" s="1118"/>
      <c r="Y34" s="3488"/>
      <c r="Z34" s="1131" t="str">
        <f t="shared" si="15"/>
        <v>物业管理</v>
      </c>
      <c r="AA34" s="1130">
        <f t="shared" si="3"/>
        <v>1</v>
      </c>
      <c r="AB34" s="1130">
        <f t="shared" si="4"/>
        <v>1</v>
      </c>
      <c r="AC34" s="1130">
        <f t="shared" si="5"/>
        <v>1</v>
      </c>
    </row>
    <row r="35" spans="1:29" ht="15">
      <c r="A35" s="997"/>
      <c r="B35" s="943" t="s">
        <v>978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88" t="s">
        <v>968</v>
      </c>
      <c r="Q35" s="681" t="str">
        <f t="shared" si="11"/>
        <v>市政基础设施</v>
      </c>
      <c r="R35" s="1121" t="s">
        <v>937</v>
      </c>
      <c r="S35" s="1122">
        <f t="shared" si="12"/>
        <v>100</v>
      </c>
      <c r="T35" s="1121" t="s">
        <v>937</v>
      </c>
      <c r="U35" s="1122">
        <f t="shared" si="13"/>
        <v>100</v>
      </c>
      <c r="V35" s="1121" t="s">
        <v>937</v>
      </c>
      <c r="W35" s="1122">
        <f t="shared" si="14"/>
        <v>100</v>
      </c>
      <c r="X35" s="1115"/>
      <c r="Y35" s="3488" t="s">
        <v>968</v>
      </c>
      <c r="Z35" s="1105" t="str">
        <f t="shared" si="15"/>
        <v>市政基础设施</v>
      </c>
      <c r="AA35" s="1132">
        <f t="shared" si="3"/>
        <v>1</v>
      </c>
      <c r="AB35" s="1132">
        <f t="shared" si="4"/>
        <v>1</v>
      </c>
      <c r="AC35" s="1132">
        <f t="shared" si="5"/>
        <v>1</v>
      </c>
    </row>
    <row r="36" spans="1:29" ht="15">
      <c r="A36" s="997"/>
      <c r="B36" s="943" t="s">
        <v>982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88"/>
      <c r="Q36" s="681" t="str">
        <f t="shared" si="11"/>
        <v>内部装修</v>
      </c>
      <c r="R36" s="1121" t="s">
        <v>937</v>
      </c>
      <c r="S36" s="1122">
        <f t="shared" si="12"/>
        <v>100</v>
      </c>
      <c r="T36" s="1121" t="s">
        <v>937</v>
      </c>
      <c r="U36" s="1122">
        <f t="shared" si="13"/>
        <v>100</v>
      </c>
      <c r="V36" s="1121" t="s">
        <v>937</v>
      </c>
      <c r="W36" s="1122">
        <f t="shared" si="14"/>
        <v>100</v>
      </c>
      <c r="X36" s="1115"/>
      <c r="Y36" s="3488"/>
      <c r="Z36" s="1105" t="str">
        <f t="shared" si="15"/>
        <v>内部装修</v>
      </c>
      <c r="AA36" s="1132">
        <f t="shared" si="3"/>
        <v>1</v>
      </c>
      <c r="AB36" s="1132">
        <f t="shared" si="4"/>
        <v>1</v>
      </c>
      <c r="AC36" s="1132">
        <f t="shared" si="5"/>
        <v>1</v>
      </c>
    </row>
    <row r="37" spans="1:29" ht="15">
      <c r="A37" s="997"/>
      <c r="B37" s="943" t="s">
        <v>1633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88"/>
      <c r="Q37" s="681" t="str">
        <f t="shared" si="11"/>
        <v>内部装修状况</v>
      </c>
      <c r="R37" s="1121" t="s">
        <v>937</v>
      </c>
      <c r="S37" s="1122">
        <f t="shared" si="12"/>
        <v>100</v>
      </c>
      <c r="T37" s="1121" t="s">
        <v>937</v>
      </c>
      <c r="U37" s="1122">
        <f t="shared" si="13"/>
        <v>100</v>
      </c>
      <c r="V37" s="1121" t="s">
        <v>937</v>
      </c>
      <c r="W37" s="1122">
        <f t="shared" si="14"/>
        <v>100</v>
      </c>
      <c r="X37" s="1115"/>
      <c r="Y37" s="3488"/>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88"/>
      <c r="Q38" s="1348">
        <f t="shared" si="11"/>
        <v>111</v>
      </c>
      <c r="R38" s="1123" t="s">
        <v>937</v>
      </c>
      <c r="S38" s="1124">
        <f t="shared" si="12"/>
        <v>100</v>
      </c>
      <c r="T38" s="1123" t="s">
        <v>937</v>
      </c>
      <c r="U38" s="1124">
        <f t="shared" si="13"/>
        <v>100</v>
      </c>
      <c r="V38" s="1123" t="s">
        <v>937</v>
      </c>
      <c r="W38" s="1124">
        <f t="shared" si="14"/>
        <v>100</v>
      </c>
      <c r="X38" s="1125"/>
      <c r="Y38" s="3488"/>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88"/>
      <c r="Q39" s="681">
        <f t="shared" si="11"/>
        <v>111</v>
      </c>
      <c r="R39" s="1121" t="s">
        <v>937</v>
      </c>
      <c r="S39" s="1122">
        <f t="shared" si="12"/>
        <v>100</v>
      </c>
      <c r="T39" s="1121" t="s">
        <v>937</v>
      </c>
      <c r="U39" s="1122">
        <f t="shared" si="13"/>
        <v>100</v>
      </c>
      <c r="V39" s="1121" t="s">
        <v>937</v>
      </c>
      <c r="W39" s="1122">
        <f t="shared" si="14"/>
        <v>100</v>
      </c>
      <c r="X39" s="1115"/>
      <c r="Y39" s="3488"/>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89"/>
      <c r="Q40" s="681">
        <f t="shared" si="11"/>
        <v>111</v>
      </c>
      <c r="R40" s="1121" t="s">
        <v>937</v>
      </c>
      <c r="S40" s="1122">
        <f t="shared" si="12"/>
        <v>100</v>
      </c>
      <c r="T40" s="1121" t="s">
        <v>937</v>
      </c>
      <c r="U40" s="1122">
        <f t="shared" si="13"/>
        <v>100</v>
      </c>
      <c r="V40" s="1121" t="s">
        <v>937</v>
      </c>
      <c r="W40" s="1122">
        <f t="shared" si="14"/>
        <v>100</v>
      </c>
      <c r="X40" s="1115"/>
      <c r="Y40" s="3489"/>
      <c r="Z40" s="1105">
        <f t="shared" si="15"/>
        <v>111</v>
      </c>
      <c r="AA40" s="1132">
        <f t="shared" si="3"/>
        <v>1</v>
      </c>
      <c r="AB40" s="1132">
        <f t="shared" si="4"/>
        <v>1</v>
      </c>
      <c r="AC40" s="1132">
        <f t="shared" si="5"/>
        <v>1</v>
      </c>
    </row>
    <row r="41" spans="1:29" ht="14.4">
      <c r="A41" s="1004" t="s">
        <v>986</v>
      </c>
      <c r="B41" s="1323"/>
      <c r="C41" s="1324" t="s">
        <v>124</v>
      </c>
      <c r="D41" s="1325"/>
      <c r="E41" s="1326"/>
      <c r="F41" s="1327"/>
      <c r="G41" s="1328"/>
      <c r="H41" s="1329"/>
      <c r="I41" s="1326"/>
      <c r="J41" s="1329"/>
      <c r="K41" s="1096"/>
      <c r="L41" s="1438"/>
      <c r="M41" s="1056"/>
      <c r="N41" s="1426"/>
      <c r="O41" s="1056"/>
      <c r="P41" s="3473" t="str">
        <f>A41</f>
        <v>成交单价（元/平方米）</v>
      </c>
      <c r="Q41" s="3473"/>
      <c r="R41" s="3474">
        <f>E41</f>
        <v>0</v>
      </c>
      <c r="S41" s="3474"/>
      <c r="T41" s="3474">
        <f>G41</f>
        <v>0</v>
      </c>
      <c r="U41" s="3474"/>
      <c r="V41" s="3474">
        <f>I41</f>
        <v>0</v>
      </c>
      <c r="W41" s="3474"/>
      <c r="X41" s="1061"/>
      <c r="Y41" s="1134"/>
      <c r="Z41" s="1061"/>
      <c r="AA41" s="1061"/>
      <c r="AB41" s="1061"/>
      <c r="AC41" s="1061"/>
    </row>
    <row r="42" spans="1:29" ht="14.4">
      <c r="A42" s="1012" t="s">
        <v>987</v>
      </c>
      <c r="B42" s="1330"/>
      <c r="C42" s="1331" t="e">
        <f>R43</f>
        <v>#DIV/0!</v>
      </c>
      <c r="D42" s="1015" t="s">
        <v>988</v>
      </c>
      <c r="E42" s="1332" t="e">
        <f>R42</f>
        <v>#DIV/0!</v>
      </c>
      <c r="F42" s="1016"/>
      <c r="G42" s="1331" t="e">
        <f>T42</f>
        <v>#DIV/0!</v>
      </c>
      <c r="H42" s="1016"/>
      <c r="I42" s="1332" t="e">
        <f>V42</f>
        <v>#DIV/0!</v>
      </c>
      <c r="J42" s="1016"/>
      <c r="K42" s="1098">
        <f>F42+H42+J42</f>
        <v>0</v>
      </c>
      <c r="L42" s="1438"/>
      <c r="M42" s="1056"/>
      <c r="N42" s="1426"/>
      <c r="O42" s="1056"/>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061"/>
      <c r="Y42" s="1061"/>
      <c r="Z42" s="1061"/>
      <c r="AA42" s="1061"/>
      <c r="AB42" s="1061"/>
      <c r="AC42" s="1061"/>
    </row>
    <row r="43" spans="1:29" ht="14.4">
      <c r="A43" s="1018" t="s">
        <v>989</v>
      </c>
      <c r="B43" s="1019"/>
      <c r="C43" s="1333" t="e">
        <f>R43</f>
        <v>#DIV/0!</v>
      </c>
      <c r="D43" s="1333"/>
      <c r="E43" s="1333"/>
      <c r="F43" s="1333"/>
      <c r="G43" s="1333"/>
      <c r="H43" s="1333"/>
      <c r="I43" s="1333"/>
      <c r="J43" s="1333"/>
      <c r="K43" s="1099"/>
      <c r="L43" s="1438"/>
      <c r="M43" s="1056"/>
      <c r="N43" s="1056"/>
      <c r="O43" s="1056"/>
      <c r="P43" s="3541" t="str">
        <f>A43</f>
        <v>估价对象XX用房的比较价值（楼面单价，元/平方米）</v>
      </c>
      <c r="Q43" s="3542"/>
      <c r="R43" s="3543" t="e">
        <f>IF(F1="售价",ROUND(IF(D42="简单平均",AVERAGE(R42:V42),R42*F42+T42*H42+V42*J42),0),ROUND(IF(D42="简单平均",AVERAGE(R42:V42),R42*F42+T42*H42+V42*J42),1))</f>
        <v>#DIV/0!</v>
      </c>
      <c r="S43" s="3543"/>
      <c r="T43" s="3543"/>
      <c r="U43" s="3543"/>
      <c r="V43" s="3543"/>
      <c r="W43" s="354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993</v>
      </c>
      <c r="B51" s="1061"/>
      <c r="C51" s="1062"/>
      <c r="D51" s="1062"/>
      <c r="E51" s="1062"/>
      <c r="F51" s="1063"/>
      <c r="G51" s="1063"/>
      <c r="H51" s="1062"/>
      <c r="I51" s="1062"/>
      <c r="J51" s="1062"/>
      <c r="K51" s="1279"/>
      <c r="L51" s="1280"/>
      <c r="M51" s="1113"/>
      <c r="N51" s="1113"/>
      <c r="O51" s="1113"/>
      <c r="P51" s="1441"/>
      <c r="Q51" s="1443"/>
    </row>
    <row r="52" spans="1:17" s="910" customFormat="1" ht="14.4">
      <c r="A52" s="1335" t="s">
        <v>935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994</v>
      </c>
      <c r="B54" s="1142"/>
      <c r="C54" s="1143"/>
      <c r="D54" s="1144"/>
      <c r="E54" s="1144"/>
      <c r="F54" s="1144"/>
      <c r="G54" s="1144"/>
      <c r="H54" s="1144"/>
      <c r="I54" s="1144"/>
      <c r="J54" s="1144"/>
      <c r="K54" s="1144"/>
      <c r="L54" s="1144"/>
      <c r="M54" s="1192"/>
      <c r="N54" s="1444"/>
      <c r="O54" s="1445"/>
      <c r="P54" s="1443"/>
      <c r="Q54" s="1443"/>
    </row>
    <row r="55" spans="1:17" s="905" customFormat="1" ht="14.4">
      <c r="A55" s="1145" t="s">
        <v>938</v>
      </c>
      <c r="B55" s="1146"/>
      <c r="C55" s="1147" t="s">
        <v>939</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995</v>
      </c>
      <c r="B57" s="1152" t="s">
        <v>943</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947</v>
      </c>
      <c r="C59" s="1157" t="s">
        <v>996</v>
      </c>
      <c r="D59" s="1157" t="s">
        <v>997</v>
      </c>
      <c r="E59" s="1157" t="s">
        <v>998</v>
      </c>
      <c r="F59" s="1157" t="s">
        <v>999</v>
      </c>
      <c r="G59" s="1157" t="s">
        <v>1000</v>
      </c>
      <c r="H59" s="1157" t="s">
        <v>1001</v>
      </c>
      <c r="I59" s="1157" t="s">
        <v>1002</v>
      </c>
      <c r="J59" s="1157"/>
      <c r="K59" s="1206"/>
      <c r="L59" s="1207"/>
      <c r="M59" s="1208"/>
      <c r="N59" s="1448"/>
      <c r="O59" s="1448"/>
      <c r="P59" s="1449"/>
      <c r="Q59" s="1443"/>
    </row>
    <row r="60" spans="1:17">
      <c r="A60" s="1153"/>
      <c r="B60" s="1158"/>
      <c r="C60" s="1159" t="s">
        <v>1003</v>
      </c>
      <c r="D60" s="1159" t="s">
        <v>1003</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950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951</v>
      </c>
      <c r="B70" s="1152" t="s">
        <v>1632</v>
      </c>
      <c r="C70" s="1173" t="s">
        <v>1004</v>
      </c>
      <c r="D70" s="1173" t="s">
        <v>1005</v>
      </c>
      <c r="E70" s="1173" t="s">
        <v>1006</v>
      </c>
      <c r="F70" s="1173" t="s">
        <v>1007</v>
      </c>
      <c r="G70" s="1173" t="s">
        <v>1008</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956</v>
      </c>
      <c r="C72" s="1175" t="s">
        <v>1004</v>
      </c>
      <c r="D72" s="1175" t="s">
        <v>1005</v>
      </c>
      <c r="E72" s="1175" t="s">
        <v>1006</v>
      </c>
      <c r="F72" s="1175" t="s">
        <v>1007</v>
      </c>
      <c r="G72" s="1175" t="s">
        <v>1008</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957</v>
      </c>
      <c r="C74" s="1175" t="s">
        <v>1004</v>
      </c>
      <c r="D74" s="1175" t="s">
        <v>1005</v>
      </c>
      <c r="E74" s="1175" t="s">
        <v>1006</v>
      </c>
      <c r="F74" s="1175" t="s">
        <v>1007</v>
      </c>
      <c r="G74" s="1175" t="s">
        <v>1008</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958</v>
      </c>
      <c r="C76" s="1180" t="s">
        <v>1009</v>
      </c>
      <c r="D76" s="1180" t="s">
        <v>1010</v>
      </c>
      <c r="E76" s="1180" t="s">
        <v>1011</v>
      </c>
      <c r="F76" s="1180" t="s">
        <v>1012</v>
      </c>
      <c r="G76" s="1180" t="s">
        <v>1013</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959</v>
      </c>
      <c r="C78" s="1175" t="s">
        <v>1004</v>
      </c>
      <c r="D78" s="1175" t="s">
        <v>1005</v>
      </c>
      <c r="E78" s="1175" t="s">
        <v>1006</v>
      </c>
      <c r="F78" s="1175" t="s">
        <v>1007</v>
      </c>
      <c r="G78" s="1175" t="s">
        <v>1008</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965</v>
      </c>
      <c r="B88" s="1152" t="s">
        <v>966</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969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970</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972</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975</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978</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982</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1634</v>
      </c>
      <c r="C106" s="1175" t="s">
        <v>1004</v>
      </c>
      <c r="D106" s="1175" t="s">
        <v>1005</v>
      </c>
      <c r="E106" s="1175" t="s">
        <v>1006</v>
      </c>
      <c r="F106" s="1175" t="s">
        <v>1007</v>
      </c>
      <c r="G106" s="1175" t="s">
        <v>1008</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1635</v>
      </c>
      <c r="B1" s="1285"/>
      <c r="C1" s="1286" t="s">
        <v>915</v>
      </c>
      <c r="D1" s="1287"/>
      <c r="E1" s="1363"/>
      <c r="F1" s="1289"/>
      <c r="G1" s="1364" t="s">
        <v>917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918</v>
      </c>
      <c r="B2" s="1292" t="e">
        <f ca="1">IF(C2="——",IF(B37="元/平方米",ROUND(C39*D3/10000,0),ROUND(F3*C39/10000,0)),IF(B37="元/平方米",ROUND(C39*D3/10000,0),ROUND(F3*C39/10000,0))-D2)</f>
        <v>#DIV/0!</v>
      </c>
      <c r="C2" s="1293"/>
      <c r="D2" s="1250" t="e">
        <f ca="1">SUMIF(INDIRECT("'"&amp;F2&amp;"'"&amp;"!A:A"),"承租人权益价值",INDIRECT("'"&amp;F2&amp;"'"&amp;"!c:c"))</f>
        <v>#REF!</v>
      </c>
      <c r="E2" s="1294" t="s">
        <v>919</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920</v>
      </c>
      <c r="B3" s="922" t="e">
        <f ca="1">IF(AND(C2="——",B37="元/平方米"),C39,ROUND(B2*10000/D3,0))</f>
        <v>#DIV/0!</v>
      </c>
      <c r="C3" s="1296" t="s">
        <v>921</v>
      </c>
      <c r="D3" s="1297">
        <f>SUMIF('数据-汇总表'!$C19:$C33,D1,'数据-汇总表'!$E19:$E33)</f>
        <v>0</v>
      </c>
      <c r="E3" s="1296" t="s">
        <v>1636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922</v>
      </c>
      <c r="B4" s="925"/>
      <c r="C4" s="3495" t="s">
        <v>923</v>
      </c>
      <c r="D4" s="3496"/>
      <c r="E4" s="3497" t="s">
        <v>924</v>
      </c>
      <c r="F4" s="3498"/>
      <c r="G4" s="3495" t="s">
        <v>925</v>
      </c>
      <c r="H4" s="3496"/>
      <c r="I4" s="3495" t="s">
        <v>926</v>
      </c>
      <c r="J4" s="3496"/>
      <c r="K4" s="1071" t="s">
        <v>927</v>
      </c>
      <c r="L4" s="1072"/>
      <c r="M4" s="1073"/>
      <c r="N4" s="1073"/>
      <c r="O4" s="1073"/>
      <c r="P4" s="3535" t="s">
        <v>928</v>
      </c>
      <c r="Q4" s="3536"/>
      <c r="R4" s="3539" t="s">
        <v>924</v>
      </c>
      <c r="S4" s="3540"/>
      <c r="T4" s="3539" t="s">
        <v>925</v>
      </c>
      <c r="U4" s="3540"/>
      <c r="V4" s="3471" t="s">
        <v>926</v>
      </c>
      <c r="W4" s="3471"/>
      <c r="X4" s="1115"/>
      <c r="Y4" s="3539" t="s">
        <v>928</v>
      </c>
      <c r="Z4" s="3540"/>
      <c r="AA4" s="3534" t="s">
        <v>924</v>
      </c>
      <c r="AB4" s="3453" t="s">
        <v>925</v>
      </c>
      <c r="AC4" s="3534" t="s">
        <v>926</v>
      </c>
    </row>
    <row r="5" spans="1:29">
      <c r="A5" s="926"/>
      <c r="B5" s="927"/>
      <c r="C5" s="3499" t="s">
        <v>929</v>
      </c>
      <c r="D5" s="3500"/>
      <c r="E5" s="3544" t="s">
        <v>1593</v>
      </c>
      <c r="F5" s="3502"/>
      <c r="G5" s="3499" t="s">
        <v>1594</v>
      </c>
      <c r="H5" s="3500"/>
      <c r="I5" s="3499" t="s">
        <v>1595</v>
      </c>
      <c r="J5" s="3500"/>
      <c r="K5" s="1071"/>
      <c r="L5" s="1072"/>
      <c r="M5" s="1073"/>
      <c r="N5" s="1073"/>
      <c r="O5" s="1073"/>
      <c r="P5" s="3537"/>
      <c r="Q5" s="3461"/>
      <c r="R5" s="3466"/>
      <c r="S5" s="3467"/>
      <c r="T5" s="3466"/>
      <c r="U5" s="3467"/>
      <c r="V5" s="3471"/>
      <c r="W5" s="3471"/>
      <c r="X5" s="1115"/>
      <c r="Y5" s="3466"/>
      <c r="Z5" s="3467"/>
      <c r="AA5" s="3453"/>
      <c r="AB5" s="3453"/>
      <c r="AC5" s="3453"/>
    </row>
    <row r="6" spans="1:29" ht="14.4">
      <c r="A6" s="928"/>
      <c r="B6" s="929"/>
      <c r="C6" s="3490" t="s">
        <v>933</v>
      </c>
      <c r="D6" s="3491"/>
      <c r="E6" s="3492" t="s">
        <v>933</v>
      </c>
      <c r="F6" s="3493"/>
      <c r="G6" s="3490" t="s">
        <v>933</v>
      </c>
      <c r="H6" s="3491"/>
      <c r="I6" s="3490" t="s">
        <v>933</v>
      </c>
      <c r="J6" s="3491"/>
      <c r="K6" s="1071" t="s">
        <v>934</v>
      </c>
      <c r="L6" s="1072"/>
      <c r="M6" s="1073"/>
      <c r="N6" s="1073"/>
      <c r="O6" s="1073"/>
      <c r="P6" s="3538"/>
      <c r="Q6" s="3463"/>
      <c r="R6" s="3466"/>
      <c r="S6" s="3467"/>
      <c r="T6" s="3468"/>
      <c r="U6" s="3469"/>
      <c r="V6" s="3471"/>
      <c r="W6" s="3471"/>
      <c r="X6" s="1115"/>
      <c r="Y6" s="3468"/>
      <c r="Z6" s="3469"/>
      <c r="AA6" s="3454"/>
      <c r="AB6" s="3454"/>
      <c r="AC6" s="3454"/>
    </row>
    <row r="7" spans="1:29" s="905" customFormat="1" ht="14.4">
      <c r="A7" s="930" t="s">
        <v>935</v>
      </c>
      <c r="B7" s="931"/>
      <c r="C7" s="932">
        <f>'数据-取费表'!B2</f>
        <v>44770</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78" t="s">
        <v>936</v>
      </c>
      <c r="Q7" s="3494"/>
      <c r="R7" s="1116" t="s">
        <v>937</v>
      </c>
      <c r="S7" s="1117">
        <f t="shared" ref="S7:S14" si="0">F7</f>
        <v>0</v>
      </c>
      <c r="T7" s="1116" t="s">
        <v>937</v>
      </c>
      <c r="U7" s="1117">
        <f t="shared" ref="U7:U14" si="1">H7</f>
        <v>0</v>
      </c>
      <c r="V7" s="1116" t="s">
        <v>937</v>
      </c>
      <c r="W7" s="1117">
        <f t="shared" ref="W7:W14" si="2">J7</f>
        <v>0</v>
      </c>
      <c r="X7" s="1118"/>
      <c r="Y7" s="3478" t="s">
        <v>936</v>
      </c>
      <c r="Z7" s="3479"/>
      <c r="AA7" s="1130" t="e">
        <f>D7/F7</f>
        <v>#DIV/0!</v>
      </c>
      <c r="AB7" s="1130" t="e">
        <f>D7/H7</f>
        <v>#DIV/0!</v>
      </c>
      <c r="AC7" s="1130" t="e">
        <f>D7/J7</f>
        <v>#DIV/0!</v>
      </c>
    </row>
    <row r="8" spans="1:29" s="905" customFormat="1" ht="14.4">
      <c r="A8" s="930" t="s">
        <v>938</v>
      </c>
      <c r="B8" s="931"/>
      <c r="C8" s="937" t="s">
        <v>939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36" si="3">D8/F8</f>
        <v>#DIV/0!</v>
      </c>
      <c r="AB8" s="1130" t="e">
        <f t="shared" ref="AB8:AB36" si="4">D8/H8</f>
        <v>#DIV/0!</v>
      </c>
      <c r="AC8" s="1130" t="e">
        <f t="shared" ref="AC8:AC36" si="5">D8/J8</f>
        <v>#DIV/0!</v>
      </c>
    </row>
    <row r="9" spans="1:29" s="905" customFormat="1" ht="14.4">
      <c r="A9" s="1365" t="s">
        <v>942</v>
      </c>
      <c r="B9" s="1366" t="s">
        <v>943</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73" t="s">
        <v>945</v>
      </c>
      <c r="Q9" s="1120" t="str">
        <f t="shared" ref="Q9:Q14" si="6">B9</f>
        <v>用途</v>
      </c>
      <c r="R9" s="1116" t="s">
        <v>937</v>
      </c>
      <c r="S9" s="1117">
        <f t="shared" si="0"/>
        <v>100</v>
      </c>
      <c r="T9" s="1116" t="s">
        <v>937</v>
      </c>
      <c r="U9" s="1117">
        <f t="shared" si="1"/>
        <v>100</v>
      </c>
      <c r="V9" s="1116" t="s">
        <v>937</v>
      </c>
      <c r="W9" s="1117">
        <f t="shared" si="2"/>
        <v>100</v>
      </c>
      <c r="X9" s="1118"/>
      <c r="Y9" s="3364" t="s">
        <v>946</v>
      </c>
      <c r="Z9" s="1131" t="str">
        <f t="shared" ref="Z9:Z14" si="7">Q9</f>
        <v>用途</v>
      </c>
      <c r="AA9" s="1130">
        <f t="shared" si="3"/>
        <v>1</v>
      </c>
      <c r="AB9" s="1130">
        <f t="shared" si="4"/>
        <v>1</v>
      </c>
      <c r="AC9" s="1130">
        <f t="shared" si="5"/>
        <v>1</v>
      </c>
    </row>
    <row r="10" spans="1:29" s="906" customFormat="1" ht="28.8">
      <c r="A10" s="1368"/>
      <c r="B10" s="1369" t="s">
        <v>947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73"/>
      <c r="Q10" s="1120" t="str">
        <f t="shared" si="6"/>
        <v>土地使用年限（年）</v>
      </c>
      <c r="R10" s="1116" t="s">
        <v>937</v>
      </c>
      <c r="S10" s="1117">
        <f t="shared" si="0"/>
        <v>100</v>
      </c>
      <c r="T10" s="1116" t="s">
        <v>937</v>
      </c>
      <c r="U10" s="1117">
        <f t="shared" si="1"/>
        <v>100</v>
      </c>
      <c r="V10" s="1116" t="s">
        <v>937</v>
      </c>
      <c r="W10" s="1117">
        <f t="shared" si="2"/>
        <v>100</v>
      </c>
      <c r="X10" s="1118"/>
      <c r="Y10" s="3364"/>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73"/>
      <c r="Q11" s="1120">
        <f t="shared" si="6"/>
        <v>111</v>
      </c>
      <c r="R11" s="1116" t="s">
        <v>937</v>
      </c>
      <c r="S11" s="1117">
        <f t="shared" si="0"/>
        <v>100</v>
      </c>
      <c r="T11" s="1116" t="s">
        <v>937</v>
      </c>
      <c r="U11" s="1117">
        <f t="shared" si="1"/>
        <v>100</v>
      </c>
      <c r="V11" s="1116" t="s">
        <v>937</v>
      </c>
      <c r="W11" s="1117">
        <f t="shared" si="2"/>
        <v>100</v>
      </c>
      <c r="X11" s="1118"/>
      <c r="Y11" s="3364"/>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73"/>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73"/>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29" ht="96.6">
      <c r="A14" s="924" t="s">
        <v>951</v>
      </c>
      <c r="B14" s="961" t="s">
        <v>956</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86" t="s">
        <v>953</v>
      </c>
      <c r="Q14" s="681" t="str">
        <f t="shared" si="6"/>
        <v>交通便捷度</v>
      </c>
      <c r="R14" s="1121" t="s">
        <v>937</v>
      </c>
      <c r="S14" s="1122">
        <f t="shared" si="0"/>
        <v>100</v>
      </c>
      <c r="T14" s="1121" t="s">
        <v>937</v>
      </c>
      <c r="U14" s="1122">
        <f t="shared" si="1"/>
        <v>100</v>
      </c>
      <c r="V14" s="1121" t="s">
        <v>937</v>
      </c>
      <c r="W14" s="1122">
        <f t="shared" si="2"/>
        <v>100</v>
      </c>
      <c r="X14" s="1115"/>
      <c r="Y14" s="3486" t="s">
        <v>953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87"/>
      <c r="Q15" s="681"/>
      <c r="R15" s="1121"/>
      <c r="S15" s="1122"/>
      <c r="T15" s="1121"/>
      <c r="U15" s="1122"/>
      <c r="V15" s="1121"/>
      <c r="W15" s="1122"/>
      <c r="X15" s="1115"/>
      <c r="Y15" s="3487"/>
      <c r="Z15" s="1105"/>
      <c r="AA15" s="1132">
        <v>1</v>
      </c>
      <c r="AB15" s="1132">
        <v>1</v>
      </c>
      <c r="AC15" s="1132">
        <v>1</v>
      </c>
    </row>
    <row r="16" spans="1:29" ht="41.4">
      <c r="A16" s="926"/>
      <c r="B16" s="970" t="s">
        <v>957</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87"/>
      <c r="Q16" s="681" t="str">
        <f>B16</f>
        <v>公共配套设施</v>
      </c>
      <c r="R16" s="1121" t="s">
        <v>937</v>
      </c>
      <c r="S16" s="1122">
        <f>F16</f>
        <v>100</v>
      </c>
      <c r="T16" s="1121" t="s">
        <v>937</v>
      </c>
      <c r="U16" s="1122">
        <f>H16</f>
        <v>100</v>
      </c>
      <c r="V16" s="1121" t="s">
        <v>937</v>
      </c>
      <c r="W16" s="1122">
        <f>J16</f>
        <v>100</v>
      </c>
      <c r="X16" s="1115"/>
      <c r="Y16" s="3487"/>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87"/>
      <c r="Q17" s="681"/>
      <c r="R17" s="1121"/>
      <c r="S17" s="1122"/>
      <c r="T17" s="1121"/>
      <c r="U17" s="1122"/>
      <c r="V17" s="1121"/>
      <c r="W17" s="1122"/>
      <c r="X17" s="1115"/>
      <c r="Y17" s="3487"/>
      <c r="Z17" s="1105"/>
      <c r="AA17" s="1132">
        <v>1</v>
      </c>
      <c r="AB17" s="1132">
        <v>1</v>
      </c>
      <c r="AC17" s="1132">
        <v>1</v>
      </c>
    </row>
    <row r="18" spans="1:29" ht="41.4">
      <c r="A18" s="926"/>
      <c r="B18" s="977" t="s">
        <v>958</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87"/>
      <c r="Q18" s="681" t="str">
        <f>B18</f>
        <v>基础设施水平</v>
      </c>
      <c r="R18" s="1121" t="s">
        <v>937</v>
      </c>
      <c r="S18" s="1122">
        <f>F18</f>
        <v>100</v>
      </c>
      <c r="T18" s="1121" t="s">
        <v>937</v>
      </c>
      <c r="U18" s="1122">
        <f>H18</f>
        <v>100</v>
      </c>
      <c r="V18" s="1121" t="s">
        <v>937</v>
      </c>
      <c r="W18" s="1122">
        <f>J18</f>
        <v>100</v>
      </c>
      <c r="X18" s="1115"/>
      <c r="Y18" s="3487"/>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87"/>
      <c r="Q19" s="681"/>
      <c r="R19" s="1121"/>
      <c r="S19" s="1122"/>
      <c r="T19" s="1121"/>
      <c r="U19" s="1122"/>
      <c r="V19" s="1121"/>
      <c r="W19" s="1122"/>
      <c r="X19" s="1115"/>
      <c r="Y19" s="3487"/>
      <c r="Z19" s="1105"/>
      <c r="AA19" s="1132">
        <v>1</v>
      </c>
      <c r="AB19" s="1132">
        <v>1</v>
      </c>
      <c r="AC19" s="1132">
        <v>1</v>
      </c>
    </row>
    <row r="20" spans="1:29" ht="55.2">
      <c r="A20" s="926"/>
      <c r="B20" s="970" t="s">
        <v>1597</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87"/>
      <c r="Q20" s="681" t="str">
        <f>B20</f>
        <v>自然及人文环境</v>
      </c>
      <c r="R20" s="1121" t="s">
        <v>937</v>
      </c>
      <c r="S20" s="1122">
        <f>F20</f>
        <v>100</v>
      </c>
      <c r="T20" s="1121" t="s">
        <v>937</v>
      </c>
      <c r="U20" s="1122">
        <f>H20</f>
        <v>100</v>
      </c>
      <c r="V20" s="1121" t="s">
        <v>937</v>
      </c>
      <c r="W20" s="1122">
        <f>J20</f>
        <v>100</v>
      </c>
      <c r="X20" s="1115"/>
      <c r="Y20" s="3487"/>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87"/>
      <c r="Q21" s="681"/>
      <c r="R21" s="1121"/>
      <c r="S21" s="1122"/>
      <c r="T21" s="1121"/>
      <c r="U21" s="1122"/>
      <c r="V21" s="1121"/>
      <c r="W21" s="1122"/>
      <c r="X21" s="1115"/>
      <c r="Y21" s="3487"/>
      <c r="Z21" s="1105"/>
      <c r="AA21" s="1132">
        <v>1</v>
      </c>
      <c r="AB21" s="1132">
        <v>1</v>
      </c>
      <c r="AC21" s="1132">
        <v>1</v>
      </c>
    </row>
    <row r="22" spans="1:29" ht="15">
      <c r="A22" s="926"/>
      <c r="B22" s="970" t="s">
        <v>961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87"/>
      <c r="Q22" s="681" t="str">
        <f>B22</f>
        <v>楼层</v>
      </c>
      <c r="R22" s="1121" t="s">
        <v>937</v>
      </c>
      <c r="S22" s="1122">
        <f>F22</f>
        <v>100</v>
      </c>
      <c r="T22" s="1121" t="s">
        <v>937</v>
      </c>
      <c r="U22" s="1122">
        <f>H22</f>
        <v>100</v>
      </c>
      <c r="V22" s="1121" t="s">
        <v>937</v>
      </c>
      <c r="W22" s="1122">
        <f>J22</f>
        <v>100</v>
      </c>
      <c r="X22" s="1115"/>
      <c r="Y22" s="3487"/>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87"/>
      <c r="Q23" s="681">
        <f>B23</f>
        <v>111</v>
      </c>
      <c r="R23" s="1121" t="s">
        <v>937</v>
      </c>
      <c r="S23" s="1122">
        <f>F23</f>
        <v>100</v>
      </c>
      <c r="T23" s="1121" t="s">
        <v>937</v>
      </c>
      <c r="U23" s="1122">
        <f>H23</f>
        <v>100</v>
      </c>
      <c r="V23" s="1121" t="s">
        <v>937</v>
      </c>
      <c r="W23" s="1122">
        <f>J23</f>
        <v>100</v>
      </c>
      <c r="X23" s="1115"/>
      <c r="Y23" s="3487"/>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87"/>
      <c r="Q24" s="681">
        <f t="shared" ref="Q24:Q36" si="11">B24</f>
        <v>111</v>
      </c>
      <c r="R24" s="1121" t="s">
        <v>937</v>
      </c>
      <c r="S24" s="1122">
        <f>F24</f>
        <v>100</v>
      </c>
      <c r="T24" s="1121" t="s">
        <v>937</v>
      </c>
      <c r="U24" s="1122">
        <f>H24</f>
        <v>100</v>
      </c>
      <c r="V24" s="1121" t="s">
        <v>937</v>
      </c>
      <c r="W24" s="1122">
        <f>J24</f>
        <v>100</v>
      </c>
      <c r="X24" s="1115"/>
      <c r="Y24" s="3487"/>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87"/>
      <c r="Q25" s="1120">
        <f t="shared" si="11"/>
        <v>111</v>
      </c>
      <c r="R25" s="1116" t="s">
        <v>937</v>
      </c>
      <c r="S25" s="1117">
        <f>F25</f>
        <v>100</v>
      </c>
      <c r="T25" s="1116" t="s">
        <v>937</v>
      </c>
      <c r="U25" s="1117">
        <f>H25</f>
        <v>100</v>
      </c>
      <c r="V25" s="1116" t="s">
        <v>937</v>
      </c>
      <c r="W25" s="1117">
        <f>J25</f>
        <v>100</v>
      </c>
      <c r="X25" s="1118"/>
      <c r="Y25" s="3487"/>
      <c r="Z25" s="1131">
        <f>Q25</f>
        <v>111</v>
      </c>
      <c r="AA25" s="1132">
        <f t="shared" si="3"/>
        <v>1</v>
      </c>
      <c r="AB25" s="1132">
        <f t="shared" si="4"/>
        <v>1</v>
      </c>
      <c r="AC25" s="1132">
        <f t="shared" si="5"/>
        <v>1</v>
      </c>
    </row>
    <row r="26" spans="1:29" ht="30">
      <c r="A26" s="1381" t="s">
        <v>965</v>
      </c>
      <c r="B26" s="1382" t="s">
        <v>1637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45" t="s">
        <v>968</v>
      </c>
      <c r="Q26" s="681" t="str">
        <f t="shared" si="11"/>
        <v>配套类型</v>
      </c>
      <c r="R26" s="1121" t="s">
        <v>937</v>
      </c>
      <c r="S26" s="1122">
        <f t="shared" ref="S26:S36" si="12">F26</f>
        <v>100</v>
      </c>
      <c r="T26" s="1121" t="s">
        <v>937</v>
      </c>
      <c r="U26" s="1122">
        <f t="shared" ref="U26:U36" si="13">H26</f>
        <v>100</v>
      </c>
      <c r="V26" s="1121" t="s">
        <v>937</v>
      </c>
      <c r="W26" s="1122">
        <f t="shared" ref="W26:W36" si="14">J26</f>
        <v>100</v>
      </c>
      <c r="X26" s="1115"/>
      <c r="Y26" s="3488" t="s">
        <v>968</v>
      </c>
      <c r="Z26" s="1105" t="str">
        <f t="shared" ref="Z26:Z36" si="15">Q26</f>
        <v>配套类型</v>
      </c>
      <c r="AA26" s="1132">
        <f t="shared" si="3"/>
        <v>1</v>
      </c>
      <c r="AB26" s="1132">
        <f t="shared" si="4"/>
        <v>1</v>
      </c>
      <c r="AC26" s="1132">
        <f t="shared" si="5"/>
        <v>1</v>
      </c>
    </row>
    <row r="27" spans="1:29" s="907" customFormat="1" ht="15">
      <c r="A27" s="1384"/>
      <c r="B27" s="983" t="s">
        <v>1638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88"/>
      <c r="Q27" s="1348" t="str">
        <f t="shared" si="11"/>
        <v>项目停车位配比</v>
      </c>
      <c r="R27" s="1123" t="s">
        <v>937</v>
      </c>
      <c r="S27" s="1124">
        <f t="shared" si="12"/>
        <v>100</v>
      </c>
      <c r="T27" s="1123" t="s">
        <v>937</v>
      </c>
      <c r="U27" s="1124">
        <f t="shared" si="13"/>
        <v>100</v>
      </c>
      <c r="V27" s="1123" t="s">
        <v>937</v>
      </c>
      <c r="W27" s="1124">
        <f t="shared" si="14"/>
        <v>100</v>
      </c>
      <c r="X27" s="1125"/>
      <c r="Y27" s="3488"/>
      <c r="Z27" s="1133" t="str">
        <f t="shared" si="15"/>
        <v>项目停车位配比</v>
      </c>
      <c r="AA27" s="1132">
        <f t="shared" si="3"/>
        <v>1</v>
      </c>
      <c r="AB27" s="1132">
        <f t="shared" si="4"/>
        <v>1</v>
      </c>
      <c r="AC27" s="1132">
        <f t="shared" si="5"/>
        <v>1</v>
      </c>
    </row>
    <row r="28" spans="1:29" ht="15">
      <c r="A28" s="1386"/>
      <c r="B28" s="983" t="s">
        <v>972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88"/>
      <c r="Q28" s="681" t="str">
        <f t="shared" si="11"/>
        <v>公共部分装修</v>
      </c>
      <c r="R28" s="1121" t="s">
        <v>937</v>
      </c>
      <c r="S28" s="1122">
        <f t="shared" si="12"/>
        <v>100</v>
      </c>
      <c r="T28" s="1121" t="s">
        <v>937</v>
      </c>
      <c r="U28" s="1122">
        <f t="shared" si="13"/>
        <v>100</v>
      </c>
      <c r="V28" s="1121" t="s">
        <v>937</v>
      </c>
      <c r="W28" s="1122">
        <f t="shared" si="14"/>
        <v>100</v>
      </c>
      <c r="X28" s="1115"/>
      <c r="Y28" s="3488"/>
      <c r="Z28" s="1105" t="str">
        <f t="shared" si="15"/>
        <v>公共部分装修</v>
      </c>
      <c r="AA28" s="1132">
        <f t="shared" si="3"/>
        <v>1</v>
      </c>
      <c r="AB28" s="1132">
        <f t="shared" si="4"/>
        <v>1</v>
      </c>
      <c r="AC28" s="1132">
        <f t="shared" si="5"/>
        <v>1</v>
      </c>
    </row>
    <row r="29" spans="1:29" ht="15">
      <c r="A29" s="1386"/>
      <c r="B29" s="983" t="s">
        <v>1639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88"/>
      <c r="Q29" s="681" t="str">
        <f t="shared" si="11"/>
        <v>成新率</v>
      </c>
      <c r="R29" s="1121" t="s">
        <v>937</v>
      </c>
      <c r="S29" s="1122" t="e">
        <f t="shared" si="12"/>
        <v>#N/A</v>
      </c>
      <c r="T29" s="1121" t="s">
        <v>937</v>
      </c>
      <c r="U29" s="1122" t="e">
        <f t="shared" si="13"/>
        <v>#N/A</v>
      </c>
      <c r="V29" s="1121" t="s">
        <v>937</v>
      </c>
      <c r="W29" s="1122" t="e">
        <f t="shared" si="14"/>
        <v>#N/A</v>
      </c>
      <c r="X29" s="1115"/>
      <c r="Y29" s="3488"/>
      <c r="Z29" s="1105" t="str">
        <f t="shared" si="15"/>
        <v>成新率</v>
      </c>
      <c r="AA29" s="1132" t="e">
        <f t="shared" si="3"/>
        <v>#N/A</v>
      </c>
      <c r="AB29" s="1132" t="e">
        <f t="shared" si="4"/>
        <v>#N/A</v>
      </c>
      <c r="AC29" s="1132" t="e">
        <f t="shared" si="5"/>
        <v>#N/A</v>
      </c>
    </row>
    <row r="30" spans="1:29" ht="15">
      <c r="A30" s="1386"/>
      <c r="B30" s="983" t="s">
        <v>1640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88"/>
      <c r="Q30" s="681" t="str">
        <f t="shared" si="11"/>
        <v>物业等级</v>
      </c>
      <c r="R30" s="1121" t="s">
        <v>937</v>
      </c>
      <c r="S30" s="1122">
        <f t="shared" si="12"/>
        <v>100</v>
      </c>
      <c r="T30" s="1121" t="s">
        <v>937</v>
      </c>
      <c r="U30" s="1122">
        <f t="shared" si="13"/>
        <v>100</v>
      </c>
      <c r="V30" s="1121" t="s">
        <v>937</v>
      </c>
      <c r="W30" s="1122">
        <f t="shared" si="14"/>
        <v>100</v>
      </c>
      <c r="X30" s="1115"/>
      <c r="Y30" s="3488"/>
      <c r="Z30" s="1105" t="str">
        <f t="shared" si="15"/>
        <v>物业等级</v>
      </c>
      <c r="AA30" s="1132">
        <f t="shared" si="3"/>
        <v>1</v>
      </c>
      <c r="AB30" s="1132">
        <f t="shared" si="4"/>
        <v>1</v>
      </c>
      <c r="AC30" s="1132">
        <f t="shared" si="5"/>
        <v>1</v>
      </c>
    </row>
    <row r="31" spans="1:29" s="905" customFormat="1" ht="15">
      <c r="A31" s="1387"/>
      <c r="B31" s="983" t="s">
        <v>1641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88"/>
      <c r="Q31" s="1120" t="str">
        <f t="shared" si="11"/>
        <v>停车位面积</v>
      </c>
      <c r="R31" s="1116" t="s">
        <v>937</v>
      </c>
      <c r="S31" s="1117" t="e">
        <f t="shared" si="12"/>
        <v>#N/A</v>
      </c>
      <c r="T31" s="1116" t="s">
        <v>937</v>
      </c>
      <c r="U31" s="1117" t="e">
        <f t="shared" si="13"/>
        <v>#N/A</v>
      </c>
      <c r="V31" s="1116" t="s">
        <v>937</v>
      </c>
      <c r="W31" s="1117" t="e">
        <f t="shared" si="14"/>
        <v>#N/A</v>
      </c>
      <c r="X31" s="1118"/>
      <c r="Y31" s="3488"/>
      <c r="Z31" s="1131" t="str">
        <f t="shared" si="15"/>
        <v>停车位面积</v>
      </c>
      <c r="AA31" s="1130" t="e">
        <f t="shared" si="3"/>
        <v>#N/A</v>
      </c>
      <c r="AB31" s="1130" t="e">
        <f t="shared" si="4"/>
        <v>#N/A</v>
      </c>
      <c r="AC31" s="1130" t="e">
        <f t="shared" si="5"/>
        <v>#N/A</v>
      </c>
    </row>
    <row r="32" spans="1:29" ht="15">
      <c r="A32" s="1386"/>
      <c r="B32" s="983" t="s">
        <v>1642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88" t="s">
        <v>968</v>
      </c>
      <c r="Q32" s="681" t="str">
        <f t="shared" si="11"/>
        <v>车位类型</v>
      </c>
      <c r="R32" s="1121" t="s">
        <v>937</v>
      </c>
      <c r="S32" s="1122">
        <f t="shared" si="12"/>
        <v>100</v>
      </c>
      <c r="T32" s="1121" t="s">
        <v>937</v>
      </c>
      <c r="U32" s="1122">
        <f t="shared" si="13"/>
        <v>100</v>
      </c>
      <c r="V32" s="1121" t="s">
        <v>937</v>
      </c>
      <c r="W32" s="1122">
        <f t="shared" si="14"/>
        <v>100</v>
      </c>
      <c r="X32" s="1115"/>
      <c r="Y32" s="3488" t="s">
        <v>968</v>
      </c>
      <c r="Z32" s="1105" t="str">
        <f t="shared" si="15"/>
        <v>车位类型</v>
      </c>
      <c r="AA32" s="1132">
        <f t="shared" si="3"/>
        <v>1</v>
      </c>
      <c r="AB32" s="1132">
        <f t="shared" si="4"/>
        <v>1</v>
      </c>
      <c r="AC32" s="1132">
        <f t="shared" si="5"/>
        <v>1</v>
      </c>
    </row>
    <row r="33" spans="1:29" ht="15">
      <c r="A33" s="1386"/>
      <c r="B33" s="983" t="s">
        <v>1643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88"/>
      <c r="Q33" s="681" t="str">
        <f t="shared" si="11"/>
        <v>是否直接入户</v>
      </c>
      <c r="R33" s="1121" t="s">
        <v>937</v>
      </c>
      <c r="S33" s="1122">
        <f t="shared" si="12"/>
        <v>100</v>
      </c>
      <c r="T33" s="1121" t="s">
        <v>937</v>
      </c>
      <c r="U33" s="1122">
        <f t="shared" si="13"/>
        <v>100</v>
      </c>
      <c r="V33" s="1121" t="s">
        <v>937</v>
      </c>
      <c r="W33" s="1122">
        <f t="shared" si="14"/>
        <v>100</v>
      </c>
      <c r="X33" s="1115"/>
      <c r="Y33" s="3488"/>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88"/>
      <c r="Q34" s="681">
        <f t="shared" si="11"/>
        <v>111</v>
      </c>
      <c r="R34" s="1121" t="s">
        <v>937</v>
      </c>
      <c r="S34" s="1122">
        <f t="shared" si="12"/>
        <v>100</v>
      </c>
      <c r="T34" s="1121" t="s">
        <v>937</v>
      </c>
      <c r="U34" s="1122">
        <f t="shared" si="13"/>
        <v>100</v>
      </c>
      <c r="V34" s="1121" t="s">
        <v>937</v>
      </c>
      <c r="W34" s="1122">
        <f t="shared" si="14"/>
        <v>100</v>
      </c>
      <c r="X34" s="1115"/>
      <c r="Y34" s="3488"/>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88"/>
      <c r="Q35" s="1348">
        <f t="shared" si="11"/>
        <v>111</v>
      </c>
      <c r="R35" s="1123" t="s">
        <v>937</v>
      </c>
      <c r="S35" s="1124">
        <f t="shared" si="12"/>
        <v>100</v>
      </c>
      <c r="T35" s="1123" t="s">
        <v>937</v>
      </c>
      <c r="U35" s="1124">
        <f t="shared" si="13"/>
        <v>100</v>
      </c>
      <c r="V35" s="1123" t="s">
        <v>937</v>
      </c>
      <c r="W35" s="1124">
        <f t="shared" si="14"/>
        <v>100</v>
      </c>
      <c r="X35" s="1125"/>
      <c r="Y35" s="3488"/>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88"/>
      <c r="Q36" s="681">
        <f t="shared" si="11"/>
        <v>111</v>
      </c>
      <c r="R36" s="1121" t="s">
        <v>937</v>
      </c>
      <c r="S36" s="1122">
        <f t="shared" si="12"/>
        <v>100</v>
      </c>
      <c r="T36" s="1121" t="s">
        <v>937</v>
      </c>
      <c r="U36" s="1122">
        <f t="shared" si="13"/>
        <v>100</v>
      </c>
      <c r="V36" s="1121" t="s">
        <v>937</v>
      </c>
      <c r="W36" s="1122">
        <f t="shared" si="14"/>
        <v>100</v>
      </c>
      <c r="X36" s="1115"/>
      <c r="Y36" s="3488"/>
      <c r="Z36" s="1105">
        <f t="shared" si="15"/>
        <v>111</v>
      </c>
      <c r="AA36" s="1132">
        <f t="shared" si="3"/>
        <v>1</v>
      </c>
      <c r="AB36" s="1132">
        <f t="shared" si="4"/>
        <v>1</v>
      </c>
      <c r="AC36" s="1132">
        <f t="shared" si="5"/>
        <v>1</v>
      </c>
    </row>
    <row r="37" spans="1:29" ht="14.4">
      <c r="A37" s="1004" t="s">
        <v>1644</v>
      </c>
      <c r="B37" s="1389" t="s">
        <v>1645</v>
      </c>
      <c r="C37" s="1324" t="s">
        <v>124</v>
      </c>
      <c r="D37" s="1325"/>
      <c r="E37" s="1326"/>
      <c r="F37" s="1327"/>
      <c r="G37" s="1328"/>
      <c r="H37" s="1329"/>
      <c r="I37" s="1326"/>
      <c r="J37" s="1329"/>
      <c r="K37" s="1398"/>
      <c r="L37" s="1097"/>
      <c r="M37" s="1021"/>
      <c r="N37" s="1073"/>
      <c r="O37" s="1021"/>
      <c r="P37" s="3473" t="str">
        <f>A37</f>
        <v>成交单价</v>
      </c>
      <c r="Q37" s="3473"/>
      <c r="R37" s="3474">
        <f>E37</f>
        <v>0</v>
      </c>
      <c r="S37" s="3474"/>
      <c r="T37" s="3474">
        <f>G37</f>
        <v>0</v>
      </c>
      <c r="U37" s="3474"/>
      <c r="V37" s="3474">
        <f>I37</f>
        <v>0</v>
      </c>
      <c r="W37" s="3474"/>
      <c r="X37" s="1061"/>
      <c r="Y37" s="1134"/>
      <c r="Z37" s="1061"/>
      <c r="AA37" s="1061"/>
      <c r="AB37" s="1061"/>
      <c r="AC37" s="1061"/>
    </row>
    <row r="38" spans="1:29" ht="14.4">
      <c r="A38" s="1012" t="s">
        <v>987</v>
      </c>
      <c r="B38" s="1330" t="str">
        <f>B37</f>
        <v>元/车位</v>
      </c>
      <c r="C38" s="1331" t="e">
        <f>R39</f>
        <v>#DIV/0!</v>
      </c>
      <c r="D38" s="1015" t="s">
        <v>988</v>
      </c>
      <c r="E38" s="1332" t="e">
        <f>R38</f>
        <v>#DIV/0!</v>
      </c>
      <c r="F38" s="1016"/>
      <c r="G38" s="1331" t="e">
        <f>T38</f>
        <v>#DIV/0!</v>
      </c>
      <c r="H38" s="1016"/>
      <c r="I38" s="1332" t="e">
        <f>V38</f>
        <v>#DIV/0!</v>
      </c>
      <c r="J38" s="1016"/>
      <c r="K38" s="1098">
        <f>F38+H38+J38</f>
        <v>0</v>
      </c>
      <c r="L38" s="1097"/>
      <c r="M38" s="1021"/>
      <c r="N38" s="1021"/>
      <c r="O38" s="1021"/>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061"/>
      <c r="Y38" s="1061"/>
      <c r="Z38" s="1061"/>
      <c r="AA38" s="1061"/>
      <c r="AB38" s="1061"/>
      <c r="AC38" s="1061"/>
    </row>
    <row r="39" spans="1:29" ht="14.4">
      <c r="A39" s="1018" t="s">
        <v>1646</v>
      </c>
      <c r="B39" s="1019"/>
      <c r="C39" s="1333" t="e">
        <f>R39</f>
        <v>#DIV/0!</v>
      </c>
      <c r="D39" s="1333"/>
      <c r="E39" s="1333"/>
      <c r="F39" s="1333"/>
      <c r="G39" s="1333"/>
      <c r="H39" s="1333"/>
      <c r="I39" s="1333"/>
      <c r="J39" s="1333"/>
      <c r="K39" s="1399"/>
      <c r="L39" s="1097"/>
      <c r="M39" s="1021"/>
      <c r="N39" s="1021"/>
      <c r="O39" s="1021"/>
      <c r="P39" s="3541" t="str">
        <f>A39</f>
        <v>估价对象XX用房的比较价值（楼面单价，元/平方米）</v>
      </c>
      <c r="Q39" s="3542"/>
      <c r="R39" s="3546" t="e">
        <f>IF(F1="售价",ROUND(IF(D38="简单平均",AVERAGE(R38:W38),R38*F38+T38*H38+V38*J38),0),ROUND(IF(D38="简单平均",AVERAGE(R38:V38),R38*F38+T38*H38+V38*J38),1))</f>
        <v>#DIV/0!</v>
      </c>
      <c r="S39" s="3546"/>
      <c r="T39" s="3546"/>
      <c r="U39" s="3546"/>
      <c r="V39" s="3546"/>
      <c r="W39" s="354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990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991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992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993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935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994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938</v>
      </c>
      <c r="B51" s="1146"/>
      <c r="C51" s="1147" t="s">
        <v>939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995</v>
      </c>
      <c r="B53" s="1152" t="s">
        <v>943</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947</v>
      </c>
      <c r="C55" s="1157" t="s">
        <v>996</v>
      </c>
      <c r="D55" s="1157" t="s">
        <v>997</v>
      </c>
      <c r="E55" s="1157" t="s">
        <v>998</v>
      </c>
      <c r="F55" s="1157" t="s">
        <v>999</v>
      </c>
      <c r="G55" s="1157" t="s">
        <v>1000</v>
      </c>
      <c r="H55" s="1157" t="s">
        <v>1001</v>
      </c>
      <c r="I55" s="1157" t="s">
        <v>1002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1003</v>
      </c>
      <c r="D56" s="1159" t="s">
        <v>1003</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951</v>
      </c>
      <c r="B63" s="1152" t="s">
        <v>956</v>
      </c>
      <c r="C63" s="1173" t="s">
        <v>1004</v>
      </c>
      <c r="D63" s="1173" t="s">
        <v>1005</v>
      </c>
      <c r="E63" s="1173" t="s">
        <v>1006</v>
      </c>
      <c r="F63" s="1173" t="s">
        <v>1007</v>
      </c>
      <c r="G63" s="1173" t="s">
        <v>1008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957</v>
      </c>
      <c r="C65" s="1175" t="s">
        <v>1004</v>
      </c>
      <c r="D65" s="1175" t="s">
        <v>1005</v>
      </c>
      <c r="E65" s="1175" t="s">
        <v>1006</v>
      </c>
      <c r="F65" s="1175" t="s">
        <v>1007</v>
      </c>
      <c r="G65" s="1175" t="s">
        <v>1008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958</v>
      </c>
      <c r="C67" s="1180" t="s">
        <v>1009</v>
      </c>
      <c r="D67" s="1180" t="s">
        <v>1010</v>
      </c>
      <c r="E67" s="1180" t="s">
        <v>1011</v>
      </c>
      <c r="F67" s="1180" t="s">
        <v>1012</v>
      </c>
      <c r="G67" s="1180" t="s">
        <v>1013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1597</v>
      </c>
      <c r="C69" s="1175" t="s">
        <v>1004</v>
      </c>
      <c r="D69" s="1175" t="s">
        <v>1005</v>
      </c>
      <c r="E69" s="1175" t="s">
        <v>1006</v>
      </c>
      <c r="F69" s="1175" t="s">
        <v>1007</v>
      </c>
      <c r="G69" s="1175" t="s">
        <v>1008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961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965</v>
      </c>
      <c r="B79" s="1152" t="s">
        <v>1647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1638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972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1639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1640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1641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1642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1643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1635</v>
      </c>
      <c r="B1" s="1285"/>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IF(C2="——",ROUND(C37*D3/10000,0),ROUND(C37*D3/10000,0)-D2)</f>
        <v>#DIV/0!</v>
      </c>
      <c r="C2" s="1293"/>
      <c r="D2" s="1250" t="e">
        <f ca="1">SUMIF(INDIRECT("'"&amp;F2&amp;"'"&amp;"!A:A"),"承租人权益价值",INDIRECT("'"&amp;F2&amp;"'"&amp;"!c:c"))</f>
        <v>#REF!</v>
      </c>
      <c r="E2" s="1294" t="s">
        <v>919</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 ca="1">IF(C2="——",C37,ROUND(B2*10000/D3,0))</f>
        <v>#DIV/0!</v>
      </c>
      <c r="C3" s="1296" t="s">
        <v>921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922</v>
      </c>
      <c r="B4" s="925"/>
      <c r="C4" s="3495" t="s">
        <v>923</v>
      </c>
      <c r="D4" s="3496"/>
      <c r="E4" s="3497" t="s">
        <v>924</v>
      </c>
      <c r="F4" s="3498"/>
      <c r="G4" s="3495" t="s">
        <v>925</v>
      </c>
      <c r="H4" s="3496"/>
      <c r="I4" s="3495" t="s">
        <v>926</v>
      </c>
      <c r="J4" s="3496"/>
      <c r="K4" s="1071" t="s">
        <v>927</v>
      </c>
      <c r="L4" s="1072"/>
      <c r="M4" s="1073"/>
      <c r="N4" s="1073"/>
      <c r="O4" s="1073"/>
      <c r="P4" s="3535" t="s">
        <v>928</v>
      </c>
      <c r="Q4" s="3536"/>
      <c r="R4" s="3539" t="s">
        <v>924</v>
      </c>
      <c r="S4" s="3540"/>
      <c r="T4" s="3539" t="s">
        <v>925</v>
      </c>
      <c r="U4" s="3540"/>
      <c r="V4" s="3471" t="s">
        <v>926</v>
      </c>
      <c r="W4" s="3471"/>
      <c r="X4" s="1115"/>
      <c r="Y4" s="3539" t="s">
        <v>928</v>
      </c>
      <c r="Z4" s="3540"/>
      <c r="AA4" s="3534" t="s">
        <v>924</v>
      </c>
      <c r="AB4" s="3453" t="s">
        <v>925</v>
      </c>
      <c r="AC4" s="3534" t="s">
        <v>926</v>
      </c>
    </row>
    <row r="5" spans="1:29">
      <c r="A5" s="926"/>
      <c r="B5" s="927"/>
      <c r="C5" s="3499" t="s">
        <v>929</v>
      </c>
      <c r="D5" s="3500"/>
      <c r="E5" s="3544" t="s">
        <v>1593</v>
      </c>
      <c r="F5" s="3502"/>
      <c r="G5" s="3499" t="s">
        <v>1594</v>
      </c>
      <c r="H5" s="3500"/>
      <c r="I5" s="3499" t="s">
        <v>1595</v>
      </c>
      <c r="J5" s="3500"/>
      <c r="K5" s="1071"/>
      <c r="L5" s="1072"/>
      <c r="M5" s="1073"/>
      <c r="N5" s="1073"/>
      <c r="O5" s="1073"/>
      <c r="P5" s="3537"/>
      <c r="Q5" s="3461"/>
      <c r="R5" s="3466"/>
      <c r="S5" s="3467"/>
      <c r="T5" s="3466"/>
      <c r="U5" s="3467"/>
      <c r="V5" s="3471"/>
      <c r="W5" s="3471"/>
      <c r="X5" s="1115"/>
      <c r="Y5" s="3466"/>
      <c r="Z5" s="3467"/>
      <c r="AA5" s="3453"/>
      <c r="AB5" s="3453"/>
      <c r="AC5" s="3453"/>
    </row>
    <row r="6" spans="1:29" ht="14.4">
      <c r="A6" s="928"/>
      <c r="B6" s="929"/>
      <c r="C6" s="3490" t="s">
        <v>933</v>
      </c>
      <c r="D6" s="3491"/>
      <c r="E6" s="3492" t="s">
        <v>933</v>
      </c>
      <c r="F6" s="3493"/>
      <c r="G6" s="3490" t="s">
        <v>933</v>
      </c>
      <c r="H6" s="3491"/>
      <c r="I6" s="3490" t="s">
        <v>933</v>
      </c>
      <c r="J6" s="3491"/>
      <c r="K6" s="1071" t="s">
        <v>934</v>
      </c>
      <c r="L6" s="1072"/>
      <c r="M6" s="1073"/>
      <c r="N6" s="1073"/>
      <c r="O6" s="1073"/>
      <c r="P6" s="3538"/>
      <c r="Q6" s="3463"/>
      <c r="R6" s="3466"/>
      <c r="S6" s="3467"/>
      <c r="T6" s="3468"/>
      <c r="U6" s="3469"/>
      <c r="V6" s="3471"/>
      <c r="W6" s="3471"/>
      <c r="X6" s="1115"/>
      <c r="Y6" s="3468"/>
      <c r="Z6" s="3469"/>
      <c r="AA6" s="3454"/>
      <c r="AB6" s="3454"/>
      <c r="AC6" s="3454"/>
    </row>
    <row r="7" spans="1:29" s="905" customFormat="1" ht="14.4">
      <c r="A7" s="930" t="s">
        <v>935</v>
      </c>
      <c r="B7" s="931"/>
      <c r="C7" s="932">
        <f>'数据-取费表'!B2</f>
        <v>44770</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78" t="s">
        <v>936</v>
      </c>
      <c r="Q7" s="3494"/>
      <c r="R7" s="1116" t="s">
        <v>937</v>
      </c>
      <c r="S7" s="1117">
        <f t="shared" ref="S7:S14" si="0">F7</f>
        <v>0</v>
      </c>
      <c r="T7" s="1116" t="s">
        <v>937</v>
      </c>
      <c r="U7" s="1117">
        <f t="shared" ref="U7:U14" si="1">H7</f>
        <v>0</v>
      </c>
      <c r="V7" s="1116" t="s">
        <v>937</v>
      </c>
      <c r="W7" s="1117">
        <f t="shared" ref="W7:W14" si="2">J7</f>
        <v>0</v>
      </c>
      <c r="X7" s="1118"/>
      <c r="Y7" s="3478" t="s">
        <v>936</v>
      </c>
      <c r="Z7" s="3479"/>
      <c r="AA7" s="1130" t="e">
        <f>D7/F7</f>
        <v>#DIV/0!</v>
      </c>
      <c r="AB7" s="1130" t="e">
        <f>D7/H7</f>
        <v>#DIV/0!</v>
      </c>
      <c r="AC7" s="1130" t="e">
        <f>D7/J7</f>
        <v>#DIV/0!</v>
      </c>
    </row>
    <row r="8" spans="1:29" s="905" customFormat="1" ht="14.4">
      <c r="A8" s="930" t="s">
        <v>938</v>
      </c>
      <c r="B8" s="931"/>
      <c r="C8" s="937" t="s">
        <v>939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34" si="3">D8/F8</f>
        <v>#DIV/0!</v>
      </c>
      <c r="AB8" s="1130" t="e">
        <f t="shared" ref="AB8:AB34" si="4">D8/H8</f>
        <v>#DIV/0!</v>
      </c>
      <c r="AC8" s="1130" t="e">
        <f t="shared" ref="AC8:AC34" si="5">D8/J8</f>
        <v>#DIV/0!</v>
      </c>
    </row>
    <row r="9" spans="1:29" s="905" customFormat="1" ht="14.4">
      <c r="A9" s="938" t="s">
        <v>942</v>
      </c>
      <c r="B9" s="939" t="s">
        <v>943</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73" t="s">
        <v>945</v>
      </c>
      <c r="Q9" s="1120" t="str">
        <f t="shared" ref="Q9:Q14" si="6">B9</f>
        <v>用途</v>
      </c>
      <c r="R9" s="1116" t="s">
        <v>937</v>
      </c>
      <c r="S9" s="1117">
        <f t="shared" si="0"/>
        <v>100</v>
      </c>
      <c r="T9" s="1116" t="s">
        <v>937</v>
      </c>
      <c r="U9" s="1117">
        <f t="shared" si="1"/>
        <v>100</v>
      </c>
      <c r="V9" s="1116" t="s">
        <v>937</v>
      </c>
      <c r="W9" s="1117">
        <f t="shared" si="2"/>
        <v>100</v>
      </c>
      <c r="X9" s="1118"/>
      <c r="Y9" s="3364" t="s">
        <v>946</v>
      </c>
      <c r="Z9" s="1131" t="str">
        <f t="shared" ref="Z9:Z14" si="7">Q9</f>
        <v>用途</v>
      </c>
      <c r="AA9" s="1130">
        <f t="shared" si="3"/>
        <v>1</v>
      </c>
      <c r="AB9" s="1130">
        <f t="shared" si="4"/>
        <v>1</v>
      </c>
      <c r="AC9" s="1130">
        <f t="shared" si="5"/>
        <v>1</v>
      </c>
    </row>
    <row r="10" spans="1:29" s="906" customFormat="1" ht="28.8">
      <c r="A10" s="942"/>
      <c r="B10" s="943" t="s">
        <v>947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73"/>
      <c r="Q10" s="1120" t="str">
        <f t="shared" si="6"/>
        <v>土地使用年限（年）</v>
      </c>
      <c r="R10" s="1116" t="s">
        <v>937</v>
      </c>
      <c r="S10" s="1117">
        <f t="shared" si="0"/>
        <v>100</v>
      </c>
      <c r="T10" s="1116" t="s">
        <v>937</v>
      </c>
      <c r="U10" s="1117">
        <f t="shared" si="1"/>
        <v>100</v>
      </c>
      <c r="V10" s="1116" t="s">
        <v>937</v>
      </c>
      <c r="W10" s="1117">
        <f t="shared" si="2"/>
        <v>100</v>
      </c>
      <c r="X10" s="1118"/>
      <c r="Y10" s="3364"/>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73"/>
      <c r="Q11" s="1120">
        <f t="shared" si="6"/>
        <v>111</v>
      </c>
      <c r="R11" s="1116" t="s">
        <v>937</v>
      </c>
      <c r="S11" s="1117">
        <f t="shared" si="0"/>
        <v>100</v>
      </c>
      <c r="T11" s="1116" t="s">
        <v>937</v>
      </c>
      <c r="U11" s="1117">
        <f t="shared" si="1"/>
        <v>100</v>
      </c>
      <c r="V11" s="1116" t="s">
        <v>937</v>
      </c>
      <c r="W11" s="1117">
        <f t="shared" si="2"/>
        <v>100</v>
      </c>
      <c r="X11" s="1118"/>
      <c r="Y11" s="3364"/>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73"/>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73"/>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29" ht="96.6">
      <c r="A14" s="960" t="s">
        <v>951</v>
      </c>
      <c r="B14" s="1253" t="s">
        <v>956</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86" t="s">
        <v>953</v>
      </c>
      <c r="Q14" s="681" t="str">
        <f t="shared" si="6"/>
        <v>交通便捷度</v>
      </c>
      <c r="R14" s="1121" t="s">
        <v>937</v>
      </c>
      <c r="S14" s="1122">
        <f t="shared" si="0"/>
        <v>100</v>
      </c>
      <c r="T14" s="1121" t="s">
        <v>937</v>
      </c>
      <c r="U14" s="1122">
        <f t="shared" si="1"/>
        <v>100</v>
      </c>
      <c r="V14" s="1121" t="s">
        <v>937</v>
      </c>
      <c r="W14" s="1122">
        <f t="shared" si="2"/>
        <v>100</v>
      </c>
      <c r="X14" s="1115"/>
      <c r="Y14" s="3486" t="s">
        <v>953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87"/>
      <c r="Q15" s="681"/>
      <c r="R15" s="1121"/>
      <c r="S15" s="1122"/>
      <c r="T15" s="1121"/>
      <c r="U15" s="1122"/>
      <c r="V15" s="1121"/>
      <c r="W15" s="1122"/>
      <c r="X15" s="1115"/>
      <c r="Y15" s="3487"/>
      <c r="Z15" s="1105"/>
      <c r="AA15" s="1132">
        <v>1</v>
      </c>
      <c r="AB15" s="1132">
        <v>1</v>
      </c>
      <c r="AC15" s="1132">
        <v>1</v>
      </c>
    </row>
    <row r="16" spans="1:29" ht="41.4">
      <c r="A16" s="946"/>
      <c r="B16" s="1256" t="s">
        <v>957</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87"/>
      <c r="Q16" s="681" t="str">
        <f>B16</f>
        <v>公共配套设施</v>
      </c>
      <c r="R16" s="1121" t="s">
        <v>937</v>
      </c>
      <c r="S16" s="1122">
        <f>F16</f>
        <v>100</v>
      </c>
      <c r="T16" s="1121" t="s">
        <v>937</v>
      </c>
      <c r="U16" s="1122">
        <f>H16</f>
        <v>100</v>
      </c>
      <c r="V16" s="1121" t="s">
        <v>937</v>
      </c>
      <c r="W16" s="1122">
        <f>J16</f>
        <v>100</v>
      </c>
      <c r="X16" s="1115"/>
      <c r="Y16" s="3487"/>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87"/>
      <c r="Q17" s="681"/>
      <c r="R17" s="1121"/>
      <c r="S17" s="1122"/>
      <c r="T17" s="1121"/>
      <c r="U17" s="1122"/>
      <c r="V17" s="1121"/>
      <c r="W17" s="1122"/>
      <c r="X17" s="1115"/>
      <c r="Y17" s="3487"/>
      <c r="Z17" s="1105"/>
      <c r="AA17" s="1132">
        <v>1</v>
      </c>
      <c r="AB17" s="1132">
        <v>1</v>
      </c>
      <c r="AC17" s="1132">
        <v>1</v>
      </c>
    </row>
    <row r="18" spans="1:29" ht="41.4">
      <c r="A18" s="946"/>
      <c r="B18" s="1260" t="s">
        <v>958</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87"/>
      <c r="Q18" s="681" t="str">
        <f>B18</f>
        <v>基础设施水平</v>
      </c>
      <c r="R18" s="1121" t="s">
        <v>937</v>
      </c>
      <c r="S18" s="1122">
        <f>F18</f>
        <v>100</v>
      </c>
      <c r="T18" s="1121" t="s">
        <v>937</v>
      </c>
      <c r="U18" s="1122">
        <f>H18</f>
        <v>100</v>
      </c>
      <c r="V18" s="1121" t="s">
        <v>937</v>
      </c>
      <c r="W18" s="1122">
        <f>J18</f>
        <v>100</v>
      </c>
      <c r="X18" s="1115"/>
      <c r="Y18" s="3487"/>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87"/>
      <c r="Q19" s="681"/>
      <c r="R19" s="1121"/>
      <c r="S19" s="1122"/>
      <c r="T19" s="1121"/>
      <c r="U19" s="1122"/>
      <c r="V19" s="1121"/>
      <c r="W19" s="1122"/>
      <c r="X19" s="1115"/>
      <c r="Y19" s="3487"/>
      <c r="Z19" s="1105"/>
      <c r="AA19" s="1132">
        <v>1</v>
      </c>
      <c r="AB19" s="1132">
        <v>1</v>
      </c>
      <c r="AC19" s="1132">
        <v>1</v>
      </c>
    </row>
    <row r="20" spans="1:29" ht="55.2">
      <c r="A20" s="946"/>
      <c r="B20" s="1256" t="s">
        <v>1597</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87"/>
      <c r="Q20" s="681" t="str">
        <f>B20</f>
        <v>自然及人文环境</v>
      </c>
      <c r="R20" s="1121" t="s">
        <v>937</v>
      </c>
      <c r="S20" s="1122">
        <f>F20</f>
        <v>100</v>
      </c>
      <c r="T20" s="1121" t="s">
        <v>937</v>
      </c>
      <c r="U20" s="1122">
        <f>H20</f>
        <v>100</v>
      </c>
      <c r="V20" s="1121" t="s">
        <v>937</v>
      </c>
      <c r="W20" s="1122">
        <f>J20</f>
        <v>100</v>
      </c>
      <c r="X20" s="1115"/>
      <c r="Y20" s="3487"/>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87"/>
      <c r="Q21" s="681"/>
      <c r="R21" s="1121"/>
      <c r="S21" s="1122"/>
      <c r="T21" s="1121"/>
      <c r="U21" s="1122"/>
      <c r="V21" s="1121"/>
      <c r="W21" s="1122"/>
      <c r="X21" s="1115"/>
      <c r="Y21" s="3487"/>
      <c r="Z21" s="1105"/>
      <c r="AA21" s="1132">
        <v>1</v>
      </c>
      <c r="AB21" s="1132">
        <v>1</v>
      </c>
      <c r="AC21" s="1132">
        <v>1</v>
      </c>
    </row>
    <row r="22" spans="1:29" ht="15">
      <c r="A22" s="946"/>
      <c r="B22" s="1256" t="s">
        <v>961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87"/>
      <c r="Q22" s="681" t="str">
        <f>B22</f>
        <v>楼层</v>
      </c>
      <c r="R22" s="1121" t="s">
        <v>937</v>
      </c>
      <c r="S22" s="1122">
        <f>F22</f>
        <v>100</v>
      </c>
      <c r="T22" s="1121" t="s">
        <v>937</v>
      </c>
      <c r="U22" s="1122">
        <f>H22</f>
        <v>100</v>
      </c>
      <c r="V22" s="1121" t="s">
        <v>937</v>
      </c>
      <c r="W22" s="1122">
        <f>J22</f>
        <v>100</v>
      </c>
      <c r="X22" s="1115"/>
      <c r="Y22" s="3487"/>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87"/>
      <c r="Q23" s="681">
        <f>B23</f>
        <v>111</v>
      </c>
      <c r="R23" s="1121" t="s">
        <v>937</v>
      </c>
      <c r="S23" s="1122">
        <f>F23</f>
        <v>100</v>
      </c>
      <c r="T23" s="1121" t="s">
        <v>937</v>
      </c>
      <c r="U23" s="1122">
        <f>H23</f>
        <v>100</v>
      </c>
      <c r="V23" s="1121" t="s">
        <v>937</v>
      </c>
      <c r="W23" s="1122">
        <f>J23</f>
        <v>100</v>
      </c>
      <c r="X23" s="1115"/>
      <c r="Y23" s="3487"/>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87"/>
      <c r="Q24" s="681">
        <f t="shared" ref="Q24:Q34" si="11">B24</f>
        <v>111</v>
      </c>
      <c r="R24" s="1121" t="s">
        <v>937</v>
      </c>
      <c r="S24" s="1122">
        <f>F24</f>
        <v>100</v>
      </c>
      <c r="T24" s="1121" t="s">
        <v>937</v>
      </c>
      <c r="U24" s="1122">
        <f>H24</f>
        <v>100</v>
      </c>
      <c r="V24" s="1121" t="s">
        <v>937</v>
      </c>
      <c r="W24" s="1122">
        <f>J24</f>
        <v>100</v>
      </c>
      <c r="X24" s="1115"/>
      <c r="Y24" s="3487"/>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87"/>
      <c r="Q25" s="1120">
        <f t="shared" si="11"/>
        <v>111</v>
      </c>
      <c r="R25" s="1116" t="s">
        <v>937</v>
      </c>
      <c r="S25" s="1117">
        <f>F25</f>
        <v>100</v>
      </c>
      <c r="T25" s="1116" t="s">
        <v>937</v>
      </c>
      <c r="U25" s="1117">
        <f>H25</f>
        <v>100</v>
      </c>
      <c r="V25" s="1116" t="s">
        <v>937</v>
      </c>
      <c r="W25" s="1117">
        <f>J25</f>
        <v>100</v>
      </c>
      <c r="X25" s="1118"/>
      <c r="Y25" s="3487"/>
      <c r="Z25" s="1131">
        <f>Q25</f>
        <v>111</v>
      </c>
      <c r="AA25" s="1132">
        <f t="shared" si="3"/>
        <v>1</v>
      </c>
      <c r="AB25" s="1132">
        <f t="shared" si="4"/>
        <v>1</v>
      </c>
      <c r="AC25" s="1132">
        <f t="shared" si="5"/>
        <v>1</v>
      </c>
    </row>
    <row r="26" spans="1:29" ht="30">
      <c r="A26" s="1313" t="s">
        <v>965</v>
      </c>
      <c r="B26" s="939" t="s">
        <v>972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45" t="s">
        <v>968</v>
      </c>
      <c r="Q26" s="681" t="str">
        <f t="shared" si="11"/>
        <v>公共部分装修</v>
      </c>
      <c r="R26" s="1121" t="s">
        <v>937</v>
      </c>
      <c r="S26" s="1122">
        <f t="shared" ref="S26:S34" si="12">F26</f>
        <v>100</v>
      </c>
      <c r="T26" s="1121" t="s">
        <v>937</v>
      </c>
      <c r="U26" s="1122">
        <f t="shared" ref="U26:U34" si="13">H26</f>
        <v>100</v>
      </c>
      <c r="V26" s="1121" t="s">
        <v>937</v>
      </c>
      <c r="W26" s="1122">
        <f t="shared" ref="W26:W34" si="14">J26</f>
        <v>100</v>
      </c>
      <c r="X26" s="1115"/>
      <c r="Y26" s="3488" t="s">
        <v>968</v>
      </c>
      <c r="Z26" s="1105" t="str">
        <f t="shared" ref="Z26:Z34" si="15">Q26</f>
        <v>公共部分装修</v>
      </c>
      <c r="AA26" s="1132">
        <f t="shared" si="3"/>
        <v>1</v>
      </c>
      <c r="AB26" s="1132">
        <f t="shared" si="4"/>
        <v>1</v>
      </c>
      <c r="AC26" s="1132">
        <f t="shared" si="5"/>
        <v>1</v>
      </c>
    </row>
    <row r="27" spans="1:29" s="907" customFormat="1" ht="15">
      <c r="A27" s="1002"/>
      <c r="B27" s="943" t="s">
        <v>1639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88"/>
      <c r="Q27" s="1348" t="str">
        <f t="shared" si="11"/>
        <v>成新率</v>
      </c>
      <c r="R27" s="1123" t="s">
        <v>937</v>
      </c>
      <c r="S27" s="1124" t="e">
        <f t="shared" si="12"/>
        <v>#N/A</v>
      </c>
      <c r="T27" s="1123" t="s">
        <v>937</v>
      </c>
      <c r="U27" s="1124" t="e">
        <f t="shared" si="13"/>
        <v>#N/A</v>
      </c>
      <c r="V27" s="1123" t="s">
        <v>937</v>
      </c>
      <c r="W27" s="1124" t="e">
        <f t="shared" si="14"/>
        <v>#N/A</v>
      </c>
      <c r="X27" s="1125"/>
      <c r="Y27" s="3488"/>
      <c r="Z27" s="1133" t="str">
        <f t="shared" si="15"/>
        <v>成新率</v>
      </c>
      <c r="AA27" s="1132" t="e">
        <f t="shared" si="3"/>
        <v>#N/A</v>
      </c>
      <c r="AB27" s="1132" t="e">
        <f t="shared" si="4"/>
        <v>#N/A</v>
      </c>
      <c r="AC27" s="1132" t="e">
        <f t="shared" si="5"/>
        <v>#N/A</v>
      </c>
    </row>
    <row r="28" spans="1:29" ht="15">
      <c r="A28" s="997"/>
      <c r="B28" s="943" t="s">
        <v>1640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88"/>
      <c r="Q28" s="681" t="str">
        <f t="shared" si="11"/>
        <v>物业等级</v>
      </c>
      <c r="R28" s="1121" t="s">
        <v>937</v>
      </c>
      <c r="S28" s="1122">
        <f t="shared" si="12"/>
        <v>100</v>
      </c>
      <c r="T28" s="1121" t="s">
        <v>937</v>
      </c>
      <c r="U28" s="1122">
        <f t="shared" si="13"/>
        <v>100</v>
      </c>
      <c r="V28" s="1121" t="s">
        <v>937</v>
      </c>
      <c r="W28" s="1122">
        <f t="shared" si="14"/>
        <v>100</v>
      </c>
      <c r="X28" s="1115"/>
      <c r="Y28" s="3488"/>
      <c r="Z28" s="1105" t="str">
        <f t="shared" si="15"/>
        <v>物业等级</v>
      </c>
      <c r="AA28" s="1132">
        <f t="shared" si="3"/>
        <v>1</v>
      </c>
      <c r="AB28" s="1132">
        <f t="shared" si="4"/>
        <v>1</v>
      </c>
      <c r="AC28" s="1132">
        <f t="shared" si="5"/>
        <v>1</v>
      </c>
    </row>
    <row r="29" spans="1:29" ht="15">
      <c r="A29" s="997"/>
      <c r="B29" s="943" t="s">
        <v>1648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88"/>
      <c r="Q29" s="681" t="str">
        <f t="shared" si="11"/>
        <v>有无电梯</v>
      </c>
      <c r="R29" s="1121" t="s">
        <v>937</v>
      </c>
      <c r="S29" s="1122">
        <f t="shared" si="12"/>
        <v>100</v>
      </c>
      <c r="T29" s="1121" t="s">
        <v>937</v>
      </c>
      <c r="U29" s="1122">
        <f t="shared" si="13"/>
        <v>100</v>
      </c>
      <c r="V29" s="1121" t="s">
        <v>937</v>
      </c>
      <c r="W29" s="1122">
        <f t="shared" si="14"/>
        <v>100</v>
      </c>
      <c r="X29" s="1115"/>
      <c r="Y29" s="3488"/>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88"/>
      <c r="Q30" s="681" t="str">
        <f t="shared" si="11"/>
        <v>建筑面积</v>
      </c>
      <c r="R30" s="1121" t="s">
        <v>937</v>
      </c>
      <c r="S30" s="1122" t="e">
        <f t="shared" si="12"/>
        <v>#N/A</v>
      </c>
      <c r="T30" s="1121" t="s">
        <v>937</v>
      </c>
      <c r="U30" s="1122" t="e">
        <f t="shared" si="13"/>
        <v>#N/A</v>
      </c>
      <c r="V30" s="1121" t="s">
        <v>937</v>
      </c>
      <c r="W30" s="1122" t="e">
        <f t="shared" si="14"/>
        <v>#N/A</v>
      </c>
      <c r="X30" s="1115"/>
      <c r="Y30" s="3488"/>
      <c r="Z30" s="1105" t="str">
        <f t="shared" si="15"/>
        <v>建筑面积</v>
      </c>
      <c r="AA30" s="1132" t="e">
        <f t="shared" si="3"/>
        <v>#N/A</v>
      </c>
      <c r="AB30" s="1132" t="e">
        <f t="shared" si="4"/>
        <v>#N/A</v>
      </c>
      <c r="AC30" s="1132" t="e">
        <f t="shared" si="5"/>
        <v>#N/A</v>
      </c>
    </row>
    <row r="31" spans="1:29" s="905" customFormat="1" ht="15">
      <c r="A31" s="999"/>
      <c r="B31" s="943" t="s">
        <v>1649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88"/>
      <c r="Q31" s="1120" t="str">
        <f t="shared" si="11"/>
        <v>是否封闭</v>
      </c>
      <c r="R31" s="1116" t="s">
        <v>937</v>
      </c>
      <c r="S31" s="1117">
        <f t="shared" si="12"/>
        <v>100</v>
      </c>
      <c r="T31" s="1116" t="s">
        <v>937</v>
      </c>
      <c r="U31" s="1117">
        <f t="shared" si="13"/>
        <v>100</v>
      </c>
      <c r="V31" s="1116" t="s">
        <v>937</v>
      </c>
      <c r="W31" s="1117">
        <f t="shared" si="14"/>
        <v>100</v>
      </c>
      <c r="X31" s="1118"/>
      <c r="Y31" s="3488"/>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88" t="s">
        <v>968</v>
      </c>
      <c r="Q32" s="681">
        <f t="shared" si="11"/>
        <v>111</v>
      </c>
      <c r="R32" s="1121" t="s">
        <v>937</v>
      </c>
      <c r="S32" s="1122">
        <f t="shared" si="12"/>
        <v>100</v>
      </c>
      <c r="T32" s="1121" t="s">
        <v>937</v>
      </c>
      <c r="U32" s="1122">
        <f t="shared" si="13"/>
        <v>100</v>
      </c>
      <c r="V32" s="1121" t="s">
        <v>937</v>
      </c>
      <c r="W32" s="1122">
        <f t="shared" si="14"/>
        <v>100</v>
      </c>
      <c r="X32" s="1115"/>
      <c r="Y32" s="3488" t="s">
        <v>968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88"/>
      <c r="Q33" s="681">
        <f t="shared" si="11"/>
        <v>111</v>
      </c>
      <c r="R33" s="1121" t="s">
        <v>937</v>
      </c>
      <c r="S33" s="1122">
        <f t="shared" si="12"/>
        <v>100</v>
      </c>
      <c r="T33" s="1121" t="s">
        <v>937</v>
      </c>
      <c r="U33" s="1122">
        <f t="shared" si="13"/>
        <v>100</v>
      </c>
      <c r="V33" s="1121" t="s">
        <v>937</v>
      </c>
      <c r="W33" s="1122">
        <f t="shared" si="14"/>
        <v>100</v>
      </c>
      <c r="X33" s="1115"/>
      <c r="Y33" s="3488"/>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88"/>
      <c r="Q34" s="681">
        <f t="shared" si="11"/>
        <v>111</v>
      </c>
      <c r="R34" s="1121" t="s">
        <v>937</v>
      </c>
      <c r="S34" s="1122">
        <f t="shared" si="12"/>
        <v>100</v>
      </c>
      <c r="T34" s="1121" t="s">
        <v>937</v>
      </c>
      <c r="U34" s="1122">
        <f t="shared" si="13"/>
        <v>100</v>
      </c>
      <c r="V34" s="1121" t="s">
        <v>937</v>
      </c>
      <c r="W34" s="1122">
        <f t="shared" si="14"/>
        <v>100</v>
      </c>
      <c r="X34" s="1115"/>
      <c r="Y34" s="3488"/>
      <c r="Z34" s="1105">
        <f t="shared" si="15"/>
        <v>111</v>
      </c>
      <c r="AA34" s="1132">
        <f t="shared" si="3"/>
        <v>1</v>
      </c>
      <c r="AB34" s="1132">
        <f t="shared" si="4"/>
        <v>1</v>
      </c>
      <c r="AC34" s="1132">
        <f t="shared" si="5"/>
        <v>1</v>
      </c>
    </row>
    <row r="35" spans="1:30" ht="14.4">
      <c r="A35" s="1004" t="s">
        <v>986</v>
      </c>
      <c r="B35" s="1323"/>
      <c r="C35" s="1324" t="s">
        <v>124</v>
      </c>
      <c r="D35" s="1325"/>
      <c r="E35" s="1326"/>
      <c r="F35" s="1327"/>
      <c r="G35" s="1328"/>
      <c r="H35" s="1329"/>
      <c r="I35" s="1326"/>
      <c r="J35" s="1329"/>
      <c r="K35" s="1096"/>
      <c r="L35" s="1097"/>
      <c r="M35" s="1021"/>
      <c r="N35" s="1073"/>
      <c r="O35" s="1021"/>
      <c r="P35" s="3473" t="str">
        <f>A35</f>
        <v>成交单价（元/平方米）</v>
      </c>
      <c r="Q35" s="3473"/>
      <c r="R35" s="3474">
        <f>E35</f>
        <v>0</v>
      </c>
      <c r="S35" s="3474"/>
      <c r="T35" s="3474">
        <f>G35</f>
        <v>0</v>
      </c>
      <c r="U35" s="3474"/>
      <c r="V35" s="3474">
        <f>I35</f>
        <v>0</v>
      </c>
      <c r="W35" s="3474"/>
      <c r="X35" s="1061"/>
      <c r="Y35" s="1134"/>
      <c r="Z35" s="1061"/>
      <c r="AA35" s="1061"/>
      <c r="AB35" s="1061"/>
      <c r="AC35" s="1061"/>
    </row>
    <row r="36" spans="1:30" ht="14.4">
      <c r="A36" s="1012" t="s">
        <v>987</v>
      </c>
      <c r="B36" s="1330"/>
      <c r="C36" s="1331" t="e">
        <f>R37</f>
        <v>#DIV/0!</v>
      </c>
      <c r="D36" s="1015" t="s">
        <v>988</v>
      </c>
      <c r="E36" s="1332" t="e">
        <f>R36</f>
        <v>#DIV/0!</v>
      </c>
      <c r="F36" s="1016"/>
      <c r="G36" s="1331" t="e">
        <f>T36</f>
        <v>#DIV/0!</v>
      </c>
      <c r="H36" s="1016"/>
      <c r="I36" s="1332" t="e">
        <f>V36</f>
        <v>#DIV/0!</v>
      </c>
      <c r="J36" s="1016"/>
      <c r="K36" s="1098">
        <f>F36+H36+J36</f>
        <v>0</v>
      </c>
      <c r="L36" s="1097"/>
      <c r="M36" s="1021"/>
      <c r="N36" s="1073"/>
      <c r="O36" s="1021"/>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061"/>
      <c r="Y36" s="1061"/>
      <c r="Z36" s="1061"/>
      <c r="AA36" s="1061"/>
      <c r="AB36" s="1061"/>
      <c r="AC36" s="1061"/>
    </row>
    <row r="37" spans="1:30" ht="14.4">
      <c r="A37" s="1018" t="s">
        <v>989</v>
      </c>
      <c r="B37" s="1019"/>
      <c r="C37" s="1333" t="e">
        <f>R37</f>
        <v>#DIV/0!</v>
      </c>
      <c r="D37" s="1333"/>
      <c r="E37" s="1333"/>
      <c r="F37" s="1333"/>
      <c r="G37" s="1333"/>
      <c r="H37" s="1333"/>
      <c r="I37" s="1333"/>
      <c r="J37" s="1333"/>
      <c r="K37" s="1099"/>
      <c r="L37" s="1097"/>
      <c r="M37" s="1021"/>
      <c r="N37" s="1021"/>
      <c r="O37" s="1021"/>
      <c r="P37" s="3541" t="str">
        <f>A37</f>
        <v>估价对象XX用房的比较价值（楼面单价，元/平方米）</v>
      </c>
      <c r="Q37" s="3542"/>
      <c r="R37" s="3546" t="e">
        <f>IF(F1="售价",ROUND(IF(D36="简单平均",AVERAGE(R36:W36),R36*F36+T36*H36+V36*J36),0),ROUND(IF(D36="简单平均",AVERAGE(R36:V36),R36*F36+T36*H36+V36*J36),1))</f>
        <v>#DIV/0!</v>
      </c>
      <c r="S37" s="3546"/>
      <c r="T37" s="3546"/>
      <c r="U37" s="3546"/>
      <c r="V37" s="3546"/>
      <c r="W37" s="354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990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991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992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993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935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994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938</v>
      </c>
      <c r="B49" s="1146"/>
      <c r="C49" s="1147" t="s">
        <v>939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995</v>
      </c>
      <c r="B51" s="1152" t="s">
        <v>943</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947</v>
      </c>
      <c r="C53" s="1157" t="s">
        <v>996</v>
      </c>
      <c r="D53" s="1157" t="s">
        <v>997</v>
      </c>
      <c r="E53" s="1157" t="s">
        <v>998</v>
      </c>
      <c r="F53" s="1157" t="s">
        <v>999</v>
      </c>
      <c r="G53" s="1157" t="s">
        <v>1000</v>
      </c>
      <c r="H53" s="1157" t="s">
        <v>1001</v>
      </c>
      <c r="I53" s="1157" t="s">
        <v>1002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1003</v>
      </c>
      <c r="D54" s="1159" t="s">
        <v>1003</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951</v>
      </c>
      <c r="B61" s="1152" t="s">
        <v>956</v>
      </c>
      <c r="C61" s="1173" t="s">
        <v>1004</v>
      </c>
      <c r="D61" s="1173" t="s">
        <v>1005</v>
      </c>
      <c r="E61" s="1173" t="s">
        <v>1006</v>
      </c>
      <c r="F61" s="1173" t="s">
        <v>1007</v>
      </c>
      <c r="G61" s="1173" t="s">
        <v>1008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1650</v>
      </c>
      <c r="C63" s="1175" t="s">
        <v>1004</v>
      </c>
      <c r="D63" s="1175" t="s">
        <v>1005</v>
      </c>
      <c r="E63" s="1175" t="s">
        <v>1006</v>
      </c>
      <c r="F63" s="1175" t="s">
        <v>1007</v>
      </c>
      <c r="G63" s="1175" t="s">
        <v>1008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958</v>
      </c>
      <c r="C65" s="1180" t="s">
        <v>1009</v>
      </c>
      <c r="D65" s="1180" t="s">
        <v>1010</v>
      </c>
      <c r="E65" s="1180" t="s">
        <v>1011</v>
      </c>
      <c r="F65" s="1180" t="s">
        <v>1012</v>
      </c>
      <c r="G65" s="1180" t="s">
        <v>1013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1597</v>
      </c>
      <c r="C67" s="1175" t="s">
        <v>1004</v>
      </c>
      <c r="D67" s="1175" t="s">
        <v>1005</v>
      </c>
      <c r="E67" s="1175" t="s">
        <v>1006</v>
      </c>
      <c r="F67" s="1175" t="s">
        <v>1007</v>
      </c>
      <c r="G67" s="1175" t="s">
        <v>1008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961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965</v>
      </c>
      <c r="B77" s="1152" t="s">
        <v>972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1639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1640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1648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1649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1651</v>
      </c>
      <c r="B1" s="915"/>
      <c r="C1" s="916" t="s">
        <v>1652</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918</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922</v>
      </c>
      <c r="B4" s="925"/>
      <c r="C4" s="3495" t="s">
        <v>923</v>
      </c>
      <c r="D4" s="3496"/>
      <c r="E4" s="3497" t="s">
        <v>924</v>
      </c>
      <c r="F4" s="3498"/>
      <c r="G4" s="3495" t="s">
        <v>925</v>
      </c>
      <c r="H4" s="3496"/>
      <c r="I4" s="3495" t="s">
        <v>926</v>
      </c>
      <c r="J4" s="3496"/>
      <c r="K4" s="1071" t="s">
        <v>927</v>
      </c>
      <c r="L4" s="1072"/>
      <c r="M4" s="1073"/>
      <c r="N4" s="1073"/>
      <c r="O4" s="1073"/>
      <c r="P4" s="3535" t="s">
        <v>928</v>
      </c>
      <c r="Q4" s="3536"/>
      <c r="R4" s="3539" t="s">
        <v>924</v>
      </c>
      <c r="S4" s="3540"/>
      <c r="T4" s="3539" t="s">
        <v>925</v>
      </c>
      <c r="U4" s="3540"/>
      <c r="V4" s="3471" t="s">
        <v>926</v>
      </c>
      <c r="W4" s="3471"/>
      <c r="X4" s="1115"/>
      <c r="Y4" s="3539" t="s">
        <v>928</v>
      </c>
      <c r="Z4" s="3540"/>
      <c r="AA4" s="3534" t="s">
        <v>924</v>
      </c>
      <c r="AB4" s="3453" t="s">
        <v>925</v>
      </c>
      <c r="AC4" s="3534" t="s">
        <v>926</v>
      </c>
    </row>
    <row r="5" spans="1:30">
      <c r="A5" s="926"/>
      <c r="B5" s="927"/>
      <c r="C5" s="3499" t="s">
        <v>929</v>
      </c>
      <c r="D5" s="3500"/>
      <c r="E5" s="3544" t="s">
        <v>1593</v>
      </c>
      <c r="F5" s="3502"/>
      <c r="G5" s="3499" t="s">
        <v>1594</v>
      </c>
      <c r="H5" s="3500"/>
      <c r="I5" s="3499" t="s">
        <v>1595</v>
      </c>
      <c r="J5" s="3500"/>
      <c r="K5" s="1071"/>
      <c r="L5" s="1072"/>
      <c r="M5" s="1073"/>
      <c r="N5" s="1073"/>
      <c r="O5" s="1073"/>
      <c r="P5" s="3537"/>
      <c r="Q5" s="3461"/>
      <c r="R5" s="3466"/>
      <c r="S5" s="3467"/>
      <c r="T5" s="3466"/>
      <c r="U5" s="3467"/>
      <c r="V5" s="3471"/>
      <c r="W5" s="3471"/>
      <c r="X5" s="1115"/>
      <c r="Y5" s="3466"/>
      <c r="Z5" s="3467"/>
      <c r="AA5" s="3453"/>
      <c r="AB5" s="3453"/>
      <c r="AC5" s="3453"/>
    </row>
    <row r="6" spans="1:30" ht="14.4">
      <c r="A6" s="928"/>
      <c r="B6" s="929"/>
      <c r="C6" s="3490" t="s">
        <v>933</v>
      </c>
      <c r="D6" s="3491"/>
      <c r="E6" s="3492" t="s">
        <v>933</v>
      </c>
      <c r="F6" s="3493"/>
      <c r="G6" s="3490" t="s">
        <v>933</v>
      </c>
      <c r="H6" s="3491"/>
      <c r="I6" s="3490" t="s">
        <v>933</v>
      </c>
      <c r="J6" s="3491"/>
      <c r="K6" s="1071" t="s">
        <v>934</v>
      </c>
      <c r="L6" s="1072"/>
      <c r="M6" s="1073"/>
      <c r="N6" s="1073"/>
      <c r="O6" s="1073"/>
      <c r="P6" s="3538"/>
      <c r="Q6" s="3463"/>
      <c r="R6" s="3466"/>
      <c r="S6" s="3467"/>
      <c r="T6" s="3468"/>
      <c r="U6" s="3469"/>
      <c r="V6" s="3471"/>
      <c r="W6" s="3471"/>
      <c r="X6" s="1115"/>
      <c r="Y6" s="3468"/>
      <c r="Z6" s="3469"/>
      <c r="AA6" s="3454"/>
      <c r="AB6" s="3454"/>
      <c r="AC6" s="3454"/>
    </row>
    <row r="7" spans="1:30" s="905" customFormat="1" ht="14.4">
      <c r="A7" s="930" t="s">
        <v>935</v>
      </c>
      <c r="B7" s="931"/>
      <c r="C7" s="932">
        <f>'数据-取费表'!B2</f>
        <v>44770</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78" t="s">
        <v>936</v>
      </c>
      <c r="Q7" s="3494"/>
      <c r="R7" s="1116" t="s">
        <v>937</v>
      </c>
      <c r="S7" s="1117">
        <f t="shared" ref="S7:S15" si="0">F7</f>
        <v>0</v>
      </c>
      <c r="T7" s="1116" t="s">
        <v>937</v>
      </c>
      <c r="U7" s="1117">
        <f t="shared" ref="U7:U15" si="1">H7</f>
        <v>0</v>
      </c>
      <c r="V7" s="1116" t="s">
        <v>937</v>
      </c>
      <c r="W7" s="1117">
        <f t="shared" ref="W7:W15" si="2">J7</f>
        <v>0</v>
      </c>
      <c r="X7" s="1118"/>
      <c r="Y7" s="3478" t="s">
        <v>936</v>
      </c>
      <c r="Z7" s="3479"/>
      <c r="AA7" s="1130" t="e">
        <f>D7/F7</f>
        <v>#DIV/0!</v>
      </c>
      <c r="AB7" s="1130" t="e">
        <f>D7/H7</f>
        <v>#DIV/0!</v>
      </c>
      <c r="AC7" s="1130" t="e">
        <f>D7/J7</f>
        <v>#DIV/0!</v>
      </c>
    </row>
    <row r="8" spans="1:30" s="905" customFormat="1" ht="14.4">
      <c r="A8" s="930" t="s">
        <v>938</v>
      </c>
      <c r="B8" s="931"/>
      <c r="C8" s="937" t="s">
        <v>939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45" si="3">D8/F8</f>
        <v>#DIV/0!</v>
      </c>
      <c r="AB8" s="1130" t="e">
        <f t="shared" ref="AB8:AB45" si="4">D8/H8</f>
        <v>#DIV/0!</v>
      </c>
      <c r="AC8" s="1130" t="e">
        <f t="shared" ref="AC8:AC45" si="5">D8/J8</f>
        <v>#DIV/0!</v>
      </c>
    </row>
    <row r="9" spans="1:30" s="905" customFormat="1" ht="14.4">
      <c r="A9" s="938" t="s">
        <v>942</v>
      </c>
      <c r="B9" s="939" t="s">
        <v>943</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73" t="s">
        <v>945</v>
      </c>
      <c r="Q9" s="1120" t="str">
        <f t="shared" ref="Q9:Q15" si="6">B9</f>
        <v>用途</v>
      </c>
      <c r="R9" s="1116" t="s">
        <v>937</v>
      </c>
      <c r="S9" s="1117">
        <f t="shared" si="0"/>
        <v>100</v>
      </c>
      <c r="T9" s="1116" t="s">
        <v>937</v>
      </c>
      <c r="U9" s="1117">
        <f t="shared" si="1"/>
        <v>100</v>
      </c>
      <c r="V9" s="1116" t="s">
        <v>937</v>
      </c>
      <c r="W9" s="1117">
        <f t="shared" si="2"/>
        <v>100</v>
      </c>
      <c r="X9" s="1118"/>
      <c r="Y9" s="3364" t="s">
        <v>946</v>
      </c>
      <c r="Z9" s="1131" t="str">
        <f t="shared" ref="Z9:Z15" si="7">Q9</f>
        <v>用途</v>
      </c>
      <c r="AA9" s="1130">
        <f t="shared" si="3"/>
        <v>1</v>
      </c>
      <c r="AB9" s="1130">
        <f t="shared" si="4"/>
        <v>1</v>
      </c>
      <c r="AC9" s="1130">
        <f t="shared" si="5"/>
        <v>1</v>
      </c>
    </row>
    <row r="10" spans="1:30" s="906" customFormat="1" ht="28.8">
      <c r="A10" s="942"/>
      <c r="B10" s="943" t="s">
        <v>947</v>
      </c>
      <c r="C10" s="944"/>
      <c r="D10" s="945">
        <v>100</v>
      </c>
      <c r="E10" s="1251"/>
      <c r="F10" s="945">
        <f>ROUND(100/'数据-取费表'!G16,0)</f>
        <v>136</v>
      </c>
      <c r="G10" s="1252"/>
      <c r="H10" s="945">
        <f>ROUND(100/'数据-取费表'!G16,0)</f>
        <v>136</v>
      </c>
      <c r="I10" s="1252"/>
      <c r="J10" s="945">
        <f>ROUND(100/'数据-取费表'!G16,0)</f>
        <v>136</v>
      </c>
      <c r="K10" s="1078"/>
      <c r="L10" s="1079"/>
      <c r="M10" s="1080"/>
      <c r="N10" s="1080"/>
      <c r="O10" s="1081"/>
      <c r="P10" s="3473"/>
      <c r="Q10" s="1120" t="str">
        <f t="shared" si="6"/>
        <v>土地使用年限（年）</v>
      </c>
      <c r="R10" s="1116" t="s">
        <v>937</v>
      </c>
      <c r="S10" s="1117">
        <f t="shared" si="0"/>
        <v>136</v>
      </c>
      <c r="T10" s="1116" t="s">
        <v>937</v>
      </c>
      <c r="U10" s="1117">
        <f t="shared" si="1"/>
        <v>136</v>
      </c>
      <c r="V10" s="1116" t="s">
        <v>937</v>
      </c>
      <c r="W10" s="1117">
        <f t="shared" si="2"/>
        <v>136</v>
      </c>
      <c r="X10" s="1118"/>
      <c r="Y10" s="3364"/>
      <c r="Z10" s="1131" t="str">
        <f t="shared" si="7"/>
        <v>土地使用年限（年）</v>
      </c>
      <c r="AA10" s="1130">
        <f t="shared" si="3"/>
        <v>0.73529411764705899</v>
      </c>
      <c r="AB10" s="1130">
        <f t="shared" si="4"/>
        <v>0.73529411764705899</v>
      </c>
      <c r="AC10" s="1130">
        <f t="shared" si="5"/>
        <v>0.73529411764705899</v>
      </c>
    </row>
    <row r="11" spans="1:30" ht="15">
      <c r="A11" s="946"/>
      <c r="B11" s="943" t="s">
        <v>950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73"/>
      <c r="Q11" s="1120" t="str">
        <f t="shared" si="6"/>
        <v>容积率</v>
      </c>
      <c r="R11" s="1116" t="s">
        <v>937</v>
      </c>
      <c r="S11" s="1117" t="e">
        <f t="shared" si="0"/>
        <v>#N/A</v>
      </c>
      <c r="T11" s="1116" t="s">
        <v>937</v>
      </c>
      <c r="U11" s="1117" t="e">
        <f t="shared" si="1"/>
        <v>#N/A</v>
      </c>
      <c r="V11" s="1116" t="s">
        <v>937</v>
      </c>
      <c r="W11" s="1117" t="e">
        <f t="shared" si="2"/>
        <v>#N/A</v>
      </c>
      <c r="X11" s="1118"/>
      <c r="Y11" s="3364"/>
      <c r="Z11" s="1131" t="str">
        <f t="shared" si="7"/>
        <v>容积率</v>
      </c>
      <c r="AA11" s="1130" t="e">
        <f t="shared" si="3"/>
        <v>#N/A</v>
      </c>
      <c r="AB11" s="1130" t="e">
        <f t="shared" si="4"/>
        <v>#N/A</v>
      </c>
      <c r="AC11" s="1130" t="e">
        <f t="shared" si="5"/>
        <v>#N/A</v>
      </c>
    </row>
    <row r="12" spans="1:30" s="905" customFormat="1" ht="15">
      <c r="A12" s="949"/>
      <c r="B12" s="950" t="s">
        <v>1653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73"/>
      <c r="Q12" s="1120" t="str">
        <f t="shared" si="6"/>
        <v>配建</v>
      </c>
      <c r="R12" s="1116" t="s">
        <v>937</v>
      </c>
      <c r="S12" s="1117">
        <f t="shared" si="0"/>
        <v>100</v>
      </c>
      <c r="T12" s="1116" t="s">
        <v>937</v>
      </c>
      <c r="U12" s="1117">
        <f t="shared" si="1"/>
        <v>100</v>
      </c>
      <c r="V12" s="1116" t="s">
        <v>937</v>
      </c>
      <c r="W12" s="1117">
        <f t="shared" si="2"/>
        <v>100</v>
      </c>
      <c r="X12" s="1118"/>
      <c r="Y12" s="3364"/>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73"/>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73"/>
      <c r="Q14" s="1120">
        <f t="shared" si="6"/>
        <v>111</v>
      </c>
      <c r="R14" s="1116" t="s">
        <v>937</v>
      </c>
      <c r="S14" s="1117">
        <f t="shared" si="0"/>
        <v>100</v>
      </c>
      <c r="T14" s="1116" t="s">
        <v>937</v>
      </c>
      <c r="U14" s="1117">
        <f t="shared" si="1"/>
        <v>100</v>
      </c>
      <c r="V14" s="1116" t="s">
        <v>937</v>
      </c>
      <c r="W14" s="1117">
        <f t="shared" si="2"/>
        <v>100</v>
      </c>
      <c r="X14" s="1118"/>
      <c r="Y14" s="3364"/>
      <c r="Z14" s="1131">
        <f t="shared" si="7"/>
        <v>111</v>
      </c>
      <c r="AA14" s="1130">
        <f t="shared" si="3"/>
        <v>1</v>
      </c>
      <c r="AB14" s="1130">
        <f t="shared" si="4"/>
        <v>1</v>
      </c>
      <c r="AC14" s="1130">
        <f t="shared" si="5"/>
        <v>1</v>
      </c>
    </row>
    <row r="15" spans="1:30" ht="96.6">
      <c r="A15" s="960" t="s">
        <v>951</v>
      </c>
      <c r="B15" s="1253" t="s">
        <v>1596</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86" t="s">
        <v>953</v>
      </c>
      <c r="Q15" s="681" t="str">
        <f t="shared" si="6"/>
        <v>居住社区成熟度</v>
      </c>
      <c r="R15" s="1121" t="s">
        <v>937</v>
      </c>
      <c r="S15" s="1122">
        <f t="shared" si="0"/>
        <v>100</v>
      </c>
      <c r="T15" s="1121" t="s">
        <v>937</v>
      </c>
      <c r="U15" s="1122">
        <f t="shared" si="1"/>
        <v>100</v>
      </c>
      <c r="V15" s="1121" t="s">
        <v>937</v>
      </c>
      <c r="W15" s="1122">
        <f t="shared" si="2"/>
        <v>100</v>
      </c>
      <c r="X15" s="1115"/>
      <c r="Y15" s="3486" t="s">
        <v>953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87"/>
      <c r="Q16" s="681"/>
      <c r="R16" s="1121"/>
      <c r="S16" s="1122"/>
      <c r="T16" s="1121"/>
      <c r="U16" s="1122"/>
      <c r="V16" s="1121"/>
      <c r="W16" s="1122"/>
      <c r="X16" s="1115"/>
      <c r="Y16" s="3487"/>
      <c r="Z16" s="1105"/>
      <c r="AA16" s="1132">
        <v>1</v>
      </c>
      <c r="AB16" s="1132">
        <v>1</v>
      </c>
      <c r="AC16" s="1132">
        <v>1</v>
      </c>
    </row>
    <row r="17" spans="1:29" ht="82.8">
      <c r="A17" s="946"/>
      <c r="B17" s="1256" t="s">
        <v>1623</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87"/>
      <c r="Q17" s="681" t="str">
        <f>B17</f>
        <v>商业繁华度</v>
      </c>
      <c r="R17" s="1121" t="s">
        <v>937</v>
      </c>
      <c r="S17" s="1122">
        <f>F17</f>
        <v>100</v>
      </c>
      <c r="T17" s="1121" t="s">
        <v>937</v>
      </c>
      <c r="U17" s="1122">
        <f>H17</f>
        <v>100</v>
      </c>
      <c r="V17" s="1121" t="s">
        <v>937</v>
      </c>
      <c r="W17" s="1122">
        <f>J17</f>
        <v>100</v>
      </c>
      <c r="X17" s="1115"/>
      <c r="Y17" s="3487"/>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87"/>
      <c r="Q18" s="681"/>
      <c r="R18" s="1121"/>
      <c r="S18" s="1122"/>
      <c r="T18" s="1121"/>
      <c r="U18" s="1122"/>
      <c r="V18" s="1121"/>
      <c r="W18" s="1122"/>
      <c r="X18" s="1115"/>
      <c r="Y18" s="3487"/>
      <c r="Z18" s="1105"/>
      <c r="AA18" s="1132">
        <v>1</v>
      </c>
      <c r="AB18" s="1132">
        <v>1</v>
      </c>
      <c r="AC18" s="1132">
        <v>1</v>
      </c>
    </row>
    <row r="19" spans="1:29" ht="82.8">
      <c r="A19" s="946"/>
      <c r="B19" s="1256" t="s">
        <v>952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87"/>
      <c r="Q19" s="681" t="str">
        <f>B19</f>
        <v>办公集聚程度</v>
      </c>
      <c r="R19" s="1121" t="s">
        <v>937</v>
      </c>
      <c r="S19" s="1122">
        <f>F19</f>
        <v>100</v>
      </c>
      <c r="T19" s="1121" t="s">
        <v>937</v>
      </c>
      <c r="U19" s="1122">
        <f>H19</f>
        <v>100</v>
      </c>
      <c r="V19" s="1121" t="s">
        <v>937</v>
      </c>
      <c r="W19" s="1122">
        <f>J19</f>
        <v>100</v>
      </c>
      <c r="X19" s="1115"/>
      <c r="Y19" s="3487"/>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87"/>
      <c r="Q20" s="681"/>
      <c r="R20" s="1121"/>
      <c r="S20" s="1122"/>
      <c r="T20" s="1121"/>
      <c r="U20" s="1122"/>
      <c r="V20" s="1121"/>
      <c r="W20" s="1122"/>
      <c r="X20" s="1115"/>
      <c r="Y20" s="3487"/>
      <c r="Z20" s="1105"/>
      <c r="AA20" s="1132">
        <v>1</v>
      </c>
      <c r="AB20" s="1132">
        <v>1</v>
      </c>
      <c r="AC20" s="1132">
        <v>1</v>
      </c>
    </row>
    <row r="21" spans="1:29" ht="96.6">
      <c r="A21" s="946"/>
      <c r="B21" s="1256" t="s">
        <v>956</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87"/>
      <c r="Q21" s="681" t="str">
        <f>B21</f>
        <v>交通便捷度</v>
      </c>
      <c r="R21" s="1121" t="s">
        <v>937</v>
      </c>
      <c r="S21" s="1122">
        <f>F21</f>
        <v>100</v>
      </c>
      <c r="T21" s="1121" t="s">
        <v>937</v>
      </c>
      <c r="U21" s="1122">
        <f>H21</f>
        <v>100</v>
      </c>
      <c r="V21" s="1121" t="s">
        <v>937</v>
      </c>
      <c r="W21" s="1122">
        <f>J21</f>
        <v>100</v>
      </c>
      <c r="X21" s="1115"/>
      <c r="Y21" s="3487"/>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87"/>
      <c r="Q22" s="681"/>
      <c r="R22" s="1121"/>
      <c r="S22" s="1122"/>
      <c r="T22" s="1121"/>
      <c r="U22" s="1122"/>
      <c r="V22" s="1121"/>
      <c r="W22" s="1122"/>
      <c r="X22" s="1115"/>
      <c r="Y22" s="3487"/>
      <c r="Z22" s="1105"/>
      <c r="AA22" s="1132">
        <v>1</v>
      </c>
      <c r="AB22" s="1132">
        <v>1</v>
      </c>
      <c r="AC22" s="1132">
        <v>1</v>
      </c>
    </row>
    <row r="23" spans="1:29" ht="28.8">
      <c r="A23" s="926"/>
      <c r="B23" s="1256" t="s">
        <v>1654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87"/>
      <c r="Q23" s="681" t="str">
        <f t="shared" ref="Q23:Q38" si="8">B23</f>
        <v>区域土地利用方向</v>
      </c>
      <c r="R23" s="1121" t="s">
        <v>937</v>
      </c>
      <c r="S23" s="1122">
        <f>F23</f>
        <v>100</v>
      </c>
      <c r="T23" s="1121" t="s">
        <v>937</v>
      </c>
      <c r="U23" s="1122">
        <f>H23</f>
        <v>100</v>
      </c>
      <c r="V23" s="1121" t="s">
        <v>937</v>
      </c>
      <c r="W23" s="1122">
        <f>J23</f>
        <v>100</v>
      </c>
      <c r="X23" s="1115"/>
      <c r="Y23" s="3487"/>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87"/>
      <c r="Q24" s="681"/>
      <c r="R24" s="1121"/>
      <c r="S24" s="1122"/>
      <c r="T24" s="1121"/>
      <c r="U24" s="1122"/>
      <c r="V24" s="1121"/>
      <c r="W24" s="1122"/>
      <c r="X24" s="1115"/>
      <c r="Y24" s="3487"/>
      <c r="Z24" s="1105"/>
      <c r="AA24" s="1132"/>
      <c r="AB24" s="1132"/>
      <c r="AC24" s="1132"/>
    </row>
    <row r="25" spans="1:29" ht="55.2">
      <c r="A25" s="926"/>
      <c r="B25" s="1260" t="s">
        <v>1655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87"/>
      <c r="Q25" s="681" t="str">
        <f t="shared" si="8"/>
        <v>自然及人文环境状况</v>
      </c>
      <c r="R25" s="1121" t="s">
        <v>937</v>
      </c>
      <c r="S25" s="1122">
        <f>F25</f>
        <v>100</v>
      </c>
      <c r="T25" s="1121" t="s">
        <v>937</v>
      </c>
      <c r="U25" s="1122">
        <f>H25</f>
        <v>100</v>
      </c>
      <c r="V25" s="1121" t="s">
        <v>937</v>
      </c>
      <c r="W25" s="1122">
        <f>J25</f>
        <v>100</v>
      </c>
      <c r="X25" s="1115"/>
      <c r="Y25" s="3487"/>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87"/>
      <c r="Q26" s="681"/>
      <c r="R26" s="1121"/>
      <c r="S26" s="1122"/>
      <c r="T26" s="1121"/>
      <c r="U26" s="1122"/>
      <c r="V26" s="1121"/>
      <c r="W26" s="1122"/>
      <c r="X26" s="1115"/>
      <c r="Y26" s="3487"/>
      <c r="Z26" s="1105"/>
      <c r="AA26" s="1132">
        <v>1</v>
      </c>
      <c r="AB26" s="1132">
        <v>1</v>
      </c>
      <c r="AC26" s="1132">
        <v>1</v>
      </c>
    </row>
    <row r="27" spans="1:29" s="905" customFormat="1" ht="41.4">
      <c r="A27" s="976"/>
      <c r="B27" s="1260" t="s">
        <v>957</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87"/>
      <c r="Q27" s="1120" t="str">
        <f t="shared" si="8"/>
        <v>公共配套设施</v>
      </c>
      <c r="R27" s="1116" t="s">
        <v>937</v>
      </c>
      <c r="S27" s="1117">
        <f>F27</f>
        <v>100</v>
      </c>
      <c r="T27" s="1116" t="s">
        <v>937</v>
      </c>
      <c r="U27" s="1117">
        <f>H27</f>
        <v>100</v>
      </c>
      <c r="V27" s="1116" t="s">
        <v>937</v>
      </c>
      <c r="W27" s="1117">
        <f>J27</f>
        <v>100</v>
      </c>
      <c r="X27" s="1118"/>
      <c r="Y27" s="3487"/>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87"/>
      <c r="Q28" s="1120"/>
      <c r="R28" s="1116"/>
      <c r="S28" s="1117"/>
      <c r="T28" s="1116"/>
      <c r="U28" s="1117"/>
      <c r="V28" s="1116"/>
      <c r="W28" s="1117"/>
      <c r="X28" s="1118"/>
      <c r="Y28" s="3487"/>
      <c r="Z28" s="1131"/>
      <c r="AA28" s="1132">
        <v>1</v>
      </c>
      <c r="AB28" s="1132">
        <v>1</v>
      </c>
      <c r="AC28" s="1132">
        <v>1</v>
      </c>
    </row>
    <row r="29" spans="1:29" s="905" customFormat="1" ht="41.4">
      <c r="A29" s="976"/>
      <c r="B29" s="1260" t="s">
        <v>958</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87"/>
      <c r="Q29" s="1120" t="str">
        <f t="shared" ref="Q29" si="9">B29</f>
        <v>基础设施水平</v>
      </c>
      <c r="R29" s="1116" t="s">
        <v>937</v>
      </c>
      <c r="S29" s="1117">
        <f>F29</f>
        <v>100</v>
      </c>
      <c r="T29" s="1116" t="s">
        <v>937</v>
      </c>
      <c r="U29" s="1117">
        <f>H29</f>
        <v>100</v>
      </c>
      <c r="V29" s="1116" t="s">
        <v>937</v>
      </c>
      <c r="W29" s="1117">
        <f>J29</f>
        <v>100</v>
      </c>
      <c r="X29" s="1118"/>
      <c r="Y29" s="3487"/>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87"/>
      <c r="Q30" s="1120"/>
      <c r="R30" s="1116"/>
      <c r="S30" s="1117"/>
      <c r="T30" s="1116"/>
      <c r="U30" s="1117"/>
      <c r="V30" s="1116"/>
      <c r="W30" s="1117"/>
      <c r="X30" s="1118"/>
      <c r="Y30" s="3487"/>
      <c r="Z30" s="1131"/>
      <c r="AA30" s="1132">
        <v>1</v>
      </c>
      <c r="AB30" s="1132">
        <v>1</v>
      </c>
      <c r="AC30" s="1132">
        <v>1</v>
      </c>
    </row>
    <row r="31" spans="1:29" ht="15">
      <c r="A31" s="946"/>
      <c r="B31" s="994" t="s">
        <v>1624</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87"/>
      <c r="Q31" s="681" t="str">
        <f t="shared" si="8"/>
        <v>临街状况</v>
      </c>
      <c r="R31" s="1121" t="s">
        <v>937</v>
      </c>
      <c r="S31" s="1122">
        <f t="shared" ref="S31:S45" si="10">F31</f>
        <v>100</v>
      </c>
      <c r="T31" s="1121" t="s">
        <v>937</v>
      </c>
      <c r="U31" s="1122">
        <f t="shared" ref="U31:U45" si="11">H31</f>
        <v>100</v>
      </c>
      <c r="V31" s="1121" t="s">
        <v>937</v>
      </c>
      <c r="W31" s="1122">
        <f t="shared" ref="W31:W45" si="12">J31</f>
        <v>100</v>
      </c>
      <c r="X31" s="1115"/>
      <c r="Y31" s="3487"/>
      <c r="Z31" s="1105" t="str">
        <f t="shared" ref="Z31:Z45" si="13">Q31</f>
        <v>临街状况</v>
      </c>
      <c r="AA31" s="1132">
        <f t="shared" si="3"/>
        <v>1</v>
      </c>
      <c r="AB31" s="1132">
        <f t="shared" si="4"/>
        <v>1</v>
      </c>
      <c r="AC31" s="1132">
        <f t="shared" si="5"/>
        <v>1</v>
      </c>
    </row>
    <row r="32" spans="1:29" ht="28.8">
      <c r="A32" s="946"/>
      <c r="B32" s="1260" t="s">
        <v>960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87"/>
      <c r="Q32" s="681" t="str">
        <f t="shared" si="8"/>
        <v>毗邻道路的类型与等级</v>
      </c>
      <c r="R32" s="1121" t="s">
        <v>937</v>
      </c>
      <c r="S32" s="1122">
        <f t="shared" si="10"/>
        <v>100</v>
      </c>
      <c r="T32" s="1121" t="s">
        <v>937</v>
      </c>
      <c r="U32" s="1122">
        <f t="shared" si="11"/>
        <v>100</v>
      </c>
      <c r="V32" s="1121" t="s">
        <v>937</v>
      </c>
      <c r="W32" s="1122">
        <f t="shared" si="12"/>
        <v>100</v>
      </c>
      <c r="X32" s="1115"/>
      <c r="Y32" s="3487"/>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87"/>
      <c r="Q33" s="681"/>
      <c r="R33" s="1121"/>
      <c r="S33" s="1122"/>
      <c r="T33" s="1121"/>
      <c r="U33" s="1122"/>
      <c r="V33" s="1121"/>
      <c r="W33" s="1122"/>
      <c r="X33" s="1115"/>
      <c r="Y33" s="3487"/>
      <c r="Z33" s="1105"/>
      <c r="AA33" s="1132">
        <v>1</v>
      </c>
      <c r="AB33" s="1132">
        <v>1</v>
      </c>
      <c r="AC33" s="1132">
        <v>1</v>
      </c>
    </row>
    <row r="34" spans="1:29" ht="15">
      <c r="A34" s="946"/>
      <c r="B34" s="943" t="s">
        <v>1656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87"/>
      <c r="Q34" s="681" t="str">
        <f t="shared" si="8"/>
        <v>土地级别</v>
      </c>
      <c r="R34" s="1121" t="s">
        <v>937</v>
      </c>
      <c r="S34" s="1122">
        <f t="shared" si="10"/>
        <v>100</v>
      </c>
      <c r="T34" s="1121" t="s">
        <v>937</v>
      </c>
      <c r="U34" s="1122">
        <f t="shared" si="11"/>
        <v>100</v>
      </c>
      <c r="V34" s="1121" t="s">
        <v>937</v>
      </c>
      <c r="W34" s="1122">
        <f t="shared" si="12"/>
        <v>100</v>
      </c>
      <c r="X34" s="1115"/>
      <c r="Y34" s="3487"/>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87"/>
      <c r="Q35" s="681">
        <f t="shared" si="8"/>
        <v>111</v>
      </c>
      <c r="R35" s="1121" t="s">
        <v>937</v>
      </c>
      <c r="S35" s="1122">
        <f t="shared" si="10"/>
        <v>100</v>
      </c>
      <c r="T35" s="1121" t="s">
        <v>937</v>
      </c>
      <c r="U35" s="1122">
        <f t="shared" si="11"/>
        <v>100</v>
      </c>
      <c r="V35" s="1121" t="s">
        <v>937</v>
      </c>
      <c r="W35" s="1122">
        <f t="shared" si="12"/>
        <v>100</v>
      </c>
      <c r="X35" s="1115"/>
      <c r="Y35" s="3487"/>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45" t="s">
        <v>968</v>
      </c>
      <c r="Q36" s="681">
        <f t="shared" si="8"/>
        <v>111</v>
      </c>
      <c r="R36" s="1121" t="s">
        <v>937</v>
      </c>
      <c r="S36" s="1122">
        <f t="shared" si="10"/>
        <v>100</v>
      </c>
      <c r="T36" s="1121" t="s">
        <v>937</v>
      </c>
      <c r="U36" s="1122">
        <f t="shared" si="11"/>
        <v>100</v>
      </c>
      <c r="V36" s="1121" t="s">
        <v>937</v>
      </c>
      <c r="W36" s="1122">
        <f t="shared" si="12"/>
        <v>100</v>
      </c>
      <c r="X36" s="1115"/>
      <c r="Y36" s="3488" t="s">
        <v>968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88"/>
      <c r="Q37" s="681">
        <f t="shared" si="8"/>
        <v>111</v>
      </c>
      <c r="R37" s="1123" t="s">
        <v>937</v>
      </c>
      <c r="S37" s="1124">
        <f t="shared" si="10"/>
        <v>100</v>
      </c>
      <c r="T37" s="1123" t="s">
        <v>937</v>
      </c>
      <c r="U37" s="1124">
        <f t="shared" si="11"/>
        <v>100</v>
      </c>
      <c r="V37" s="1123" t="s">
        <v>937</v>
      </c>
      <c r="W37" s="1124">
        <f t="shared" si="12"/>
        <v>100</v>
      </c>
      <c r="X37" s="1125"/>
      <c r="Y37" s="3488"/>
      <c r="Z37" s="1133">
        <f t="shared" si="13"/>
        <v>111</v>
      </c>
      <c r="AA37" s="1132">
        <f t="shared" si="3"/>
        <v>1</v>
      </c>
      <c r="AB37" s="1132">
        <f t="shared" si="4"/>
        <v>1</v>
      </c>
      <c r="AC37" s="1132">
        <f t="shared" si="5"/>
        <v>1</v>
      </c>
    </row>
    <row r="38" spans="1:29" ht="15.6">
      <c r="A38" s="997" t="s">
        <v>965</v>
      </c>
      <c r="B38" s="994" t="s">
        <v>1657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88"/>
      <c r="Q38" s="681" t="str">
        <f t="shared" si="8"/>
        <v>宗地面积</v>
      </c>
      <c r="R38" s="1121" t="s">
        <v>937</v>
      </c>
      <c r="S38" s="1122" t="e">
        <f t="shared" si="10"/>
        <v>#N/A</v>
      </c>
      <c r="T38" s="1121" t="s">
        <v>937</v>
      </c>
      <c r="U38" s="1122" t="e">
        <f t="shared" si="11"/>
        <v>#N/A</v>
      </c>
      <c r="V38" s="1121" t="s">
        <v>937</v>
      </c>
      <c r="W38" s="1122" t="e">
        <f t="shared" si="12"/>
        <v>#N/A</v>
      </c>
      <c r="X38" s="1115"/>
      <c r="Y38" s="3488"/>
      <c r="Z38" s="1105" t="str">
        <f t="shared" si="13"/>
        <v>宗地面积</v>
      </c>
      <c r="AA38" s="1132" t="e">
        <f t="shared" si="3"/>
        <v>#N/A</v>
      </c>
      <c r="AB38" s="1132" t="e">
        <f t="shared" si="4"/>
        <v>#N/A</v>
      </c>
      <c r="AC38" s="1132" t="e">
        <f t="shared" si="5"/>
        <v>#N/A</v>
      </c>
    </row>
    <row r="39" spans="1:29" ht="15">
      <c r="A39" s="997"/>
      <c r="B39" s="943" t="s">
        <v>1658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88"/>
      <c r="Q39" s="681" t="str">
        <f t="shared" ref="Q39:Q45" si="14">B39</f>
        <v>宗地形状</v>
      </c>
      <c r="R39" s="1121" t="s">
        <v>937</v>
      </c>
      <c r="S39" s="1122">
        <f t="shared" si="10"/>
        <v>100</v>
      </c>
      <c r="T39" s="1121" t="s">
        <v>937</v>
      </c>
      <c r="U39" s="1122">
        <f t="shared" si="11"/>
        <v>100</v>
      </c>
      <c r="V39" s="1121" t="s">
        <v>937</v>
      </c>
      <c r="W39" s="1122">
        <f t="shared" si="12"/>
        <v>100</v>
      </c>
      <c r="X39" s="1115"/>
      <c r="Y39" s="3488"/>
      <c r="Z39" s="1105" t="str">
        <f t="shared" si="13"/>
        <v>宗地形状</v>
      </c>
      <c r="AA39" s="1132">
        <f t="shared" si="3"/>
        <v>1</v>
      </c>
      <c r="AB39" s="1132">
        <f t="shared" si="4"/>
        <v>1</v>
      </c>
      <c r="AC39" s="1132">
        <f t="shared" si="5"/>
        <v>1</v>
      </c>
    </row>
    <row r="40" spans="1:29" ht="15">
      <c r="A40" s="997"/>
      <c r="B40" s="943" t="s">
        <v>1659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88"/>
      <c r="Q40" s="681" t="str">
        <f t="shared" si="14"/>
        <v>临街宽度及深度</v>
      </c>
      <c r="R40" s="1121" t="s">
        <v>937</v>
      </c>
      <c r="S40" s="1122">
        <f t="shared" si="10"/>
        <v>100</v>
      </c>
      <c r="T40" s="1121" t="s">
        <v>937</v>
      </c>
      <c r="U40" s="1122">
        <f t="shared" si="11"/>
        <v>100</v>
      </c>
      <c r="V40" s="1121" t="s">
        <v>937</v>
      </c>
      <c r="W40" s="1122">
        <f t="shared" si="12"/>
        <v>100</v>
      </c>
      <c r="X40" s="1115"/>
      <c r="Y40" s="3488"/>
      <c r="Z40" s="1105" t="str">
        <f t="shared" si="13"/>
        <v>临街宽度及深度</v>
      </c>
      <c r="AA40" s="1132">
        <f t="shared" si="3"/>
        <v>1</v>
      </c>
      <c r="AB40" s="1132">
        <f t="shared" si="4"/>
        <v>1</v>
      </c>
      <c r="AC40" s="1132">
        <f t="shared" si="5"/>
        <v>1</v>
      </c>
    </row>
    <row r="41" spans="1:29" s="905" customFormat="1" ht="15">
      <c r="A41" s="999"/>
      <c r="B41" s="943" t="s">
        <v>1660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88"/>
      <c r="Q41" s="681" t="str">
        <f t="shared" si="14"/>
        <v>宗地开发程度</v>
      </c>
      <c r="R41" s="1116" t="s">
        <v>937</v>
      </c>
      <c r="S41" s="1117">
        <f t="shared" si="10"/>
        <v>100</v>
      </c>
      <c r="T41" s="1116" t="s">
        <v>937</v>
      </c>
      <c r="U41" s="1117">
        <f t="shared" si="11"/>
        <v>100</v>
      </c>
      <c r="V41" s="1116" t="s">
        <v>937</v>
      </c>
      <c r="W41" s="1117">
        <f t="shared" si="12"/>
        <v>100</v>
      </c>
      <c r="X41" s="1118"/>
      <c r="Y41" s="3488"/>
      <c r="Z41" s="1131" t="str">
        <f t="shared" si="13"/>
        <v>宗地开发程度</v>
      </c>
      <c r="AA41" s="1130">
        <f t="shared" si="3"/>
        <v>1</v>
      </c>
      <c r="AB41" s="1130">
        <f t="shared" si="4"/>
        <v>1</v>
      </c>
      <c r="AC41" s="1130">
        <f t="shared" si="5"/>
        <v>1</v>
      </c>
    </row>
    <row r="42" spans="1:29" ht="15">
      <c r="A42" s="997"/>
      <c r="B42" s="943" t="s">
        <v>1661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88" t="s">
        <v>968</v>
      </c>
      <c r="Q42" s="681" t="str">
        <f t="shared" si="14"/>
        <v>工程地质条件</v>
      </c>
      <c r="R42" s="1121" t="s">
        <v>937</v>
      </c>
      <c r="S42" s="1122">
        <f t="shared" si="10"/>
        <v>100</v>
      </c>
      <c r="T42" s="1121" t="s">
        <v>937</v>
      </c>
      <c r="U42" s="1122">
        <f t="shared" si="11"/>
        <v>100</v>
      </c>
      <c r="V42" s="1121" t="s">
        <v>937</v>
      </c>
      <c r="W42" s="1122">
        <f t="shared" si="12"/>
        <v>100</v>
      </c>
      <c r="X42" s="1115"/>
      <c r="Y42" s="3488" t="s">
        <v>968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88"/>
      <c r="Q43" s="681">
        <f t="shared" si="14"/>
        <v>111</v>
      </c>
      <c r="R43" s="1121" t="s">
        <v>937</v>
      </c>
      <c r="S43" s="1122">
        <f t="shared" si="10"/>
        <v>100</v>
      </c>
      <c r="T43" s="1121" t="s">
        <v>937</v>
      </c>
      <c r="U43" s="1122">
        <f t="shared" si="11"/>
        <v>100</v>
      </c>
      <c r="V43" s="1121" t="s">
        <v>937</v>
      </c>
      <c r="W43" s="1122">
        <f t="shared" si="12"/>
        <v>100</v>
      </c>
      <c r="X43" s="1115"/>
      <c r="Y43" s="3488"/>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88"/>
      <c r="Q44" s="681">
        <f t="shared" si="14"/>
        <v>111</v>
      </c>
      <c r="R44" s="1121" t="s">
        <v>937</v>
      </c>
      <c r="S44" s="1122">
        <f t="shared" si="10"/>
        <v>100</v>
      </c>
      <c r="T44" s="1121" t="s">
        <v>937</v>
      </c>
      <c r="U44" s="1122">
        <f t="shared" si="11"/>
        <v>100</v>
      </c>
      <c r="V44" s="1121" t="s">
        <v>937</v>
      </c>
      <c r="W44" s="1122">
        <f t="shared" si="12"/>
        <v>100</v>
      </c>
      <c r="X44" s="1115"/>
      <c r="Y44" s="3488"/>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88"/>
      <c r="Q45" s="681">
        <f t="shared" si="14"/>
        <v>111</v>
      </c>
      <c r="R45" s="1123" t="s">
        <v>937</v>
      </c>
      <c r="S45" s="1124">
        <f t="shared" si="10"/>
        <v>100</v>
      </c>
      <c r="T45" s="1123" t="s">
        <v>937</v>
      </c>
      <c r="U45" s="1124">
        <f t="shared" si="11"/>
        <v>100</v>
      </c>
      <c r="V45" s="1123" t="s">
        <v>937</v>
      </c>
      <c r="W45" s="1124">
        <f t="shared" si="12"/>
        <v>100</v>
      </c>
      <c r="X45" s="1125"/>
      <c r="Y45" s="3488"/>
      <c r="Z45" s="1133">
        <f t="shared" si="13"/>
        <v>111</v>
      </c>
      <c r="AA45" s="1132">
        <f t="shared" si="3"/>
        <v>1</v>
      </c>
      <c r="AB45" s="1132">
        <f t="shared" si="4"/>
        <v>1</v>
      </c>
      <c r="AC45" s="1132">
        <f t="shared" si="5"/>
        <v>1</v>
      </c>
    </row>
    <row r="46" spans="1:29" ht="14.4">
      <c r="A46" s="1004" t="s">
        <v>1644</v>
      </c>
      <c r="B46" s="1005" t="s">
        <v>1662</v>
      </c>
      <c r="C46" s="1006" t="s">
        <v>124</v>
      </c>
      <c r="D46" s="1007"/>
      <c r="E46" s="1008"/>
      <c r="F46" s="1009"/>
      <c r="G46" s="1010"/>
      <c r="H46" s="1011"/>
      <c r="I46" s="1008"/>
      <c r="J46" s="1011"/>
      <c r="K46" s="1096"/>
      <c r="L46" s="1097"/>
      <c r="M46" s="1021"/>
      <c r="N46" s="1073"/>
      <c r="O46" s="1021"/>
      <c r="P46" s="3473" t="str">
        <f>A46</f>
        <v>成交单价</v>
      </c>
      <c r="Q46" s="3473"/>
      <c r="R46" s="3471">
        <f>E46</f>
        <v>0</v>
      </c>
      <c r="S46" s="3471"/>
      <c r="T46" s="3471">
        <f>G46</f>
        <v>0</v>
      </c>
      <c r="U46" s="3471"/>
      <c r="V46" s="3471">
        <f>I46</f>
        <v>0</v>
      </c>
      <c r="W46" s="3471"/>
      <c r="X46" s="1061"/>
      <c r="Y46" s="1134"/>
      <c r="Z46" s="1061"/>
      <c r="AA46" s="1061"/>
      <c r="AB46" s="1061"/>
      <c r="AC46" s="1061"/>
    </row>
    <row r="47" spans="1:29" ht="14.4">
      <c r="A47" s="1012" t="s">
        <v>987</v>
      </c>
      <c r="B47" s="1013"/>
      <c r="C47" s="1014" t="e">
        <f>R48</f>
        <v>#DIV/0!</v>
      </c>
      <c r="D47" s="1015" t="s">
        <v>988</v>
      </c>
      <c r="E47" s="1014" t="e">
        <f>R47</f>
        <v>#DIV/0!</v>
      </c>
      <c r="F47" s="1016"/>
      <c r="G47" s="1017" t="e">
        <f>T47</f>
        <v>#DIV/0!</v>
      </c>
      <c r="H47" s="1016"/>
      <c r="I47" s="1014" t="e">
        <f>V47</f>
        <v>#DIV/0!</v>
      </c>
      <c r="J47" s="1016"/>
      <c r="K47" s="1098">
        <f>F47+H47+J47</f>
        <v>0</v>
      </c>
      <c r="L47" s="1097"/>
      <c r="M47" s="1021"/>
      <c r="N47" s="1021"/>
      <c r="O47" s="1021"/>
      <c r="P47" s="3473" t="str">
        <f>A47</f>
        <v>比较价值（元/平方米）</v>
      </c>
      <c r="Q47" s="3473"/>
      <c r="R47" s="3548" t="e">
        <f>ROUND(PRODUCT(R46,AA7:AA45),0)</f>
        <v>#DIV/0!</v>
      </c>
      <c r="S47" s="3548"/>
      <c r="T47" s="3548" t="e">
        <f>ROUND(PRODUCT(T46,AB7:AB45),0)</f>
        <v>#DIV/0!</v>
      </c>
      <c r="U47" s="3548"/>
      <c r="V47" s="3548" t="e">
        <f>ROUND(PRODUCT(V46,AC7:AC45),0)</f>
        <v>#DIV/0!</v>
      </c>
      <c r="W47" s="3548"/>
      <c r="X47" s="1061"/>
      <c r="Y47" s="1061"/>
      <c r="Z47" s="1061"/>
      <c r="AA47" s="1061"/>
      <c r="AB47" s="1061"/>
      <c r="AC47" s="1061"/>
    </row>
    <row r="48" spans="1:29" ht="14.4">
      <c r="A48" s="1018" t="s">
        <v>1663</v>
      </c>
      <c r="B48" s="1019"/>
      <c r="C48" s="1020" t="e">
        <f>R48</f>
        <v>#DIV/0!</v>
      </c>
      <c r="D48" s="1020"/>
      <c r="E48" s="1020"/>
      <c r="F48" s="1020"/>
      <c r="G48" s="1020"/>
      <c r="H48" s="1020"/>
      <c r="I48" s="1020"/>
      <c r="J48" s="1020"/>
      <c r="K48" s="1099"/>
      <c r="L48" s="1097"/>
      <c r="M48" s="1021"/>
      <c r="N48" s="1021"/>
      <c r="O48" s="1021"/>
      <c r="P48" s="3541" t="str">
        <f>A48</f>
        <v>估价对象XX用房的比较价值（楼面单价，元/平方米）</v>
      </c>
      <c r="Q48" s="3542"/>
      <c r="R48" s="3549" t="e">
        <f>ROUND(IF(D47="简单平均",AVERAGE(R47:W47),R47*F47+T47*H47+V47*J47),0)</f>
        <v>#DIV/0!</v>
      </c>
      <c r="S48" s="3549"/>
      <c r="T48" s="3549"/>
      <c r="U48" s="3549"/>
      <c r="V48" s="3549"/>
      <c r="W48" s="354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990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991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992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1664</v>
      </c>
      <c r="B55" s="1031" t="s">
        <v>1665</v>
      </c>
      <c r="C55" s="1032" t="s">
        <v>1666</v>
      </c>
      <c r="D55" s="1033" t="s">
        <v>1667</v>
      </c>
      <c r="E55" s="1034" t="s">
        <v>1668</v>
      </c>
      <c r="F55" s="1264" t="s">
        <v>1669</v>
      </c>
      <c r="G55" s="3495" t="s">
        <v>1670</v>
      </c>
      <c r="H55" s="3547"/>
      <c r="I55" s="1268" t="s">
        <v>1671</v>
      </c>
      <c r="J55" s="1269">
        <f>项目基本情况!F35</f>
        <v>0</v>
      </c>
      <c r="K55" s="1106" t="s">
        <v>1672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1673</v>
      </c>
      <c r="B56" s="1037" t="e">
        <f>C48</f>
        <v>#DIV/0!</v>
      </c>
      <c r="C56" s="1038">
        <v>1</v>
      </c>
      <c r="D56" s="1039">
        <v>1</v>
      </c>
      <c r="E56" s="1038">
        <f>'数据-汇总表'!E8+'数据-汇总表'!E9</f>
        <v>5858.09</v>
      </c>
      <c r="F56" s="1265" t="e">
        <f t="shared" ref="F56:F64" si="15">ROUND(B56*E56/10000,0)</f>
        <v>#DIV/0!</v>
      </c>
      <c r="G56" s="3472"/>
      <c r="H56" s="3473"/>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1674</v>
      </c>
      <c r="B57" s="167" t="e">
        <f>ROUND($C$48*C57*D57,0)</f>
        <v>#DIV/0!</v>
      </c>
      <c r="C57" s="626">
        <f t="shared" ref="C57:C64" si="16">IF($C$55="北京市系数",I57,J57)</f>
        <v>0</v>
      </c>
      <c r="D57" s="1042">
        <v>0.25</v>
      </c>
      <c r="E57" s="1043"/>
      <c r="F57" s="1265" t="e">
        <f t="shared" si="15"/>
        <v>#DIV/0!</v>
      </c>
      <c r="G57" s="1044" t="s">
        <v>1675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1676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1677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1678</v>
      </c>
      <c r="B60" s="167" t="e">
        <f t="shared" si="17"/>
        <v>#DIV/0!</v>
      </c>
      <c r="C60" s="626">
        <f t="shared" si="16"/>
        <v>0.3</v>
      </c>
      <c r="D60" s="1042">
        <v>0.25</v>
      </c>
      <c r="E60" s="166">
        <f>'数据-汇总表'!E11</f>
        <v>0</v>
      </c>
      <c r="F60" s="1265" t="e">
        <f t="shared" si="15"/>
        <v>#DIV/0!</v>
      </c>
      <c r="G60" s="1048" t="s">
        <v>1679</v>
      </c>
      <c r="H60" s="1045" t="str">
        <f>项目基本情况!C37</f>
        <v>二级</v>
      </c>
      <c r="I60" s="1270">
        <f>SUMIF(修正!A57:A68,H60,修正!E57:E68)</f>
        <v>0.3</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1680</v>
      </c>
      <c r="B61" s="167" t="e">
        <f t="shared" si="17"/>
        <v>#DIV/0!</v>
      </c>
      <c r="C61" s="626">
        <f t="shared" si="16"/>
        <v>0.3</v>
      </c>
      <c r="D61" s="1042">
        <v>0.25</v>
      </c>
      <c r="E61" s="166">
        <f>'数据-汇总表'!E12</f>
        <v>0</v>
      </c>
      <c r="F61" s="1265" t="e">
        <f t="shared" si="15"/>
        <v>#DIV/0!</v>
      </c>
      <c r="G61" s="1049" t="s">
        <v>1681</v>
      </c>
      <c r="H61" s="1045" t="str">
        <f>IF(G61="商业",项目基本情况!B37,IF(G61="办公",项目基本情况!C37,IF(G61="住宅",项目基本情况!D37,项目基本情况!E37)))</f>
        <v>二级</v>
      </c>
      <c r="I61" s="1270">
        <f>SUMIF(修正!A57:A68,H61,修正!F57:F68)</f>
        <v>0.3</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1682</v>
      </c>
      <c r="B62" s="167" t="e">
        <f t="shared" si="17"/>
        <v>#DIV/0!</v>
      </c>
      <c r="C62" s="626">
        <f t="shared" si="16"/>
        <v>0</v>
      </c>
      <c r="D62" s="1042">
        <v>0.25</v>
      </c>
      <c r="E62" s="166">
        <f>'数据-汇总表'!E13</f>
        <v>0</v>
      </c>
      <c r="F62" s="1265" t="e">
        <f t="shared" si="15"/>
        <v>#DIV/0!</v>
      </c>
      <c r="G62" s="1049" t="s">
        <v>1683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1684</v>
      </c>
      <c r="B63" s="167" t="e">
        <f t="shared" si="17"/>
        <v>#DIV/0!</v>
      </c>
      <c r="C63" s="626">
        <f t="shared" si="16"/>
        <v>0</v>
      </c>
      <c r="D63" s="1042">
        <v>0.25</v>
      </c>
      <c r="E63" s="166">
        <f>'数据-汇总表'!E14</f>
        <v>0</v>
      </c>
      <c r="F63" s="1265" t="e">
        <f t="shared" si="15"/>
        <v>#DIV/0!</v>
      </c>
      <c r="G63" s="1048" t="s">
        <v>1675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1685</v>
      </c>
      <c r="B64" s="167" t="e">
        <f t="shared" si="17"/>
        <v>#DIV/0!</v>
      </c>
      <c r="C64" s="626">
        <f t="shared" si="16"/>
        <v>0.2</v>
      </c>
      <c r="D64" s="1042">
        <v>0.25</v>
      </c>
      <c r="E64" s="166">
        <f>'数据-汇总表'!E15</f>
        <v>0</v>
      </c>
      <c r="F64" s="1265" t="e">
        <f t="shared" si="15"/>
        <v>#DIV/0!</v>
      </c>
      <c r="G64" s="1050" t="s">
        <v>1679</v>
      </c>
      <c r="H64" s="1051" t="str">
        <f>项目基本情况!C37</f>
        <v>二级</v>
      </c>
      <c r="I64" s="1273">
        <f>SUMIF(修正!A57:A68,H64,修正!G57:G68)</f>
        <v>0.2</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1686</v>
      </c>
      <c r="B65" s="1053" t="s">
        <v>1003</v>
      </c>
      <c r="C65" s="1053" t="s">
        <v>1003</v>
      </c>
      <c r="D65" s="1053" t="s">
        <v>1003</v>
      </c>
      <c r="E65" s="1053">
        <f>IF(B46="楼面地价",SUM(E56:E64),'数据-汇总表'!D3)</f>
        <v>5858.09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6">
      <c r="A68" s="1060" t="s">
        <v>993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1687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1688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994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938</v>
      </c>
      <c r="B72" s="1146"/>
      <c r="C72" s="1147" t="s">
        <v>939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995</v>
      </c>
      <c r="B74" s="1152" t="s">
        <v>943</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950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951</v>
      </c>
      <c r="B87" s="1152" t="s">
        <v>1596</v>
      </c>
      <c r="C87" s="1173" t="s">
        <v>1004</v>
      </c>
      <c r="D87" s="1173" t="s">
        <v>1005</v>
      </c>
      <c r="E87" s="1173" t="s">
        <v>1006</v>
      </c>
      <c r="F87" s="1173" t="s">
        <v>1007</v>
      </c>
      <c r="G87" s="1173" t="s">
        <v>1008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1623</v>
      </c>
      <c r="C89" s="1175" t="s">
        <v>1004</v>
      </c>
      <c r="D89" s="1175" t="s">
        <v>1005</v>
      </c>
      <c r="E89" s="1175" t="s">
        <v>1006</v>
      </c>
      <c r="F89" s="1175" t="s">
        <v>1007</v>
      </c>
      <c r="G89" s="1175" t="s">
        <v>1008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952</v>
      </c>
      <c r="C91" s="1175" t="s">
        <v>1004</v>
      </c>
      <c r="D91" s="1175" t="s">
        <v>1005</v>
      </c>
      <c r="E91" s="1175" t="s">
        <v>1006</v>
      </c>
      <c r="F91" s="1175" t="s">
        <v>1007</v>
      </c>
      <c r="G91" s="1175" t="s">
        <v>1008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956</v>
      </c>
      <c r="C93" s="1175" t="s">
        <v>1004</v>
      </c>
      <c r="D93" s="1175" t="s">
        <v>1005</v>
      </c>
      <c r="E93" s="1175" t="s">
        <v>1006</v>
      </c>
      <c r="F93" s="1175" t="s">
        <v>1007</v>
      </c>
      <c r="G93" s="1175" t="s">
        <v>1008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1654</v>
      </c>
      <c r="C95" s="1175" t="s">
        <v>1004</v>
      </c>
      <c r="D95" s="1175" t="s">
        <v>1005</v>
      </c>
      <c r="E95" s="1175" t="s">
        <v>1006</v>
      </c>
      <c r="F95" s="1175" t="s">
        <v>1007</v>
      </c>
      <c r="G95" s="1175" t="s">
        <v>1008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1655</v>
      </c>
      <c r="C97" s="1173" t="s">
        <v>1004</v>
      </c>
      <c r="D97" s="1173" t="s">
        <v>1005</v>
      </c>
      <c r="E97" s="1173" t="s">
        <v>1006</v>
      </c>
      <c r="F97" s="1173" t="s">
        <v>1007</v>
      </c>
      <c r="G97" s="1173" t="s">
        <v>1008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957</v>
      </c>
      <c r="C99" s="1173" t="s">
        <v>1004</v>
      </c>
      <c r="D99" s="1173" t="s">
        <v>1005</v>
      </c>
      <c r="E99" s="1173" t="s">
        <v>1006</v>
      </c>
      <c r="F99" s="1173" t="s">
        <v>1007</v>
      </c>
      <c r="G99" s="1173" t="s">
        <v>1008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958</v>
      </c>
      <c r="C101" s="1180" t="s">
        <v>1009</v>
      </c>
      <c r="D101" s="1180" t="s">
        <v>1010</v>
      </c>
      <c r="E101" s="1180" t="s">
        <v>1011</v>
      </c>
      <c r="F101" s="1180" t="s">
        <v>1012</v>
      </c>
      <c r="G101" s="1180" t="s">
        <v>1013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1689</v>
      </c>
      <c r="D103" s="1157" t="s">
        <v>1690</v>
      </c>
      <c r="E103" s="1157" t="s">
        <v>1691</v>
      </c>
      <c r="F103" s="1157" t="s">
        <v>1692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960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1656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965</v>
      </c>
      <c r="B115" s="1152" t="s">
        <v>1657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1658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1659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1660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1661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1651</v>
      </c>
      <c r="B1" s="915"/>
      <c r="C1" s="916" t="s">
        <v>1631</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918</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922</v>
      </c>
      <c r="B4" s="925"/>
      <c r="C4" s="3495" t="s">
        <v>923</v>
      </c>
      <c r="D4" s="3496"/>
      <c r="E4" s="3497" t="s">
        <v>924</v>
      </c>
      <c r="F4" s="3498"/>
      <c r="G4" s="3495" t="s">
        <v>925</v>
      </c>
      <c r="H4" s="3496"/>
      <c r="I4" s="3495" t="s">
        <v>926</v>
      </c>
      <c r="J4" s="3496"/>
      <c r="K4" s="1071" t="s">
        <v>927</v>
      </c>
      <c r="L4" s="1072"/>
      <c r="M4" s="1073"/>
      <c r="N4" s="1073"/>
      <c r="O4" s="1073"/>
      <c r="P4" s="3535" t="s">
        <v>928</v>
      </c>
      <c r="Q4" s="3536"/>
      <c r="R4" s="3539" t="s">
        <v>924</v>
      </c>
      <c r="S4" s="3540"/>
      <c r="T4" s="3539" t="s">
        <v>925</v>
      </c>
      <c r="U4" s="3540"/>
      <c r="V4" s="3471" t="s">
        <v>926</v>
      </c>
      <c r="W4" s="3471"/>
      <c r="X4" s="1115"/>
      <c r="Y4" s="3539" t="s">
        <v>928</v>
      </c>
      <c r="Z4" s="3540"/>
      <c r="AA4" s="3534" t="s">
        <v>924</v>
      </c>
      <c r="AB4" s="3453" t="s">
        <v>925</v>
      </c>
      <c r="AC4" s="3534" t="s">
        <v>926</v>
      </c>
    </row>
    <row r="5" spans="1:29">
      <c r="A5" s="926"/>
      <c r="B5" s="927"/>
      <c r="C5" s="3499" t="s">
        <v>929</v>
      </c>
      <c r="D5" s="3500"/>
      <c r="E5" s="3544" t="s">
        <v>1593</v>
      </c>
      <c r="F5" s="3502"/>
      <c r="G5" s="3499" t="s">
        <v>1594</v>
      </c>
      <c r="H5" s="3500"/>
      <c r="I5" s="3499" t="s">
        <v>1595</v>
      </c>
      <c r="J5" s="3500"/>
      <c r="K5" s="1071"/>
      <c r="L5" s="1072"/>
      <c r="M5" s="1073"/>
      <c r="N5" s="1073"/>
      <c r="O5" s="1073"/>
      <c r="P5" s="3537"/>
      <c r="Q5" s="3461"/>
      <c r="R5" s="3466"/>
      <c r="S5" s="3467"/>
      <c r="T5" s="3466"/>
      <c r="U5" s="3467"/>
      <c r="V5" s="3471"/>
      <c r="W5" s="3471"/>
      <c r="X5" s="1115"/>
      <c r="Y5" s="3466"/>
      <c r="Z5" s="3467"/>
      <c r="AA5" s="3453"/>
      <c r="AB5" s="3453"/>
      <c r="AC5" s="3453"/>
    </row>
    <row r="6" spans="1:29" ht="14.4">
      <c r="A6" s="928"/>
      <c r="B6" s="929"/>
      <c r="C6" s="3550" t="s">
        <v>1693</v>
      </c>
      <c r="D6" s="3551"/>
      <c r="E6" s="3552" t="s">
        <v>1693</v>
      </c>
      <c r="F6" s="3553"/>
      <c r="G6" s="3550" t="s">
        <v>1693</v>
      </c>
      <c r="H6" s="3551"/>
      <c r="I6" s="3550" t="s">
        <v>1693</v>
      </c>
      <c r="J6" s="3551"/>
      <c r="K6" s="1071" t="s">
        <v>934</v>
      </c>
      <c r="L6" s="1072"/>
      <c r="M6" s="1073"/>
      <c r="N6" s="1073"/>
      <c r="O6" s="1073"/>
      <c r="P6" s="3538"/>
      <c r="Q6" s="3463"/>
      <c r="R6" s="3466"/>
      <c r="S6" s="3467"/>
      <c r="T6" s="3468"/>
      <c r="U6" s="3469"/>
      <c r="V6" s="3471"/>
      <c r="W6" s="3471"/>
      <c r="X6" s="1115"/>
      <c r="Y6" s="3468"/>
      <c r="Z6" s="3469"/>
      <c r="AA6" s="3454"/>
      <c r="AB6" s="3454"/>
      <c r="AC6" s="3454"/>
    </row>
    <row r="7" spans="1:29" s="905" customFormat="1" ht="14.4">
      <c r="A7" s="930" t="s">
        <v>935</v>
      </c>
      <c r="B7" s="931"/>
      <c r="C7" s="932">
        <f>'数据-取费表'!B2</f>
        <v>44770</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78" t="s">
        <v>936</v>
      </c>
      <c r="Q7" s="3494"/>
      <c r="R7" s="1116" t="s">
        <v>937</v>
      </c>
      <c r="S7" s="1117">
        <f t="shared" ref="S7:S15" si="0">F7</f>
        <v>0</v>
      </c>
      <c r="T7" s="1116" t="s">
        <v>937</v>
      </c>
      <c r="U7" s="1117">
        <f t="shared" ref="U7:U15" si="1">H7</f>
        <v>0</v>
      </c>
      <c r="V7" s="1116" t="s">
        <v>937</v>
      </c>
      <c r="W7" s="1117">
        <f t="shared" ref="W7:W15" si="2">J7</f>
        <v>0</v>
      </c>
      <c r="X7" s="1118"/>
      <c r="Y7" s="3478" t="s">
        <v>936</v>
      </c>
      <c r="Z7" s="3479"/>
      <c r="AA7" s="1130" t="e">
        <f>D7/F7</f>
        <v>#DIV/0!</v>
      </c>
      <c r="AB7" s="1130" t="e">
        <f>D7/H7</f>
        <v>#DIV/0!</v>
      </c>
      <c r="AC7" s="1130" t="e">
        <f>D7/J7</f>
        <v>#DIV/0!</v>
      </c>
    </row>
    <row r="8" spans="1:29" s="905" customFormat="1" ht="14.4">
      <c r="A8" s="930" t="s">
        <v>938</v>
      </c>
      <c r="B8" s="931"/>
      <c r="C8" s="937" t="s">
        <v>939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78" t="s">
        <v>941</v>
      </c>
      <c r="Q8" s="3479"/>
      <c r="R8" s="1116" t="s">
        <v>937</v>
      </c>
      <c r="S8" s="1117">
        <f t="shared" si="0"/>
        <v>0</v>
      </c>
      <c r="T8" s="1116" t="s">
        <v>937</v>
      </c>
      <c r="U8" s="1117">
        <f t="shared" si="1"/>
        <v>0</v>
      </c>
      <c r="V8" s="1116" t="s">
        <v>937</v>
      </c>
      <c r="W8" s="1117">
        <f t="shared" si="2"/>
        <v>0</v>
      </c>
      <c r="X8" s="1118"/>
      <c r="Y8" s="3478" t="s">
        <v>941</v>
      </c>
      <c r="Z8" s="3479"/>
      <c r="AA8" s="1130" t="e">
        <f t="shared" ref="AA8:AA40" si="3">D8/F8</f>
        <v>#DIV/0!</v>
      </c>
      <c r="AB8" s="1130" t="e">
        <f t="shared" ref="AB8:AB40" si="4">D8/H8</f>
        <v>#DIV/0!</v>
      </c>
      <c r="AC8" s="1130" t="e">
        <f t="shared" ref="AC8:AC40" si="5">D8/J8</f>
        <v>#DIV/0!</v>
      </c>
    </row>
    <row r="9" spans="1:29" s="905" customFormat="1" ht="14.4">
      <c r="A9" s="938" t="s">
        <v>942</v>
      </c>
      <c r="B9" s="939" t="s">
        <v>943</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73" t="s">
        <v>945</v>
      </c>
      <c r="Q9" s="1120" t="str">
        <f t="shared" ref="Q9:Q15" si="6">B9</f>
        <v>用途</v>
      </c>
      <c r="R9" s="1116" t="s">
        <v>937</v>
      </c>
      <c r="S9" s="1117">
        <f t="shared" si="0"/>
        <v>100</v>
      </c>
      <c r="T9" s="1116" t="s">
        <v>937</v>
      </c>
      <c r="U9" s="1117">
        <f t="shared" si="1"/>
        <v>100</v>
      </c>
      <c r="V9" s="1116" t="s">
        <v>937</v>
      </c>
      <c r="W9" s="1117">
        <f t="shared" si="2"/>
        <v>100</v>
      </c>
      <c r="X9" s="1118"/>
      <c r="Y9" s="3364" t="s">
        <v>946</v>
      </c>
      <c r="Z9" s="1131" t="str">
        <f t="shared" ref="Z9:Z15" si="7">Q9</f>
        <v>用途</v>
      </c>
      <c r="AA9" s="1130">
        <f t="shared" si="3"/>
        <v>1</v>
      </c>
      <c r="AB9" s="1130">
        <f t="shared" si="4"/>
        <v>1</v>
      </c>
      <c r="AC9" s="1130">
        <f t="shared" si="5"/>
        <v>1</v>
      </c>
    </row>
    <row r="10" spans="1:29" s="906" customFormat="1" ht="28.8">
      <c r="A10" s="942"/>
      <c r="B10" s="943" t="s">
        <v>947</v>
      </c>
      <c r="C10" s="944"/>
      <c r="D10" s="945">
        <v>100</v>
      </c>
      <c r="E10" s="944"/>
      <c r="F10" s="945">
        <f>ROUND(100/'数据-取费表'!G16,0)</f>
        <v>136</v>
      </c>
      <c r="G10" s="944"/>
      <c r="H10" s="945">
        <f>ROUND(100/'数据-取费表'!G16,0)</f>
        <v>136</v>
      </c>
      <c r="I10" s="944"/>
      <c r="J10" s="945">
        <f>ROUND(100/'数据-取费表'!G16,0)</f>
        <v>136</v>
      </c>
      <c r="K10" s="1078"/>
      <c r="L10" s="1079"/>
      <c r="M10" s="1080"/>
      <c r="N10" s="1080"/>
      <c r="O10" s="1081"/>
      <c r="P10" s="3473"/>
      <c r="Q10" s="1120" t="str">
        <f t="shared" si="6"/>
        <v>土地使用年限（年）</v>
      </c>
      <c r="R10" s="1116" t="s">
        <v>937</v>
      </c>
      <c r="S10" s="1117">
        <f t="shared" si="0"/>
        <v>136</v>
      </c>
      <c r="T10" s="1116" t="s">
        <v>937</v>
      </c>
      <c r="U10" s="1117">
        <f t="shared" si="1"/>
        <v>136</v>
      </c>
      <c r="V10" s="1116" t="s">
        <v>937</v>
      </c>
      <c r="W10" s="1117">
        <f t="shared" si="2"/>
        <v>136</v>
      </c>
      <c r="X10" s="1118"/>
      <c r="Y10" s="3364"/>
      <c r="Z10" s="1131" t="str">
        <f t="shared" si="7"/>
        <v>土地使用年限（年）</v>
      </c>
      <c r="AA10" s="1130">
        <f t="shared" si="3"/>
        <v>0.73529411764705899</v>
      </c>
      <c r="AB10" s="1130">
        <f t="shared" si="4"/>
        <v>0.73529411764705899</v>
      </c>
      <c r="AC10" s="1130">
        <f t="shared" si="5"/>
        <v>0.73529411764705899</v>
      </c>
    </row>
    <row r="11" spans="1:29" ht="15">
      <c r="A11" s="946"/>
      <c r="B11" s="943" t="s">
        <v>950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73"/>
      <c r="Q11" s="1120" t="str">
        <f t="shared" si="6"/>
        <v>容积率</v>
      </c>
      <c r="R11" s="1116" t="s">
        <v>937</v>
      </c>
      <c r="S11" s="1117" t="e">
        <f t="shared" si="0"/>
        <v>#N/A</v>
      </c>
      <c r="T11" s="1116" t="s">
        <v>937</v>
      </c>
      <c r="U11" s="1117" t="e">
        <f t="shared" si="1"/>
        <v>#N/A</v>
      </c>
      <c r="V11" s="1116" t="s">
        <v>937</v>
      </c>
      <c r="W11" s="1117" t="e">
        <f t="shared" si="2"/>
        <v>#N/A</v>
      </c>
      <c r="X11" s="1118"/>
      <c r="Y11" s="336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73"/>
      <c r="Q12" s="1120">
        <f t="shared" si="6"/>
        <v>111</v>
      </c>
      <c r="R12" s="1116" t="s">
        <v>937</v>
      </c>
      <c r="S12" s="1117">
        <f t="shared" si="0"/>
        <v>100</v>
      </c>
      <c r="T12" s="1116" t="s">
        <v>937</v>
      </c>
      <c r="U12" s="1117">
        <f t="shared" si="1"/>
        <v>100</v>
      </c>
      <c r="V12" s="1116" t="s">
        <v>937</v>
      </c>
      <c r="W12" s="1117">
        <f t="shared" si="2"/>
        <v>100</v>
      </c>
      <c r="X12" s="1118"/>
      <c r="Y12" s="3364"/>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73"/>
      <c r="Q13" s="1120">
        <f t="shared" si="6"/>
        <v>111</v>
      </c>
      <c r="R13" s="1116" t="s">
        <v>937</v>
      </c>
      <c r="S13" s="1117">
        <f t="shared" si="0"/>
        <v>100</v>
      </c>
      <c r="T13" s="1116" t="s">
        <v>937</v>
      </c>
      <c r="U13" s="1117">
        <f t="shared" si="1"/>
        <v>100</v>
      </c>
      <c r="V13" s="1116" t="s">
        <v>937</v>
      </c>
      <c r="W13" s="1117">
        <f t="shared" si="2"/>
        <v>100</v>
      </c>
      <c r="X13" s="1118"/>
      <c r="Y13" s="3364"/>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73"/>
      <c r="Q14" s="1120">
        <f t="shared" si="6"/>
        <v>111</v>
      </c>
      <c r="R14" s="1116" t="s">
        <v>937</v>
      </c>
      <c r="S14" s="1117">
        <f t="shared" si="0"/>
        <v>100</v>
      </c>
      <c r="T14" s="1116" t="s">
        <v>937</v>
      </c>
      <c r="U14" s="1117">
        <f t="shared" si="1"/>
        <v>100</v>
      </c>
      <c r="V14" s="1116" t="s">
        <v>937</v>
      </c>
      <c r="W14" s="1117">
        <f t="shared" si="2"/>
        <v>100</v>
      </c>
      <c r="X14" s="1118"/>
      <c r="Y14" s="3364"/>
      <c r="Z14" s="1131">
        <f t="shared" si="7"/>
        <v>111</v>
      </c>
      <c r="AA14" s="1130">
        <f t="shared" si="3"/>
        <v>1</v>
      </c>
      <c r="AB14" s="1130">
        <f t="shared" si="4"/>
        <v>1</v>
      </c>
      <c r="AC14" s="1130">
        <f t="shared" si="5"/>
        <v>1</v>
      </c>
    </row>
    <row r="15" spans="1:29" ht="69">
      <c r="A15" s="960" t="s">
        <v>951</v>
      </c>
      <c r="B15" s="961" t="s">
        <v>1632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86" t="s">
        <v>953</v>
      </c>
      <c r="Q15" s="681" t="str">
        <f t="shared" si="6"/>
        <v>产业集聚程度</v>
      </c>
      <c r="R15" s="1121" t="s">
        <v>937</v>
      </c>
      <c r="S15" s="1122">
        <f t="shared" si="0"/>
        <v>100</v>
      </c>
      <c r="T15" s="1121" t="s">
        <v>937</v>
      </c>
      <c r="U15" s="1122">
        <f t="shared" si="1"/>
        <v>100</v>
      </c>
      <c r="V15" s="1121" t="s">
        <v>937</v>
      </c>
      <c r="W15" s="1122">
        <f t="shared" si="2"/>
        <v>100</v>
      </c>
      <c r="X15" s="1115"/>
      <c r="Y15" s="3486" t="s">
        <v>953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87"/>
      <c r="Q16" s="681"/>
      <c r="R16" s="1121"/>
      <c r="S16" s="1122"/>
      <c r="T16" s="1121"/>
      <c r="U16" s="1122"/>
      <c r="V16" s="1121"/>
      <c r="W16" s="1122"/>
      <c r="X16" s="1115"/>
      <c r="Y16" s="3487"/>
      <c r="Z16" s="1105"/>
      <c r="AA16" s="1132">
        <v>1</v>
      </c>
      <c r="AB16" s="1132">
        <v>1</v>
      </c>
      <c r="AC16" s="1132">
        <v>1</v>
      </c>
    </row>
    <row r="17" spans="1:29" ht="96.6">
      <c r="A17" s="946"/>
      <c r="B17" s="970" t="s">
        <v>956</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87"/>
      <c r="Q17" s="681" t="str">
        <f>B17</f>
        <v>交通便捷度</v>
      </c>
      <c r="R17" s="1121" t="s">
        <v>937</v>
      </c>
      <c r="S17" s="1122">
        <f>F17</f>
        <v>100</v>
      </c>
      <c r="T17" s="1121" t="s">
        <v>937</v>
      </c>
      <c r="U17" s="1122">
        <f>H17</f>
        <v>100</v>
      </c>
      <c r="V17" s="1121" t="s">
        <v>937</v>
      </c>
      <c r="W17" s="1122">
        <f>J17</f>
        <v>100</v>
      </c>
      <c r="X17" s="1115"/>
      <c r="Y17" s="3487"/>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87"/>
      <c r="Q18" s="681"/>
      <c r="R18" s="1121"/>
      <c r="S18" s="1122"/>
      <c r="T18" s="1121"/>
      <c r="U18" s="1122"/>
      <c r="V18" s="1121"/>
      <c r="W18" s="1122"/>
      <c r="X18" s="1115"/>
      <c r="Y18" s="3487"/>
      <c r="Z18" s="1105"/>
      <c r="AA18" s="1132">
        <v>1</v>
      </c>
      <c r="AB18" s="1132">
        <v>1</v>
      </c>
      <c r="AC18" s="1132">
        <v>1</v>
      </c>
    </row>
    <row r="19" spans="1:29" ht="28.8">
      <c r="A19" s="946"/>
      <c r="B19" s="970" t="s">
        <v>1654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87"/>
      <c r="Q19" s="681" t="str">
        <f t="shared" ref="Q19:Q34" si="8">B19</f>
        <v>区域土地利用方向</v>
      </c>
      <c r="R19" s="1121" t="s">
        <v>937</v>
      </c>
      <c r="S19" s="1122">
        <f>F19</f>
        <v>100</v>
      </c>
      <c r="T19" s="1121" t="s">
        <v>937</v>
      </c>
      <c r="U19" s="1122">
        <f>H19</f>
        <v>100</v>
      </c>
      <c r="V19" s="1121" t="s">
        <v>937</v>
      </c>
      <c r="W19" s="1122">
        <f>J19</f>
        <v>100</v>
      </c>
      <c r="X19" s="1115"/>
      <c r="Y19" s="3487"/>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87"/>
      <c r="Q20" s="681"/>
      <c r="R20" s="1121"/>
      <c r="S20" s="1122"/>
      <c r="T20" s="1121"/>
      <c r="U20" s="1122"/>
      <c r="V20" s="1121"/>
      <c r="W20" s="1122"/>
      <c r="X20" s="1115"/>
      <c r="Y20" s="3487"/>
      <c r="Z20" s="1105"/>
      <c r="AA20" s="1132"/>
      <c r="AB20" s="1132"/>
      <c r="AC20" s="1132"/>
    </row>
    <row r="21" spans="1:29" ht="82.8">
      <c r="A21" s="926"/>
      <c r="B21" s="970" t="s">
        <v>1694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87"/>
      <c r="Q21" s="681" t="str">
        <f t="shared" si="8"/>
        <v>环境状况</v>
      </c>
      <c r="R21" s="1121" t="s">
        <v>937</v>
      </c>
      <c r="S21" s="1122">
        <f>F21</f>
        <v>100</v>
      </c>
      <c r="T21" s="1121" t="s">
        <v>937</v>
      </c>
      <c r="U21" s="1122">
        <f>H21</f>
        <v>100</v>
      </c>
      <c r="V21" s="1121" t="s">
        <v>937</v>
      </c>
      <c r="W21" s="1122">
        <f>J21</f>
        <v>100</v>
      </c>
      <c r="X21" s="1115"/>
      <c r="Y21" s="3487"/>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87"/>
      <c r="Q22" s="681"/>
      <c r="R22" s="1121"/>
      <c r="S22" s="1122"/>
      <c r="T22" s="1121"/>
      <c r="U22" s="1122"/>
      <c r="V22" s="1121"/>
      <c r="W22" s="1122"/>
      <c r="X22" s="1115"/>
      <c r="Y22" s="3487"/>
      <c r="Z22" s="1105"/>
      <c r="AA22" s="1132">
        <v>1</v>
      </c>
      <c r="AB22" s="1132">
        <v>1</v>
      </c>
      <c r="AC22" s="1132">
        <v>1</v>
      </c>
    </row>
    <row r="23" spans="1:29" s="905" customFormat="1" ht="41.4">
      <c r="A23" s="976"/>
      <c r="B23" s="977" t="s">
        <v>957</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87"/>
      <c r="Q23" s="1120" t="str">
        <f t="shared" si="8"/>
        <v>公共配套设施</v>
      </c>
      <c r="R23" s="1116" t="s">
        <v>937</v>
      </c>
      <c r="S23" s="1117">
        <f>F23</f>
        <v>100</v>
      </c>
      <c r="T23" s="1116" t="s">
        <v>937</v>
      </c>
      <c r="U23" s="1117">
        <f>H23</f>
        <v>100</v>
      </c>
      <c r="V23" s="1116" t="s">
        <v>937</v>
      </c>
      <c r="W23" s="1117">
        <f>J23</f>
        <v>100</v>
      </c>
      <c r="X23" s="1118"/>
      <c r="Y23" s="3487"/>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87"/>
      <c r="Q24" s="1120"/>
      <c r="R24" s="1116"/>
      <c r="S24" s="1117"/>
      <c r="T24" s="1116"/>
      <c r="U24" s="1117"/>
      <c r="V24" s="1116"/>
      <c r="W24" s="1117"/>
      <c r="X24" s="1118"/>
      <c r="Y24" s="3487"/>
      <c r="Z24" s="1131"/>
      <c r="AA24" s="1130">
        <v>1</v>
      </c>
      <c r="AB24" s="1130">
        <v>1</v>
      </c>
      <c r="AC24" s="1130">
        <v>1</v>
      </c>
    </row>
    <row r="25" spans="1:29" s="905" customFormat="1" ht="41.4">
      <c r="A25" s="976"/>
      <c r="B25" s="977" t="s">
        <v>958</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87"/>
      <c r="Q25" s="1120" t="str">
        <f t="shared" ref="Q25" si="9">B25</f>
        <v>基础设施水平</v>
      </c>
      <c r="R25" s="1116" t="s">
        <v>937</v>
      </c>
      <c r="S25" s="1117">
        <f>F25</f>
        <v>100</v>
      </c>
      <c r="T25" s="1116" t="s">
        <v>937</v>
      </c>
      <c r="U25" s="1117">
        <f>H25</f>
        <v>100</v>
      </c>
      <c r="V25" s="1116" t="s">
        <v>937</v>
      </c>
      <c r="W25" s="1117">
        <f>J25</f>
        <v>100</v>
      </c>
      <c r="X25" s="1118"/>
      <c r="Y25" s="3487"/>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87"/>
      <c r="Q26" s="1120"/>
      <c r="R26" s="1116"/>
      <c r="S26" s="1117"/>
      <c r="T26" s="1116"/>
      <c r="U26" s="1117"/>
      <c r="V26" s="1116"/>
      <c r="W26" s="1117"/>
      <c r="X26" s="1118"/>
      <c r="Y26" s="3487"/>
      <c r="Z26" s="1131"/>
      <c r="AA26" s="1130">
        <v>1</v>
      </c>
      <c r="AB26" s="1130">
        <v>1</v>
      </c>
      <c r="AC26" s="1130">
        <v>1</v>
      </c>
    </row>
    <row r="27" spans="1:29" ht="15">
      <c r="A27" s="946"/>
      <c r="B27" s="974" t="s">
        <v>1624</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87"/>
      <c r="Q27" s="681" t="str">
        <f t="shared" si="8"/>
        <v>临街状况</v>
      </c>
      <c r="R27" s="1121" t="s">
        <v>937</v>
      </c>
      <c r="S27" s="1122">
        <f t="shared" ref="S27:S40" si="10">F27</f>
        <v>100</v>
      </c>
      <c r="T27" s="1121" t="s">
        <v>937</v>
      </c>
      <c r="U27" s="1122">
        <f t="shared" ref="U27:U40" si="11">H27</f>
        <v>100</v>
      </c>
      <c r="V27" s="1121" t="s">
        <v>937</v>
      </c>
      <c r="W27" s="1122">
        <f t="shared" ref="W27:W40" si="12">J27</f>
        <v>100</v>
      </c>
      <c r="X27" s="1115"/>
      <c r="Y27" s="3487"/>
      <c r="Z27" s="1105" t="str">
        <f t="shared" ref="Z27:Z40" si="13">Q27</f>
        <v>临街状况</v>
      </c>
      <c r="AA27" s="1132">
        <f t="shared" si="3"/>
        <v>1</v>
      </c>
      <c r="AB27" s="1132">
        <f t="shared" si="4"/>
        <v>1</v>
      </c>
      <c r="AC27" s="1132">
        <f t="shared" si="5"/>
        <v>1</v>
      </c>
    </row>
    <row r="28" spans="1:29" ht="28.8">
      <c r="A28" s="946"/>
      <c r="B28" s="977" t="s">
        <v>960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87"/>
      <c r="Q28" s="681" t="str">
        <f t="shared" si="8"/>
        <v>毗邻道路的类型与等级</v>
      </c>
      <c r="R28" s="1121" t="s">
        <v>937</v>
      </c>
      <c r="S28" s="1122">
        <f t="shared" si="10"/>
        <v>100</v>
      </c>
      <c r="T28" s="1121" t="s">
        <v>937</v>
      </c>
      <c r="U28" s="1122">
        <f t="shared" si="11"/>
        <v>100</v>
      </c>
      <c r="V28" s="1121" t="s">
        <v>937</v>
      </c>
      <c r="W28" s="1122">
        <f t="shared" si="12"/>
        <v>100</v>
      </c>
      <c r="X28" s="1115"/>
      <c r="Y28" s="3487"/>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87"/>
      <c r="Q29" s="681"/>
      <c r="R29" s="1121"/>
      <c r="S29" s="1122"/>
      <c r="T29" s="1121"/>
      <c r="U29" s="1122"/>
      <c r="V29" s="1121"/>
      <c r="W29" s="1122"/>
      <c r="X29" s="1115"/>
      <c r="Y29" s="3487"/>
      <c r="Z29" s="1105"/>
      <c r="AA29" s="1132">
        <v>1</v>
      </c>
      <c r="AB29" s="1132">
        <v>1</v>
      </c>
      <c r="AC29" s="1132">
        <v>1</v>
      </c>
    </row>
    <row r="30" spans="1:29" ht="15">
      <c r="A30" s="946"/>
      <c r="B30" s="983" t="s">
        <v>1656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87"/>
      <c r="Q30" s="681" t="str">
        <f t="shared" si="8"/>
        <v>土地级别</v>
      </c>
      <c r="R30" s="1121" t="s">
        <v>937</v>
      </c>
      <c r="S30" s="1122">
        <f t="shared" si="10"/>
        <v>100</v>
      </c>
      <c r="T30" s="1121" t="s">
        <v>937</v>
      </c>
      <c r="U30" s="1122">
        <f t="shared" si="11"/>
        <v>100</v>
      </c>
      <c r="V30" s="1121" t="s">
        <v>937</v>
      </c>
      <c r="W30" s="1122">
        <f t="shared" si="12"/>
        <v>100</v>
      </c>
      <c r="X30" s="1115"/>
      <c r="Y30" s="3487"/>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87"/>
      <c r="Q31" s="681">
        <f t="shared" si="8"/>
        <v>111</v>
      </c>
      <c r="R31" s="1121" t="s">
        <v>937</v>
      </c>
      <c r="S31" s="1122">
        <f t="shared" si="10"/>
        <v>100</v>
      </c>
      <c r="T31" s="1121" t="s">
        <v>937</v>
      </c>
      <c r="U31" s="1122">
        <f t="shared" si="11"/>
        <v>100</v>
      </c>
      <c r="V31" s="1121" t="s">
        <v>937</v>
      </c>
      <c r="W31" s="1122">
        <f t="shared" si="12"/>
        <v>100</v>
      </c>
      <c r="X31" s="1115"/>
      <c r="Y31" s="3487"/>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45" t="s">
        <v>968</v>
      </c>
      <c r="Q32" s="681">
        <f t="shared" si="8"/>
        <v>111</v>
      </c>
      <c r="R32" s="1121" t="s">
        <v>937</v>
      </c>
      <c r="S32" s="1122">
        <f t="shared" si="10"/>
        <v>100</v>
      </c>
      <c r="T32" s="1121" t="s">
        <v>937</v>
      </c>
      <c r="U32" s="1122">
        <f t="shared" si="11"/>
        <v>100</v>
      </c>
      <c r="V32" s="1121" t="s">
        <v>937</v>
      </c>
      <c r="W32" s="1122">
        <f t="shared" si="12"/>
        <v>100</v>
      </c>
      <c r="X32" s="1115"/>
      <c r="Y32" s="3488" t="s">
        <v>968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88"/>
      <c r="Q33" s="681">
        <f t="shared" si="8"/>
        <v>111</v>
      </c>
      <c r="R33" s="1123" t="s">
        <v>937</v>
      </c>
      <c r="S33" s="1124">
        <f t="shared" si="10"/>
        <v>100</v>
      </c>
      <c r="T33" s="1123" t="s">
        <v>937</v>
      </c>
      <c r="U33" s="1124">
        <f t="shared" si="11"/>
        <v>100</v>
      </c>
      <c r="V33" s="1123" t="s">
        <v>937</v>
      </c>
      <c r="W33" s="1124">
        <f t="shared" si="12"/>
        <v>100</v>
      </c>
      <c r="X33" s="1125"/>
      <c r="Y33" s="3488"/>
      <c r="Z33" s="1133">
        <f t="shared" si="13"/>
        <v>111</v>
      </c>
      <c r="AA33" s="1132">
        <f t="shared" si="3"/>
        <v>1</v>
      </c>
      <c r="AB33" s="1132">
        <f t="shared" si="4"/>
        <v>1</v>
      </c>
      <c r="AC33" s="1132">
        <f t="shared" si="5"/>
        <v>1</v>
      </c>
    </row>
    <row r="34" spans="1:31" ht="15">
      <c r="A34" s="960" t="s">
        <v>965</v>
      </c>
      <c r="B34" s="994" t="s">
        <v>1657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88"/>
      <c r="Q34" s="681" t="str">
        <f t="shared" si="8"/>
        <v>宗地面积</v>
      </c>
      <c r="R34" s="1121" t="s">
        <v>937</v>
      </c>
      <c r="S34" s="1122" t="e">
        <f t="shared" si="10"/>
        <v>#N/A</v>
      </c>
      <c r="T34" s="1121" t="s">
        <v>937</v>
      </c>
      <c r="U34" s="1122" t="e">
        <f t="shared" si="11"/>
        <v>#N/A</v>
      </c>
      <c r="V34" s="1121" t="s">
        <v>937</v>
      </c>
      <c r="W34" s="1122" t="e">
        <f t="shared" si="12"/>
        <v>#N/A</v>
      </c>
      <c r="X34" s="1115"/>
      <c r="Y34" s="3488"/>
      <c r="Z34" s="1105" t="str">
        <f t="shared" si="13"/>
        <v>宗地面积</v>
      </c>
      <c r="AA34" s="1132" t="e">
        <f t="shared" si="3"/>
        <v>#N/A</v>
      </c>
      <c r="AB34" s="1132" t="e">
        <f t="shared" si="4"/>
        <v>#N/A</v>
      </c>
      <c r="AC34" s="1132" t="e">
        <f t="shared" si="5"/>
        <v>#N/A</v>
      </c>
    </row>
    <row r="35" spans="1:31" ht="15">
      <c r="A35" s="997"/>
      <c r="B35" s="943" t="s">
        <v>1658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88"/>
      <c r="Q35" s="681" t="str">
        <f t="shared" ref="Q35:Q40" si="14">B35</f>
        <v>宗地形状</v>
      </c>
      <c r="R35" s="1121" t="s">
        <v>937</v>
      </c>
      <c r="S35" s="1122">
        <f t="shared" si="10"/>
        <v>100</v>
      </c>
      <c r="T35" s="1121" t="s">
        <v>937</v>
      </c>
      <c r="U35" s="1122">
        <f t="shared" si="11"/>
        <v>100</v>
      </c>
      <c r="V35" s="1121" t="s">
        <v>937</v>
      </c>
      <c r="W35" s="1122">
        <f t="shared" si="12"/>
        <v>100</v>
      </c>
      <c r="X35" s="1115"/>
      <c r="Y35" s="3488"/>
      <c r="Z35" s="1105" t="str">
        <f t="shared" si="13"/>
        <v>宗地形状</v>
      </c>
      <c r="AA35" s="1132">
        <f t="shared" si="3"/>
        <v>1</v>
      </c>
      <c r="AB35" s="1132">
        <f t="shared" si="4"/>
        <v>1</v>
      </c>
      <c r="AC35" s="1132">
        <f t="shared" si="5"/>
        <v>1</v>
      </c>
    </row>
    <row r="36" spans="1:31" s="905" customFormat="1" ht="15">
      <c r="A36" s="999"/>
      <c r="B36" s="943" t="s">
        <v>1660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88"/>
      <c r="Q36" s="681" t="str">
        <f t="shared" si="14"/>
        <v>宗地开发程度</v>
      </c>
      <c r="R36" s="1116" t="s">
        <v>937</v>
      </c>
      <c r="S36" s="1117">
        <f t="shared" si="10"/>
        <v>100</v>
      </c>
      <c r="T36" s="1116" t="s">
        <v>937</v>
      </c>
      <c r="U36" s="1117">
        <f t="shared" si="11"/>
        <v>100</v>
      </c>
      <c r="V36" s="1116" t="s">
        <v>937</v>
      </c>
      <c r="W36" s="1117">
        <f t="shared" si="12"/>
        <v>100</v>
      </c>
      <c r="X36" s="1118"/>
      <c r="Y36" s="3488"/>
      <c r="Z36" s="1131" t="str">
        <f t="shared" si="13"/>
        <v>宗地开发程度</v>
      </c>
      <c r="AA36" s="1130">
        <f t="shared" si="3"/>
        <v>1</v>
      </c>
      <c r="AB36" s="1130">
        <f t="shared" si="4"/>
        <v>1</v>
      </c>
      <c r="AC36" s="1130">
        <f t="shared" si="5"/>
        <v>1</v>
      </c>
    </row>
    <row r="37" spans="1:31" ht="15">
      <c r="A37" s="997"/>
      <c r="B37" s="943" t="s">
        <v>1661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88" t="s">
        <v>968</v>
      </c>
      <c r="Q37" s="681" t="str">
        <f t="shared" si="14"/>
        <v>工程地质条件</v>
      </c>
      <c r="R37" s="1121" t="s">
        <v>937</v>
      </c>
      <c r="S37" s="1122">
        <f t="shared" si="10"/>
        <v>100</v>
      </c>
      <c r="T37" s="1121" t="s">
        <v>937</v>
      </c>
      <c r="U37" s="1122">
        <f t="shared" si="11"/>
        <v>100</v>
      </c>
      <c r="V37" s="1121" t="s">
        <v>937</v>
      </c>
      <c r="W37" s="1122">
        <f t="shared" si="12"/>
        <v>100</v>
      </c>
      <c r="X37" s="1115"/>
      <c r="Y37" s="3488" t="s">
        <v>968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88"/>
      <c r="Q38" s="681">
        <f t="shared" si="14"/>
        <v>111</v>
      </c>
      <c r="R38" s="1121" t="s">
        <v>937</v>
      </c>
      <c r="S38" s="1122">
        <f t="shared" si="10"/>
        <v>100</v>
      </c>
      <c r="T38" s="1121" t="s">
        <v>937</v>
      </c>
      <c r="U38" s="1122">
        <f t="shared" si="11"/>
        <v>100</v>
      </c>
      <c r="V38" s="1121" t="s">
        <v>937</v>
      </c>
      <c r="W38" s="1122">
        <f t="shared" si="12"/>
        <v>100</v>
      </c>
      <c r="X38" s="1115"/>
      <c r="Y38" s="3488"/>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88"/>
      <c r="Q39" s="681">
        <f t="shared" si="14"/>
        <v>111</v>
      </c>
      <c r="R39" s="1121" t="s">
        <v>937</v>
      </c>
      <c r="S39" s="1122">
        <f t="shared" si="10"/>
        <v>100</v>
      </c>
      <c r="T39" s="1121" t="s">
        <v>937</v>
      </c>
      <c r="U39" s="1122">
        <f t="shared" si="11"/>
        <v>100</v>
      </c>
      <c r="V39" s="1121" t="s">
        <v>937</v>
      </c>
      <c r="W39" s="1122">
        <f t="shared" si="12"/>
        <v>100</v>
      </c>
      <c r="X39" s="1115"/>
      <c r="Y39" s="3488"/>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88"/>
      <c r="Q40" s="681">
        <f t="shared" si="14"/>
        <v>111</v>
      </c>
      <c r="R40" s="1123" t="s">
        <v>937</v>
      </c>
      <c r="S40" s="1124">
        <f t="shared" si="10"/>
        <v>100</v>
      </c>
      <c r="T40" s="1123" t="s">
        <v>937</v>
      </c>
      <c r="U40" s="1124">
        <f t="shared" si="11"/>
        <v>100</v>
      </c>
      <c r="V40" s="1123" t="s">
        <v>937</v>
      </c>
      <c r="W40" s="1124">
        <f t="shared" si="12"/>
        <v>100</v>
      </c>
      <c r="X40" s="1125"/>
      <c r="Y40" s="3488"/>
      <c r="Z40" s="1133">
        <f t="shared" si="13"/>
        <v>111</v>
      </c>
      <c r="AA40" s="1132">
        <f t="shared" si="3"/>
        <v>1</v>
      </c>
      <c r="AB40" s="1132">
        <f t="shared" si="4"/>
        <v>1</v>
      </c>
      <c r="AC40" s="1132">
        <f t="shared" si="5"/>
        <v>1</v>
      </c>
    </row>
    <row r="41" spans="1:31" ht="14.4">
      <c r="A41" s="1004" t="s">
        <v>1644</v>
      </c>
      <c r="B41" s="1005" t="s">
        <v>1695</v>
      </c>
      <c r="C41" s="1006" t="s">
        <v>124</v>
      </c>
      <c r="D41" s="1007"/>
      <c r="E41" s="1008"/>
      <c r="F41" s="1009"/>
      <c r="G41" s="1010"/>
      <c r="H41" s="1011"/>
      <c r="I41" s="1008"/>
      <c r="J41" s="1011"/>
      <c r="K41" s="1096"/>
      <c r="L41" s="1097"/>
      <c r="M41" s="1073"/>
      <c r="N41" s="1073"/>
      <c r="O41" s="1021"/>
      <c r="P41" s="3473" t="str">
        <f>A41</f>
        <v>成交单价</v>
      </c>
      <c r="Q41" s="3473"/>
      <c r="R41" s="3471">
        <f>E41</f>
        <v>0</v>
      </c>
      <c r="S41" s="3471"/>
      <c r="T41" s="3471">
        <f>G41</f>
        <v>0</v>
      </c>
      <c r="U41" s="3471"/>
      <c r="V41" s="3471">
        <f>I41</f>
        <v>0</v>
      </c>
      <c r="W41" s="3471"/>
      <c r="X41" s="1061"/>
      <c r="Y41" s="1134"/>
      <c r="Z41" s="1061"/>
      <c r="AA41" s="1061"/>
      <c r="AB41" s="1061"/>
      <c r="AC41" s="1061"/>
    </row>
    <row r="42" spans="1:31" ht="14.4">
      <c r="A42" s="1012" t="s">
        <v>987</v>
      </c>
      <c r="B42" s="1013"/>
      <c r="C42" s="1014" t="e">
        <f>R43</f>
        <v>#DIV/0!</v>
      </c>
      <c r="D42" s="1015" t="s">
        <v>988</v>
      </c>
      <c r="E42" s="1014" t="e">
        <f>R42</f>
        <v>#DIV/0!</v>
      </c>
      <c r="F42" s="1016"/>
      <c r="G42" s="1017" t="e">
        <f>T42</f>
        <v>#DIV/0!</v>
      </c>
      <c r="H42" s="1016"/>
      <c r="I42" s="1014" t="e">
        <f>V42</f>
        <v>#DIV/0!</v>
      </c>
      <c r="J42" s="1016"/>
      <c r="K42" s="1098">
        <f>F42+H42+J42</f>
        <v>0</v>
      </c>
      <c r="L42" s="1097"/>
      <c r="M42" s="1073"/>
      <c r="N42" s="1073"/>
      <c r="O42" s="1021"/>
      <c r="P42" s="3473" t="str">
        <f>A42</f>
        <v>比较价值（元/平方米）</v>
      </c>
      <c r="Q42" s="3473"/>
      <c r="R42" s="3548" t="e">
        <f>ROUND(PRODUCT(R41,AA7:AA40),0)</f>
        <v>#DIV/0!</v>
      </c>
      <c r="S42" s="3548"/>
      <c r="T42" s="3548" t="e">
        <f>ROUND(PRODUCT(T41,AB7:AB40),0)</f>
        <v>#DIV/0!</v>
      </c>
      <c r="U42" s="3548"/>
      <c r="V42" s="3548" t="e">
        <f>ROUND(PRODUCT(V41,AC7:AC40),0)</f>
        <v>#DIV/0!</v>
      </c>
      <c r="W42" s="3548"/>
      <c r="X42" s="1061"/>
      <c r="Y42" s="1061"/>
      <c r="Z42" s="1061"/>
      <c r="AA42" s="1061"/>
      <c r="AB42" s="1061"/>
      <c r="AC42" s="1061"/>
    </row>
    <row r="43" spans="1:31" ht="14.4">
      <c r="A43" s="1018" t="s">
        <v>989</v>
      </c>
      <c r="B43" s="1019"/>
      <c r="C43" s="1020" t="e">
        <f>R43</f>
        <v>#DIV/0!</v>
      </c>
      <c r="D43" s="1020"/>
      <c r="E43" s="1020"/>
      <c r="F43" s="1020"/>
      <c r="G43" s="1020"/>
      <c r="H43" s="1020"/>
      <c r="I43" s="1020"/>
      <c r="J43" s="1020"/>
      <c r="K43" s="1099"/>
      <c r="L43" s="1097"/>
      <c r="M43" s="1073"/>
      <c r="N43" s="1073"/>
      <c r="O43" s="1021"/>
      <c r="P43" s="3541" t="str">
        <f>A43</f>
        <v>估价对象XX用房的比较价值（楼面单价，元/平方米）</v>
      </c>
      <c r="Q43" s="3542"/>
      <c r="R43" s="3549" t="e">
        <f>ROUND(IF(D42="简单平均",AVERAGE(R42:W42),R42*F42+T42*H42+V42*J42),0)</f>
        <v>#DIV/0!</v>
      </c>
      <c r="S43" s="3549"/>
      <c r="T43" s="3549"/>
      <c r="U43" s="3549"/>
      <c r="V43" s="3549"/>
      <c r="W43" s="354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1664</v>
      </c>
      <c r="B50" s="1031" t="s">
        <v>1665</v>
      </c>
      <c r="C50" s="1032" t="s">
        <v>1666</v>
      </c>
      <c r="D50" s="1033" t="s">
        <v>1667</v>
      </c>
      <c r="E50" s="1034" t="s">
        <v>1668</v>
      </c>
      <c r="F50" s="1035" t="s">
        <v>1669</v>
      </c>
      <c r="G50" s="3495" t="s">
        <v>1670</v>
      </c>
      <c r="H50" s="3547"/>
      <c r="I50" s="1105" t="s">
        <v>1696</v>
      </c>
      <c r="J50" s="1105">
        <f>项目基本情况!F35</f>
        <v>0</v>
      </c>
      <c r="K50" s="1106" t="s">
        <v>1672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1673</v>
      </c>
      <c r="B51" s="1037" t="e">
        <f>C43</f>
        <v>#DIV/0!</v>
      </c>
      <c r="C51" s="1038">
        <v>1</v>
      </c>
      <c r="D51" s="1039">
        <v>1</v>
      </c>
      <c r="E51" s="1038">
        <f>'数据-汇总表'!E8+'数据-汇总表'!E9</f>
        <v>5858.09</v>
      </c>
      <c r="F51" s="1040" t="e">
        <f t="shared" ref="F51:F60" si="15">ROUND(B51*E51/10000,0)</f>
        <v>#DIV/0!</v>
      </c>
      <c r="G51" s="3472"/>
      <c r="H51" s="3473"/>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1674</v>
      </c>
      <c r="B52" s="167" t="e">
        <f>ROUND($C$43*C52*D52,0)</f>
        <v>#DIV/0!</v>
      </c>
      <c r="C52" s="626">
        <f t="shared" ref="C52:C60" si="16">IF($C$50="北京市系数",I52,J52)</f>
        <v>0</v>
      </c>
      <c r="D52" s="1042">
        <v>0.25</v>
      </c>
      <c r="E52" s="1043"/>
      <c r="F52" s="1040" t="e">
        <f t="shared" si="15"/>
        <v>#DIV/0!</v>
      </c>
      <c r="G52" s="1044" t="s">
        <v>1675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1676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1677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1678</v>
      </c>
      <c r="B56" s="167" t="e">
        <f t="shared" si="17"/>
        <v>#DIV/0!</v>
      </c>
      <c r="C56" s="626">
        <f t="shared" si="16"/>
        <v>0.3</v>
      </c>
      <c r="D56" s="1042">
        <v>0.25</v>
      </c>
      <c r="E56" s="166">
        <f>'数据-汇总表'!E11</f>
        <v>0</v>
      </c>
      <c r="F56" s="1040" t="e">
        <f t="shared" si="15"/>
        <v>#DIV/0!</v>
      </c>
      <c r="G56" s="1048" t="s">
        <v>1679</v>
      </c>
      <c r="H56" s="1045" t="str">
        <f>项目基本情况!C37</f>
        <v>二级</v>
      </c>
      <c r="I56" s="710">
        <f>SUMIF(修正!A57:A68,H56,修正!E57:E68)</f>
        <v>0.3</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1680</v>
      </c>
      <c r="B57" s="167" t="e">
        <f t="shared" si="17"/>
        <v>#DIV/0!</v>
      </c>
      <c r="C57" s="626">
        <f t="shared" si="16"/>
        <v>0.3</v>
      </c>
      <c r="D57" s="1042">
        <v>0.25</v>
      </c>
      <c r="E57" s="166">
        <f>'数据-汇总表'!E12</f>
        <v>0</v>
      </c>
      <c r="F57" s="1040" t="e">
        <f t="shared" si="15"/>
        <v>#DIV/0!</v>
      </c>
      <c r="G57" s="1049" t="s">
        <v>1681</v>
      </c>
      <c r="H57" s="1045" t="str">
        <f>IF(G57="商业",项目基本情况!B37,IF(G57="办公",项目基本情况!C37,IF(G57="住宅",项目基本情况!D37,项目基本情况!E37)))</f>
        <v>二级</v>
      </c>
      <c r="I57" s="710">
        <f>SUMIF(修正!A57:A68,H57,修正!F57:F68)</f>
        <v>0.3</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1682</v>
      </c>
      <c r="B58" s="167" t="e">
        <f t="shared" si="17"/>
        <v>#DIV/0!</v>
      </c>
      <c r="C58" s="626">
        <f t="shared" si="16"/>
        <v>0</v>
      </c>
      <c r="D58" s="1042">
        <v>0.25</v>
      </c>
      <c r="E58" s="166">
        <f>'数据-汇总表'!E13</f>
        <v>0</v>
      </c>
      <c r="F58" s="1040" t="e">
        <f t="shared" si="15"/>
        <v>#DIV/0!</v>
      </c>
      <c r="G58" s="1049" t="s">
        <v>1683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1684</v>
      </c>
      <c r="B59" s="167" t="e">
        <f t="shared" si="17"/>
        <v>#DIV/0!</v>
      </c>
      <c r="C59" s="626">
        <f t="shared" si="16"/>
        <v>0</v>
      </c>
      <c r="D59" s="1042">
        <v>0.25</v>
      </c>
      <c r="E59" s="166">
        <f>'数据-汇总表'!E14</f>
        <v>0</v>
      </c>
      <c r="F59" s="1040" t="e">
        <f t="shared" si="15"/>
        <v>#DIV/0!</v>
      </c>
      <c r="G59" s="1048" t="s">
        <v>1675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1685</v>
      </c>
      <c r="B60" s="167" t="e">
        <f t="shared" si="17"/>
        <v>#DIV/0!</v>
      </c>
      <c r="C60" s="626">
        <f t="shared" si="16"/>
        <v>0.2</v>
      </c>
      <c r="D60" s="1042">
        <v>0.25</v>
      </c>
      <c r="E60" s="166">
        <f>'数据-汇总表'!E15</f>
        <v>0</v>
      </c>
      <c r="F60" s="1040" t="e">
        <f t="shared" si="15"/>
        <v>#DIV/0!</v>
      </c>
      <c r="G60" s="1050" t="s">
        <v>1679</v>
      </c>
      <c r="H60" s="1051" t="str">
        <f>项目基本情况!C37</f>
        <v>二级</v>
      </c>
      <c r="I60" s="710">
        <f>SUMIF(修正!A57:A68,H60,修正!G57:G68)</f>
        <v>0.2</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1686</v>
      </c>
      <c r="B61" s="1053" t="s">
        <v>1003</v>
      </c>
      <c r="C61" s="1053" t="s">
        <v>1003</v>
      </c>
      <c r="D61" s="1053" t="s">
        <v>1003</v>
      </c>
      <c r="E61" s="1053">
        <f>IF(B41="楼面地价",SUM(E51:E60),'数据-汇总表'!D3)</f>
        <v>756.32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6">
      <c r="A64" s="1060" t="s">
        <v>993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1687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1697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994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938</v>
      </c>
      <c r="B68" s="1146"/>
      <c r="C68" s="1147" t="s">
        <v>939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995</v>
      </c>
      <c r="B70" s="1152" t="s">
        <v>943</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950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951</v>
      </c>
      <c r="B83" s="1152" t="s">
        <v>1632</v>
      </c>
      <c r="C83" s="1173" t="s">
        <v>1004</v>
      </c>
      <c r="D83" s="1173" t="s">
        <v>1005</v>
      </c>
      <c r="E83" s="1173" t="s">
        <v>1006</v>
      </c>
      <c r="F83" s="1173" t="s">
        <v>1007</v>
      </c>
      <c r="G83" s="1173" t="s">
        <v>1008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956</v>
      </c>
      <c r="C85" s="1175" t="s">
        <v>1004</v>
      </c>
      <c r="D85" s="1175" t="s">
        <v>1005</v>
      </c>
      <c r="E85" s="1175" t="s">
        <v>1006</v>
      </c>
      <c r="F85" s="1175" t="s">
        <v>1007</v>
      </c>
      <c r="G85" s="1175" t="s">
        <v>1008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1654</v>
      </c>
      <c r="C87" s="1173" t="s">
        <v>1004</v>
      </c>
      <c r="D87" s="1173" t="s">
        <v>1005</v>
      </c>
      <c r="E87" s="1173" t="s">
        <v>1006</v>
      </c>
      <c r="F87" s="1173" t="s">
        <v>1007</v>
      </c>
      <c r="G87" s="1173" t="s">
        <v>1008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1655</v>
      </c>
      <c r="C89" s="1173" t="s">
        <v>1004</v>
      </c>
      <c r="D89" s="1173" t="s">
        <v>1005</v>
      </c>
      <c r="E89" s="1173" t="s">
        <v>1006</v>
      </c>
      <c r="F89" s="1173" t="s">
        <v>1007</v>
      </c>
      <c r="G89" s="1173" t="s">
        <v>1008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957</v>
      </c>
      <c r="C91" s="1173" t="s">
        <v>1004</v>
      </c>
      <c r="D91" s="1173" t="s">
        <v>1005</v>
      </c>
      <c r="E91" s="1173" t="s">
        <v>1006</v>
      </c>
      <c r="F91" s="1173" t="s">
        <v>1007</v>
      </c>
      <c r="G91" s="1173" t="s">
        <v>1008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958</v>
      </c>
      <c r="C93" s="1180" t="s">
        <v>1009</v>
      </c>
      <c r="D93" s="1180" t="s">
        <v>1010</v>
      </c>
      <c r="E93" s="1180" t="s">
        <v>1011</v>
      </c>
      <c r="F93" s="1180" t="s">
        <v>1012</v>
      </c>
      <c r="G93" s="1180" t="s">
        <v>1013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1689</v>
      </c>
      <c r="D95" s="1157" t="s">
        <v>1690</v>
      </c>
      <c r="E95" s="1157" t="s">
        <v>1691</v>
      </c>
      <c r="F95" s="1157" t="s">
        <v>1692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960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1656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965</v>
      </c>
      <c r="B107" s="1152" t="s">
        <v>1657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1658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1660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1661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1698</v>
      </c>
      <c r="B1" s="147"/>
      <c r="C1" s="150" t="s">
        <v>921</v>
      </c>
      <c r="D1" s="592">
        <f>SUM(D29:D30,D33:D39)</f>
        <v>0</v>
      </c>
      <c r="E1" s="593"/>
      <c r="F1" s="593"/>
      <c r="G1" s="593"/>
      <c r="H1" s="593"/>
      <c r="I1" s="593"/>
      <c r="J1" s="593"/>
      <c r="K1" s="585"/>
      <c r="L1" s="763" t="s">
        <v>1699</v>
      </c>
      <c r="M1" s="764">
        <f>SUMPRODUCT((区片价!B5:B9=I2)*(区片价!C3:F3=E2)*(区片价!C5:F9))</f>
        <v>0</v>
      </c>
      <c r="N1" s="765">
        <f>SUMPRODUCT((因素修正幅度!B5:B9=I2)*(因素修正幅度!C3:F3=E2)*(因素修正幅度!C5:F9))</f>
        <v>0</v>
      </c>
      <c r="O1" s="586"/>
      <c r="P1" s="586"/>
      <c r="Q1" s="585"/>
      <c r="R1" s="844" t="s">
        <v>1700</v>
      </c>
      <c r="S1" s="844" t="s">
        <v>1701</v>
      </c>
      <c r="T1" s="844" t="s">
        <v>1702</v>
      </c>
      <c r="U1" s="844" t="s">
        <v>1703</v>
      </c>
      <c r="V1" s="844" t="s">
        <v>1704</v>
      </c>
      <c r="W1" s="845"/>
      <c r="X1" s="845"/>
      <c r="Y1" s="845"/>
      <c r="Z1" s="845"/>
      <c r="AA1" s="845"/>
      <c r="AB1" s="845"/>
      <c r="AC1" s="853"/>
      <c r="AD1" s="854"/>
      <c r="AE1" s="854"/>
      <c r="AF1" s="854"/>
      <c r="AG1" s="854"/>
      <c r="AH1" s="854"/>
      <c r="AI1" s="854"/>
      <c r="AJ1" s="864"/>
    </row>
    <row r="2" spans="1:36" ht="15.6">
      <c r="A2" s="150" t="s">
        <v>918</v>
      </c>
      <c r="B2" s="154" t="e">
        <f>C26</f>
        <v>#DIV/0!</v>
      </c>
      <c r="C2" s="594" t="s">
        <v>919</v>
      </c>
      <c r="D2" s="595" t="s">
        <v>1705</v>
      </c>
      <c r="E2" s="596"/>
      <c r="F2" s="595" t="s">
        <v>1706</v>
      </c>
      <c r="G2" s="597">
        <f>IF(E2="商业",项目基本情况!B37,IF(E2="办公",项目基本情况!C37,IF(E2="住宅",项目基本情况!D37,项目基本情况!E37)))</f>
        <v>0</v>
      </c>
      <c r="H2" s="595" t="s">
        <v>1707</v>
      </c>
      <c r="I2" s="597">
        <f>IF(E2="商业",项目基本情况!B38,IF(E2="办公",项目基本情况!C38,IF(E2="住宅",项目基本情况!D38,项目基本情况!E38)))</f>
        <v>0</v>
      </c>
      <c r="J2" s="766"/>
      <c r="K2" s="585"/>
      <c r="L2" s="767" t="s">
        <v>1708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920</v>
      </c>
      <c r="B3" s="154" t="e">
        <f>ROUND(B2*10000/D1,0)</f>
        <v>#DIV/0!</v>
      </c>
      <c r="C3" s="594" t="s">
        <v>1311</v>
      </c>
      <c r="D3" s="595" t="s">
        <v>1709</v>
      </c>
      <c r="E3" s="598"/>
      <c r="F3" s="599" t="s">
        <v>1710</v>
      </c>
      <c r="G3" s="600">
        <f>IF(F3="宗地容积率",'数据-汇总表'!I4,IF(F3="估价对象容积率",'数据-汇总表'!I6,'数据-汇总表'!I7))</f>
        <v>7.75</v>
      </c>
      <c r="H3" s="601" t="s">
        <v>1711</v>
      </c>
      <c r="I3" s="769"/>
      <c r="J3" s="766" t="s">
        <v>1712</v>
      </c>
      <c r="K3" s="585"/>
      <c r="L3" s="767" t="s">
        <v>1713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70"/>
      <c r="B4" s="3571"/>
      <c r="C4" s="3571"/>
      <c r="D4" s="3572"/>
      <c r="E4" s="3572"/>
      <c r="F4" s="3572"/>
      <c r="G4" s="3572"/>
      <c r="H4" s="3572"/>
      <c r="I4" s="3572"/>
      <c r="J4" s="3573"/>
      <c r="K4" s="585"/>
      <c r="L4" s="767" t="s">
        <v>1714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819</v>
      </c>
      <c r="B5" s="603" t="s">
        <v>1715</v>
      </c>
      <c r="C5" s="604" t="e">
        <f>ROUND(IF(E2="商业",C6*C7+C16,(IF(E2="住宅",C6*C12+C16,C6+C16))),0)</f>
        <v>#DIV/0!</v>
      </c>
      <c r="D5" s="605" t="e">
        <f>ROUND(C6+C16,0)</f>
        <v>#DIV/0!</v>
      </c>
      <c r="E5" s="605"/>
      <c r="F5" s="606"/>
      <c r="G5" s="607"/>
      <c r="H5" s="607"/>
      <c r="I5" s="607"/>
      <c r="J5" s="770"/>
      <c r="K5" s="771"/>
      <c r="L5" s="767" t="s">
        <v>1716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1313</v>
      </c>
      <c r="B6" s="609" t="s">
        <v>1717</v>
      </c>
      <c r="C6" s="610">
        <f>SUMIF(L1:L12,G2,M1:M12)</f>
        <v>0</v>
      </c>
      <c r="D6" s="611" t="s">
        <v>1718</v>
      </c>
      <c r="E6" s="612"/>
      <c r="F6" s="612"/>
      <c r="G6" s="613"/>
      <c r="H6" s="613"/>
      <c r="I6" s="613"/>
      <c r="J6" s="772"/>
      <c r="K6" s="773"/>
      <c r="L6" s="767" t="s">
        <v>1719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5" t="str">
        <f>IF(E2="商业",IF(C8="不临58条商业街","",2),"")</f>
        <v/>
      </c>
      <c r="B7" s="614" t="s">
        <v>1720</v>
      </c>
      <c r="C7" s="615" t="e">
        <f>IF(C8="不临58条商业街",1,ROUND(1+(1.6*E8+1.2*E9+0.8*E10+0.4*E11)*C9,4))</f>
        <v>#DIV/0!</v>
      </c>
      <c r="D7" s="616" t="s">
        <v>1721</v>
      </c>
      <c r="E7" s="617"/>
      <c r="F7" s="618"/>
      <c r="G7" s="619"/>
      <c r="H7" s="619"/>
      <c r="I7" s="619"/>
      <c r="J7" s="774"/>
      <c r="K7" s="773"/>
      <c r="L7" s="767" t="s">
        <v>1722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1723</v>
      </c>
      <c r="X7" s="848">
        <f>G2</f>
        <v>0</v>
      </c>
      <c r="Y7" s="848" t="s">
        <v>1724</v>
      </c>
      <c r="Z7" s="857">
        <f>G3</f>
        <v>7.75</v>
      </c>
      <c r="AA7" s="845"/>
      <c r="AB7" s="845"/>
      <c r="AC7" s="853"/>
      <c r="AD7" s="854"/>
      <c r="AE7" s="854"/>
      <c r="AF7" s="854"/>
      <c r="AG7" s="854"/>
      <c r="AH7" s="854"/>
      <c r="AI7" s="854"/>
      <c r="AJ7" s="864"/>
    </row>
    <row r="8" spans="1:36" ht="15">
      <c r="A8" s="3556"/>
      <c r="B8" s="601" t="s">
        <v>1725</v>
      </c>
      <c r="C8" s="620"/>
      <c r="D8" s="621" t="s">
        <v>1726</v>
      </c>
      <c r="E8" s="622" t="e">
        <f>ROUND(C11/E7,4)</f>
        <v>#DIV/0!</v>
      </c>
      <c r="F8" s="623" t="s">
        <v>1727</v>
      </c>
      <c r="G8" s="624"/>
      <c r="H8" s="624"/>
      <c r="I8" s="624"/>
      <c r="J8" s="775"/>
      <c r="K8" s="585"/>
      <c r="L8" s="767" t="s">
        <v>1728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74" t="s">
        <v>1729</v>
      </c>
      <c r="X8" s="3575"/>
      <c r="Y8" s="858" t="s">
        <v>1730</v>
      </c>
      <c r="Z8" s="858" t="s">
        <v>1731</v>
      </c>
      <c r="AA8" s="858" t="s">
        <v>1732</v>
      </c>
      <c r="AB8" s="858" t="s">
        <v>1733</v>
      </c>
      <c r="AC8" s="858" t="s">
        <v>1734</v>
      </c>
      <c r="AD8" s="858" t="s">
        <v>1735</v>
      </c>
      <c r="AE8" s="858" t="s">
        <v>1736</v>
      </c>
      <c r="AF8" s="858" t="s">
        <v>1737</v>
      </c>
      <c r="AG8" s="858" t="s">
        <v>1738</v>
      </c>
      <c r="AH8" s="858" t="s">
        <v>1739</v>
      </c>
      <c r="AI8" s="858" t="s">
        <v>1740</v>
      </c>
      <c r="AJ8" s="858" t="s">
        <v>1741</v>
      </c>
    </row>
    <row r="9" spans="1:36" ht="15">
      <c r="A9" s="3556"/>
      <c r="B9" s="601" t="s">
        <v>1742</v>
      </c>
      <c r="C9" s="625">
        <f>SUMIF(修正!C71:C138,C8,修正!E71:E138)</f>
        <v>0</v>
      </c>
      <c r="D9" s="626" t="s">
        <v>1743</v>
      </c>
      <c r="E9" s="626" t="e">
        <f>ROUND(C11/E7,4)</f>
        <v>#DIV/0!</v>
      </c>
      <c r="F9" s="623" t="s">
        <v>1744</v>
      </c>
      <c r="G9" s="624"/>
      <c r="H9" s="624"/>
      <c r="I9" s="624"/>
      <c r="J9" s="775"/>
      <c r="K9" s="585"/>
      <c r="L9" s="767" t="s">
        <v>1745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79" t="s">
        <v>1746</v>
      </c>
      <c r="X9" s="849" t="s">
        <v>1747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6"/>
      <c r="B10" s="601" t="s">
        <v>1748</v>
      </c>
      <c r="C10" s="626">
        <f>SUMIF(修正!C71:C138,C8,修正!F71:F138)</f>
        <v>0</v>
      </c>
      <c r="D10" s="626" t="s">
        <v>1749</v>
      </c>
      <c r="E10" s="626" t="e">
        <f>ROUND(C11/E7,4)</f>
        <v>#DIV/0!</v>
      </c>
      <c r="F10" s="623" t="s">
        <v>1750</v>
      </c>
      <c r="G10" s="624"/>
      <c r="H10" s="624"/>
      <c r="I10" s="624"/>
      <c r="J10" s="775"/>
      <c r="K10" s="585"/>
      <c r="L10" s="767" t="s">
        <v>1751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79"/>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6"/>
      <c r="B11" s="627" t="s">
        <v>1752</v>
      </c>
      <c r="C11" s="628">
        <f>C10/4</f>
        <v>0</v>
      </c>
      <c r="D11" s="628" t="s">
        <v>1753</v>
      </c>
      <c r="E11" s="628" t="e">
        <f>ROUND(C11/E7,4)</f>
        <v>#DIV/0!</v>
      </c>
      <c r="F11" s="629" t="s">
        <v>1754</v>
      </c>
      <c r="G11" s="630"/>
      <c r="H11" s="630"/>
      <c r="I11" s="630"/>
      <c r="J11" s="776"/>
      <c r="K11" s="585"/>
      <c r="L11" s="767" t="s">
        <v>1755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79" t="s">
        <v>1756</v>
      </c>
      <c r="X11" s="850" t="s">
        <v>1724</v>
      </c>
      <c r="Y11" s="862">
        <f>$G$3</f>
        <v>7.75</v>
      </c>
      <c r="Z11" s="862">
        <f t="shared" ref="Z11:AJ11" si="3">$G$3</f>
        <v>7.75</v>
      </c>
      <c r="AA11" s="862">
        <f t="shared" si="3"/>
        <v>7.75</v>
      </c>
      <c r="AB11" s="862">
        <f t="shared" si="3"/>
        <v>7.75</v>
      </c>
      <c r="AC11" s="862">
        <f t="shared" si="3"/>
        <v>7.75</v>
      </c>
      <c r="AD11" s="862">
        <f t="shared" si="3"/>
        <v>7.75</v>
      </c>
      <c r="AE11" s="862">
        <f t="shared" si="3"/>
        <v>7.75</v>
      </c>
      <c r="AF11" s="862">
        <f t="shared" si="3"/>
        <v>7.75</v>
      </c>
      <c r="AG11" s="862">
        <f t="shared" si="3"/>
        <v>7.75</v>
      </c>
      <c r="AH11" s="862">
        <f t="shared" si="3"/>
        <v>7.75</v>
      </c>
      <c r="AI11" s="862">
        <f t="shared" si="3"/>
        <v>7.75</v>
      </c>
      <c r="AJ11" s="862">
        <f t="shared" si="3"/>
        <v>7.75</v>
      </c>
    </row>
    <row r="12" spans="1:36" ht="25.2">
      <c r="A12" s="3555" t="s">
        <v>1520</v>
      </c>
      <c r="B12" s="631" t="s">
        <v>1757</v>
      </c>
      <c r="C12" s="615">
        <f>ROUND(C15*D15*E15*F15*G15*H15*I15*J15,4)</f>
        <v>1</v>
      </c>
      <c r="D12" s="632" t="s">
        <v>1758</v>
      </c>
      <c r="E12" s="633"/>
      <c r="F12" s="633"/>
      <c r="G12" s="634"/>
      <c r="H12" s="634"/>
      <c r="I12" s="634"/>
      <c r="J12" s="777"/>
      <c r="K12" s="585"/>
      <c r="L12" s="778" t="s">
        <v>1759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79"/>
      <c r="X12" s="851" t="s">
        <v>1760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7"/>
      <c r="B13" s="635" t="s">
        <v>1761</v>
      </c>
      <c r="C13" s="636" t="s">
        <v>1762</v>
      </c>
      <c r="D13" s="637" t="s">
        <v>1763</v>
      </c>
      <c r="E13" s="637" t="s">
        <v>1764</v>
      </c>
      <c r="F13" s="638" t="s">
        <v>1765</v>
      </c>
      <c r="G13" s="639" t="s">
        <v>1766</v>
      </c>
      <c r="H13" s="639" t="s">
        <v>1766</v>
      </c>
      <c r="I13" s="639" t="s">
        <v>1766</v>
      </c>
      <c r="J13" s="780" t="s">
        <v>1766</v>
      </c>
      <c r="K13" s="585"/>
      <c r="L13" s="585"/>
      <c r="M13" s="585"/>
      <c r="N13" s="585"/>
      <c r="O13" s="585"/>
      <c r="P13" s="585"/>
      <c r="Q13" s="585"/>
      <c r="R13" s="844">
        <v>12</v>
      </c>
      <c r="S13" s="846"/>
      <c r="T13" s="844" t="e">
        <f t="shared" si="0"/>
        <v>#DIV/0!</v>
      </c>
      <c r="U13" s="846"/>
      <c r="V13" s="844" t="e">
        <f t="shared" si="1"/>
        <v>#DIV/0!</v>
      </c>
      <c r="W13" s="3579"/>
      <c r="X13" s="851"/>
      <c r="Y13" s="861">
        <f>(-0.163*(Y12^2)-0.59*Y12+7617)*(10^(-4))/Y11</f>
        <v>9.8283870967741896E-2</v>
      </c>
      <c r="Z13" s="861">
        <f t="shared" ref="Z13:AJ13" si="5">(-0.163*(Z12^2)-0.59*Z12+7617)*(10^(-4))/Z11</f>
        <v>9.8283870967741896E-2</v>
      </c>
      <c r="AA13" s="861">
        <f t="shared" si="5"/>
        <v>9.8283870967741896E-2</v>
      </c>
      <c r="AB13" s="861">
        <f t="shared" si="5"/>
        <v>9.8283870967741896E-2</v>
      </c>
      <c r="AC13" s="861">
        <f t="shared" si="5"/>
        <v>9.8283870967741896E-2</v>
      </c>
      <c r="AD13" s="861">
        <f t="shared" si="5"/>
        <v>9.8283870967741896E-2</v>
      </c>
      <c r="AE13" s="861">
        <f t="shared" si="5"/>
        <v>9.8283870967741896E-2</v>
      </c>
      <c r="AF13" s="861">
        <f t="shared" si="5"/>
        <v>9.8283870967741896E-2</v>
      </c>
      <c r="AG13" s="861">
        <f t="shared" si="5"/>
        <v>9.8283870967741896E-2</v>
      </c>
      <c r="AH13" s="861">
        <f t="shared" si="5"/>
        <v>9.8283870967741896E-2</v>
      </c>
      <c r="AI13" s="861">
        <f t="shared" si="5"/>
        <v>9.8283870967741896E-2</v>
      </c>
      <c r="AJ13" s="861">
        <f t="shared" si="5"/>
        <v>9.8283870967741896E-2</v>
      </c>
    </row>
    <row r="14" spans="1:36" ht="15">
      <c r="A14" s="3557"/>
      <c r="B14" s="640"/>
      <c r="C14" s="641"/>
      <c r="D14" s="642"/>
      <c r="E14" s="642"/>
      <c r="F14" s="643"/>
      <c r="G14" s="644" t="s">
        <v>1767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8"/>
      <c r="B15" s="646" t="s">
        <v>1768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5" t="s">
        <v>1524</v>
      </c>
      <c r="B16" s="614" t="s">
        <v>1769</v>
      </c>
      <c r="C16" s="649" t="e">
        <f>ROUND(IF(F17="与级别开发程度一致",0,(G17-E17)/C17),0)</f>
        <v>#DIV/0!</v>
      </c>
      <c r="D16" s="3576" t="s">
        <v>1770</v>
      </c>
      <c r="E16" s="3577"/>
      <c r="F16" s="3576" t="s">
        <v>1771</v>
      </c>
      <c r="G16" s="3577"/>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59"/>
      <c r="B17" s="652" t="s">
        <v>1772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830</v>
      </c>
      <c r="B18" s="658" t="s">
        <v>1773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835</v>
      </c>
      <c r="B19" s="663" t="s">
        <v>1774</v>
      </c>
      <c r="C19" s="664" t="e">
        <f>ROUND(IF(H19="按公示增长率计算",SUMPRODUCT((地价!A3:A37=YEAR(G19)&amp;"-"&amp;ROUNDUP(MONTH(G19)/3,0))*(地价!X2:AB2=E2)*(地价!X3:AB37)),IF(H19="地价指数",M20/M19,(1+I19)^O19)),4)</f>
        <v>#VALUE!</v>
      </c>
      <c r="D19" s="665" t="s">
        <v>1775</v>
      </c>
      <c r="E19" s="666">
        <v>41640</v>
      </c>
      <c r="F19" s="665" t="s">
        <v>1776</v>
      </c>
      <c r="G19" s="667">
        <f>'数据-取费表'!B2</f>
        <v>44770</v>
      </c>
      <c r="H19" s="668"/>
      <c r="I19" s="792" t="str">
        <f>IF(H19="季度增幅（自定义）",SUMIF(N21:N24,E2,O21:O24),"")</f>
        <v/>
      </c>
      <c r="J19" s="793"/>
      <c r="K19" s="789"/>
      <c r="L19" s="794" t="s">
        <v>1777</v>
      </c>
      <c r="M19" s="795">
        <f>ROUND(SUMIF(地价!B2:F2,E2,地价!B37:F37),0)</f>
        <v>0</v>
      </c>
      <c r="N19" s="796" t="s">
        <v>1778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838</v>
      </c>
      <c r="B20" s="670" t="s">
        <v>1779</v>
      </c>
      <c r="C20" s="671" t="e">
        <f>ROUND(POWER(1+G20,J20-I20)*(POWER(1+G20,I20)-1)/(POWER(1+G20,J20)-1),4)</f>
        <v>#DIV/0!</v>
      </c>
      <c r="D20" s="672" t="s">
        <v>1780</v>
      </c>
      <c r="E20" s="673">
        <f>存贷款利率!E21/100</f>
        <v>4.3499999999999997E-2</v>
      </c>
      <c r="F20" s="672" t="s">
        <v>1781</v>
      </c>
      <c r="G20" s="674">
        <f>SUMIF(M26:P26,E2,M28:P28)</f>
        <v>0</v>
      </c>
      <c r="H20" s="672" t="s">
        <v>1782</v>
      </c>
      <c r="I20" s="650" t="e">
        <f>SUMIF('数据-取费表'!C6:C15,E2,'数据-取费表'!F6:F15)/COUNTIF('数据-取费表'!C6:C15,E2)</f>
        <v>#DIV/0!</v>
      </c>
      <c r="J20" s="799">
        <f>IF(E2="住宅",70,IF(E2="商业",40,50))</f>
        <v>50</v>
      </c>
      <c r="K20" s="789"/>
      <c r="L20" s="800" t="s">
        <v>1783</v>
      </c>
      <c r="M20" s="801">
        <f>ROUND(SUMPRODUCT((地价!A4:A37=YEAR(G19)&amp;"-"&amp;ROUNDUP(MONTH(G19)/3,0))*(地价!B2:F2=E2)*(地价!B4:F37)),0)</f>
        <v>0</v>
      </c>
      <c r="N20" s="802" t="s">
        <v>1784</v>
      </c>
      <c r="O20" s="803" t="s">
        <v>1785</v>
      </c>
      <c r="P20" s="804" t="s">
        <v>1786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861</v>
      </c>
      <c r="B21" s="676" t="s">
        <v>1787</v>
      </c>
      <c r="C21" s="677">
        <f>IF(B21="容积率修正",IF(G3&lt;=10,D22,J22),C23)</f>
        <v>0</v>
      </c>
      <c r="D21" s="678"/>
      <c r="E21" s="678"/>
      <c r="F21" s="678"/>
      <c r="G21" s="678"/>
      <c r="H21" s="678"/>
      <c r="I21" s="678"/>
      <c r="J21" s="805"/>
      <c r="K21" s="789"/>
      <c r="L21" s="790"/>
      <c r="M21" s="790"/>
      <c r="N21" s="806" t="s">
        <v>1788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1789</v>
      </c>
      <c r="B22" s="680" t="s">
        <v>1790</v>
      </c>
      <c r="C22" s="681" t="s">
        <v>1791</v>
      </c>
      <c r="D22" s="681">
        <f>IF(E22=G22,F22,IF(G3&lt;=10,ROUND(F22+(H22-F22)*(G3-E22)/(G22-E22),4),"——"))</f>
        <v>0</v>
      </c>
      <c r="E22" s="600">
        <f>ROUNDDOWN(G3,1)</f>
        <v>7.7</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7.8</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1792</v>
      </c>
      <c r="J22" s="809" t="str">
        <f>IF(G3&gt;10,D113,"——")</f>
        <v>——</v>
      </c>
      <c r="K22" s="789"/>
      <c r="L22" s="790"/>
      <c r="M22" s="790"/>
      <c r="N22" s="806" t="s">
        <v>1793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1794</v>
      </c>
      <c r="B23" s="682" t="s">
        <v>1795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1796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1797</v>
      </c>
      <c r="B24" s="663" t="s">
        <v>1798</v>
      </c>
      <c r="C24" s="664">
        <f>SUMIF(A45:A88,E2,B45:B88)</f>
        <v>0</v>
      </c>
      <c r="D24" s="687"/>
      <c r="E24" s="688"/>
      <c r="F24" s="688"/>
      <c r="G24" s="688"/>
      <c r="H24" s="688"/>
      <c r="I24" s="688"/>
      <c r="J24" s="812"/>
      <c r="K24" s="789"/>
      <c r="L24" s="790"/>
      <c r="M24" s="790"/>
      <c r="N24" s="813" t="s">
        <v>1799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1800</v>
      </c>
      <c r="B25" s="689" t="s">
        <v>1801</v>
      </c>
      <c r="C25" s="690"/>
      <c r="D25" s="619"/>
      <c r="E25" s="619"/>
      <c r="F25" s="691"/>
      <c r="G25" s="619"/>
      <c r="H25" s="619"/>
      <c r="I25" s="619"/>
      <c r="J25" s="774"/>
      <c r="K25" s="585"/>
      <c r="L25" s="586"/>
      <c r="M25" s="586"/>
      <c r="N25" s="816" t="s">
        <v>1802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1803</v>
      </c>
      <c r="C26" s="693" t="e">
        <f>IF(B21="容积率修正",E29+SUM(E33:E39),SUM(V2:V16)+SUM(E33:E39))</f>
        <v>#DIV/0!</v>
      </c>
      <c r="D26" s="694"/>
      <c r="E26" s="645"/>
      <c r="F26" s="695"/>
      <c r="G26" s="645"/>
      <c r="H26" s="645"/>
      <c r="I26" s="645"/>
      <c r="J26" s="819"/>
      <c r="K26" s="585"/>
      <c r="L26" s="820" t="s">
        <v>1705</v>
      </c>
      <c r="M26" s="616" t="s">
        <v>1804</v>
      </c>
      <c r="N26" s="616" t="s">
        <v>1805</v>
      </c>
      <c r="O26" s="616" t="s">
        <v>1806</v>
      </c>
      <c r="P26" s="821" t="s">
        <v>1807</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1808</v>
      </c>
      <c r="C27" s="697" t="e">
        <f>E30+SUM(I33:I39)</f>
        <v>#DIV/0!</v>
      </c>
      <c r="D27" s="698"/>
      <c r="E27" s="699"/>
      <c r="F27" s="700"/>
      <c r="G27" s="699"/>
      <c r="H27" s="699"/>
      <c r="I27" s="699"/>
      <c r="J27" s="822"/>
      <c r="K27" s="585"/>
      <c r="L27" s="823" t="s">
        <v>1809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1810</v>
      </c>
      <c r="C28" s="703" t="s">
        <v>1811</v>
      </c>
      <c r="D28" s="703" t="s">
        <v>488</v>
      </c>
      <c r="E28" s="704" t="s">
        <v>1812</v>
      </c>
      <c r="F28" s="705"/>
      <c r="G28" s="634"/>
      <c r="H28" s="634"/>
      <c r="I28" s="634"/>
      <c r="J28" s="777"/>
      <c r="K28" s="585"/>
      <c r="L28" s="825" t="s">
        <v>1781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1813</v>
      </c>
      <c r="C29" s="708" t="e">
        <f>ROUND(C5*C18*C19*C20*C21*C24,0)</f>
        <v>#DIV/0!</v>
      </c>
      <c r="D29" s="709"/>
      <c r="E29" s="710" t="e">
        <f>ROUND(C29*D29/10000,0)</f>
        <v>#DIV/0!</v>
      </c>
      <c r="F29" s="711" t="s">
        <v>1814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1815</v>
      </c>
      <c r="C30" s="647" t="e">
        <f>ROUND(IF(E2="工业",C29*M39,C29*M38),0)</f>
        <v>#DIV/0!</v>
      </c>
      <c r="D30" s="715"/>
      <c r="E30" s="710" t="e">
        <f>ROUND(C30*D30/10000,0)</f>
        <v>#DIV/0!</v>
      </c>
      <c r="F30" s="716" t="s">
        <v>1816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1817</v>
      </c>
      <c r="C31" s="720" t="s">
        <v>1818</v>
      </c>
      <c r="D31" s="634"/>
      <c r="E31" s="720"/>
      <c r="F31" s="720"/>
      <c r="G31" s="632" t="s">
        <v>1816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1811</v>
      </c>
      <c r="D32" s="723" t="s">
        <v>488</v>
      </c>
      <c r="E32" s="723" t="s">
        <v>1812</v>
      </c>
      <c r="F32" s="592" t="s">
        <v>1819</v>
      </c>
      <c r="G32" s="724" t="s">
        <v>1811</v>
      </c>
      <c r="H32" s="724" t="s">
        <v>488</v>
      </c>
      <c r="I32" s="724" t="s">
        <v>1812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60"/>
      <c r="B33" s="725" t="s">
        <v>1820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69" t="s">
        <v>1821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61"/>
      <c r="B34" s="636" t="s">
        <v>1822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6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61"/>
      <c r="B35" s="636" t="s">
        <v>1823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6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62"/>
      <c r="B36" s="636" t="s">
        <v>1824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6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1825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1826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1827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1828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1829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1807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1830</v>
      </c>
      <c r="C41" s="592" t="e">
        <f>ROUND(POWER(1+E41,H41-G41)*(POWER(1+E41,G41)-1)/(POWER(1+E41,H41)-1),4)</f>
        <v>#DIV/0!</v>
      </c>
      <c r="D41" s="626" t="s">
        <v>1781</v>
      </c>
      <c r="E41" s="731">
        <f>G20</f>
        <v>0</v>
      </c>
      <c r="F41" s="626" t="s">
        <v>1782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1831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1832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1833</v>
      </c>
      <c r="B47" s="745" t="s">
        <v>1834</v>
      </c>
      <c r="C47" s="745" t="s">
        <v>1835</v>
      </c>
      <c r="D47" s="745" t="s">
        <v>1836</v>
      </c>
      <c r="E47" s="746" t="s">
        <v>1837</v>
      </c>
      <c r="F47" s="747" t="s">
        <v>1838</v>
      </c>
      <c r="G47" s="745" t="s">
        <v>1768</v>
      </c>
      <c r="H47" s="748" t="s">
        <v>1839</v>
      </c>
      <c r="I47" s="745" t="s">
        <v>1840</v>
      </c>
      <c r="J47" s="840" t="s">
        <v>1004</v>
      </c>
      <c r="K47" s="840" t="s">
        <v>1005</v>
      </c>
      <c r="L47" s="840" t="s">
        <v>1006</v>
      </c>
      <c r="M47" s="840" t="s">
        <v>1007</v>
      </c>
      <c r="N47" s="840" t="s">
        <v>1008</v>
      </c>
      <c r="AA47" s="729"/>
      <c r="AB47" s="729"/>
      <c r="AC47" s="729"/>
      <c r="AD47" s="729"/>
      <c r="AE47" s="729"/>
      <c r="AF47" s="729"/>
      <c r="AG47" s="729"/>
      <c r="AH47" s="729"/>
      <c r="AI47" s="729"/>
      <c r="AJ47" s="729"/>
      <c r="AK47" s="729"/>
    </row>
    <row r="48" spans="1:37" s="585" customFormat="1" ht="52.8">
      <c r="A48" s="744" t="s">
        <v>1841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1842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1843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1844</v>
      </c>
      <c r="B51" s="757" t="s">
        <v>1845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1846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1847</v>
      </c>
      <c r="B53" s="758" t="s">
        <v>1848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1849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1850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1851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1852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1833</v>
      </c>
      <c r="B58" s="745"/>
      <c r="C58" s="745" t="s">
        <v>1835</v>
      </c>
      <c r="D58" s="745" t="s">
        <v>1836</v>
      </c>
      <c r="E58" s="746" t="s">
        <v>1837</v>
      </c>
      <c r="F58" s="747" t="s">
        <v>1853</v>
      </c>
      <c r="G58" s="745" t="s">
        <v>1768</v>
      </c>
      <c r="H58" s="748" t="s">
        <v>1839</v>
      </c>
      <c r="I58" s="745" t="s">
        <v>1840</v>
      </c>
      <c r="J58" s="840" t="s">
        <v>1004</v>
      </c>
      <c r="K58" s="840" t="s">
        <v>1005</v>
      </c>
      <c r="L58" s="840" t="s">
        <v>1006</v>
      </c>
      <c r="M58" s="840" t="s">
        <v>1007</v>
      </c>
      <c r="N58" s="840" t="s">
        <v>1008</v>
      </c>
      <c r="AA58" s="729"/>
      <c r="AB58" s="729"/>
      <c r="AC58" s="729"/>
      <c r="AD58" s="729"/>
      <c r="AE58" s="729"/>
      <c r="AF58" s="729"/>
      <c r="AG58" s="729"/>
      <c r="AH58" s="729"/>
      <c r="AI58" s="729"/>
      <c r="AJ58" s="729"/>
      <c r="AK58" s="729"/>
    </row>
    <row r="59" spans="1:37" s="585" customFormat="1" ht="52.8">
      <c r="A59" s="744" t="s">
        <v>1854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1842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1843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1844</v>
      </c>
      <c r="B62" s="757" t="s">
        <v>1845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1846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1847</v>
      </c>
      <c r="B64" s="758" t="s">
        <v>1848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1849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1850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1851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1855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1833</v>
      </c>
      <c r="B69" s="745"/>
      <c r="C69" s="745" t="s">
        <v>1835</v>
      </c>
      <c r="D69" s="745" t="s">
        <v>1836</v>
      </c>
      <c r="E69" s="746" t="s">
        <v>1837</v>
      </c>
      <c r="F69" s="747" t="s">
        <v>1853</v>
      </c>
      <c r="G69" s="745" t="s">
        <v>1768</v>
      </c>
      <c r="H69" s="748" t="s">
        <v>1839</v>
      </c>
      <c r="I69" s="745" t="s">
        <v>1840</v>
      </c>
      <c r="J69" s="840" t="s">
        <v>1004</v>
      </c>
      <c r="K69" s="840" t="s">
        <v>1005</v>
      </c>
      <c r="L69" s="840" t="s">
        <v>1006</v>
      </c>
      <c r="M69" s="840" t="s">
        <v>1007</v>
      </c>
      <c r="N69" s="840" t="s">
        <v>1008</v>
      </c>
      <c r="AA69" s="729"/>
      <c r="AB69" s="729"/>
      <c r="AC69" s="729"/>
      <c r="AD69" s="729"/>
      <c r="AE69" s="729"/>
      <c r="AF69" s="729"/>
      <c r="AG69" s="729"/>
      <c r="AH69" s="729"/>
      <c r="AI69" s="729"/>
      <c r="AJ69" s="729"/>
      <c r="AK69" s="729"/>
    </row>
    <row r="70" spans="1:37" s="585" customFormat="1" ht="66">
      <c r="A70" s="744" t="s">
        <v>1856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1842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1843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1857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1849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1850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1847</v>
      </c>
      <c r="B76" s="758" t="s">
        <v>1848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1851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1858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1859</v>
      </c>
      <c r="B79" s="739">
        <f>1+E81</f>
        <v>1</v>
      </c>
      <c r="C79" s="741"/>
      <c r="D79" s="741"/>
      <c r="E79" s="742"/>
      <c r="F79" s="743"/>
      <c r="G79" s="737"/>
      <c r="H79" s="737"/>
      <c r="I79" s="737"/>
      <c r="J79" s="736"/>
      <c r="K79" s="736"/>
      <c r="L79" s="736"/>
      <c r="M79" s="736"/>
      <c r="N79" s="736"/>
      <c r="Z79" s="589"/>
      <c r="AA79" s="587"/>
      <c r="AG79" s="591"/>
      <c r="AK79" s="587"/>
    </row>
    <row r="80" spans="1:37" ht="25.2">
      <c r="A80" s="744" t="s">
        <v>1833</v>
      </c>
      <c r="B80" s="745"/>
      <c r="C80" s="745" t="s">
        <v>1835</v>
      </c>
      <c r="D80" s="745" t="s">
        <v>1836</v>
      </c>
      <c r="E80" s="746" t="s">
        <v>1837</v>
      </c>
      <c r="F80" s="747" t="s">
        <v>1853</v>
      </c>
      <c r="G80" s="745" t="s">
        <v>1768</v>
      </c>
      <c r="H80" s="748" t="s">
        <v>1839</v>
      </c>
      <c r="I80" s="745" t="s">
        <v>1840</v>
      </c>
      <c r="J80" s="840" t="s">
        <v>1004</v>
      </c>
      <c r="K80" s="840" t="s">
        <v>1005</v>
      </c>
      <c r="L80" s="840" t="s">
        <v>1006</v>
      </c>
      <c r="M80" s="840" t="s">
        <v>1007</v>
      </c>
      <c r="N80" s="840" t="s">
        <v>1008</v>
      </c>
      <c r="Z80" s="589"/>
      <c r="AA80" s="587"/>
      <c r="AG80" s="591"/>
      <c r="AK80" s="587"/>
    </row>
    <row r="81" spans="1:37" ht="39.6">
      <c r="A81" s="744" t="s">
        <v>1860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1842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1843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1857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1849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1850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1847</v>
      </c>
      <c r="B87" s="758" t="s">
        <v>1861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1862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78" t="s">
        <v>1863</v>
      </c>
      <c r="B90" s="3578"/>
      <c r="C90" s="3578"/>
      <c r="D90" s="3578"/>
      <c r="E90" s="3578"/>
      <c r="F90" s="3578"/>
      <c r="G90" s="3578"/>
      <c r="H90" s="3578"/>
      <c r="I90" s="3578"/>
      <c r="J90" s="3578"/>
      <c r="K90" s="876"/>
      <c r="L90" s="876"/>
      <c r="M90" s="876"/>
      <c r="N90" s="876"/>
    </row>
    <row r="91" spans="1:37">
      <c r="A91" s="3563" t="s">
        <v>1864</v>
      </c>
      <c r="B91" s="3563" t="s">
        <v>1865</v>
      </c>
      <c r="C91" s="711" t="s">
        <v>1866</v>
      </c>
      <c r="D91" s="712"/>
      <c r="E91" s="712"/>
      <c r="F91" s="712"/>
      <c r="G91" s="712"/>
      <c r="H91" s="712"/>
      <c r="I91" s="712"/>
      <c r="J91" s="897"/>
      <c r="K91" s="898"/>
      <c r="L91" s="898"/>
      <c r="M91" s="898"/>
      <c r="N91" s="898"/>
    </row>
    <row r="92" spans="1:37">
      <c r="A92" s="3563"/>
      <c r="B92" s="3563"/>
      <c r="C92" s="710" t="s">
        <v>1730</v>
      </c>
      <c r="D92" s="710" t="s">
        <v>1731</v>
      </c>
      <c r="E92" s="710" t="s">
        <v>1732</v>
      </c>
      <c r="F92" s="710" t="s">
        <v>1733</v>
      </c>
      <c r="G92" s="710" t="s">
        <v>1734</v>
      </c>
      <c r="H92" s="710" t="s">
        <v>1735</v>
      </c>
      <c r="I92" s="710" t="s">
        <v>1736</v>
      </c>
      <c r="J92" s="710" t="s">
        <v>1737</v>
      </c>
      <c r="K92" s="710" t="s">
        <v>1738</v>
      </c>
      <c r="L92" s="710" t="s">
        <v>1739</v>
      </c>
      <c r="M92" s="710" t="s">
        <v>1740</v>
      </c>
      <c r="N92" s="710" t="s">
        <v>1741</v>
      </c>
    </row>
    <row r="93" spans="1:37">
      <c r="A93" s="3564" t="s">
        <v>1867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5"/>
      <c r="B99" s="877" t="s">
        <v>1747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4" t="s">
        <v>1868</v>
      </c>
      <c r="B101" s="881" t="s">
        <v>1869</v>
      </c>
      <c r="C101" s="882">
        <f>$G$3</f>
        <v>7.75</v>
      </c>
      <c r="D101" s="882">
        <f t="shared" ref="D101:N101" si="31">$G$3</f>
        <v>7.75</v>
      </c>
      <c r="E101" s="882">
        <f t="shared" si="31"/>
        <v>7.75</v>
      </c>
      <c r="F101" s="882">
        <f t="shared" si="31"/>
        <v>7.75</v>
      </c>
      <c r="G101" s="882">
        <f t="shared" si="31"/>
        <v>7.75</v>
      </c>
      <c r="H101" s="882">
        <f t="shared" si="31"/>
        <v>7.75</v>
      </c>
      <c r="I101" s="882">
        <f t="shared" si="31"/>
        <v>7.75</v>
      </c>
      <c r="J101" s="882">
        <f t="shared" si="31"/>
        <v>7.75</v>
      </c>
      <c r="K101" s="882">
        <f t="shared" si="31"/>
        <v>7.75</v>
      </c>
      <c r="L101" s="882">
        <f t="shared" si="31"/>
        <v>7.75</v>
      </c>
      <c r="M101" s="882">
        <f t="shared" si="31"/>
        <v>7.75</v>
      </c>
      <c r="N101" s="882">
        <f t="shared" si="31"/>
        <v>7.75</v>
      </c>
    </row>
    <row r="102" spans="1:14">
      <c r="A102" s="3565"/>
      <c r="B102" s="877">
        <v>1</v>
      </c>
      <c r="C102" s="878">
        <f>1.9362/C101</f>
        <v>0.24983225806451601</v>
      </c>
      <c r="D102" s="878">
        <f>1.9362/D101</f>
        <v>0.24983225806451601</v>
      </c>
      <c r="E102" s="878">
        <f>1.8629/E101</f>
        <v>0.24037419354838699</v>
      </c>
      <c r="F102" s="878">
        <f>1.8629/F101</f>
        <v>0.24037419354838699</v>
      </c>
      <c r="G102" s="878">
        <f>1.8629/G101</f>
        <v>0.24037419354838699</v>
      </c>
      <c r="H102" s="878">
        <f>1.8629/H101</f>
        <v>0.24037419354838699</v>
      </c>
      <c r="I102" s="878">
        <f>1.8629/I101</f>
        <v>0.24037419354838699</v>
      </c>
      <c r="J102" s="878">
        <f>1.942/J101</f>
        <v>0.25058064516129003</v>
      </c>
      <c r="K102" s="878">
        <f>1.942/K101</f>
        <v>0.25058064516129003</v>
      </c>
      <c r="L102" s="878">
        <f>1.942/L101</f>
        <v>0.25058064516129003</v>
      </c>
      <c r="M102" s="878">
        <f>1.942/M101</f>
        <v>0.25058064516129003</v>
      </c>
      <c r="N102" s="878">
        <f>1.942/N101</f>
        <v>0.25058064516129003</v>
      </c>
    </row>
    <row r="103" spans="1:14">
      <c r="A103" s="3565"/>
      <c r="B103" s="877">
        <v>2</v>
      </c>
      <c r="C103" s="878">
        <f>1.4198/C101</f>
        <v>0.1832</v>
      </c>
      <c r="D103" s="878">
        <f>1.4198/D101</f>
        <v>0.1832</v>
      </c>
      <c r="E103" s="878">
        <f>1.3372/E101</f>
        <v>0.17254193548387101</v>
      </c>
      <c r="F103" s="878">
        <f>1.3372/F101</f>
        <v>0.17254193548387101</v>
      </c>
      <c r="G103" s="878">
        <f>1.3372/G101</f>
        <v>0.17254193548387101</v>
      </c>
      <c r="H103" s="878">
        <f>1.3372/H101</f>
        <v>0.17254193548387101</v>
      </c>
      <c r="I103" s="878">
        <f>1.3372/I101</f>
        <v>0.17254193548387101</v>
      </c>
      <c r="J103" s="878">
        <f>1.2799/J101</f>
        <v>0.16514838709677401</v>
      </c>
      <c r="K103" s="878">
        <f>1.2799/K101</f>
        <v>0.16514838709677401</v>
      </c>
      <c r="L103" s="878">
        <f>1.2799/L101</f>
        <v>0.16514838709677401</v>
      </c>
      <c r="M103" s="878">
        <f>1.2799/M101</f>
        <v>0.16514838709677401</v>
      </c>
      <c r="N103" s="878">
        <f>1.2799/N101</f>
        <v>0.16514838709677401</v>
      </c>
    </row>
    <row r="104" spans="1:14">
      <c r="A104" s="3565"/>
      <c r="B104" s="877">
        <v>3</v>
      </c>
      <c r="C104" s="878">
        <f>1.1594/C101</f>
        <v>0.14960000000000001</v>
      </c>
      <c r="D104" s="878">
        <f>1.1594/D101</f>
        <v>0.14960000000000001</v>
      </c>
      <c r="E104" s="878">
        <f>1.0788/E101</f>
        <v>0.13919999999999999</v>
      </c>
      <c r="F104" s="878">
        <f>1.0788/F101</f>
        <v>0.13919999999999999</v>
      </c>
      <c r="G104" s="878">
        <f>1.0788/G101</f>
        <v>0.13919999999999999</v>
      </c>
      <c r="H104" s="878">
        <f>1.0788/H101</f>
        <v>0.13919999999999999</v>
      </c>
      <c r="I104" s="878">
        <f>1.0788/I101</f>
        <v>0.13919999999999999</v>
      </c>
      <c r="J104" s="878">
        <f>1.0072/J101</f>
        <v>0.129961290322581</v>
      </c>
      <c r="K104" s="878">
        <f>1.0072/K101</f>
        <v>0.129961290322581</v>
      </c>
      <c r="L104" s="878">
        <f>1.0072/L101</f>
        <v>0.129961290322581</v>
      </c>
      <c r="M104" s="878">
        <f>1.0072/M101</f>
        <v>0.129961290322581</v>
      </c>
      <c r="N104" s="878">
        <f>1.0072/N101</f>
        <v>0.129961290322581</v>
      </c>
    </row>
    <row r="105" spans="1:14">
      <c r="A105" s="3565"/>
      <c r="B105" s="877">
        <v>4</v>
      </c>
      <c r="C105" s="878">
        <f>0.9622/C101</f>
        <v>0.124154838709677</v>
      </c>
      <c r="D105" s="878">
        <f>0.9622/D101</f>
        <v>0.124154838709677</v>
      </c>
      <c r="E105" s="878">
        <f>0.8656/E101</f>
        <v>0.111690322580645</v>
      </c>
      <c r="F105" s="878">
        <f>0.8656/F101</f>
        <v>0.111690322580645</v>
      </c>
      <c r="G105" s="878">
        <f>0.8656/G101</f>
        <v>0.111690322580645</v>
      </c>
      <c r="H105" s="878">
        <f>0.8656/H101</f>
        <v>0.111690322580645</v>
      </c>
      <c r="I105" s="878">
        <f>0.8656/I101</f>
        <v>0.111690322580645</v>
      </c>
      <c r="J105" s="878">
        <f>0.7525/J101</f>
        <v>9.7096774193548396E-2</v>
      </c>
      <c r="K105" s="878">
        <f>0.7525/K101</f>
        <v>9.7096774193548396E-2</v>
      </c>
      <c r="L105" s="878">
        <f>0.7525/L101</f>
        <v>9.7096774193548396E-2</v>
      </c>
      <c r="M105" s="878">
        <f>0.7525/M101</f>
        <v>9.7096774193548396E-2</v>
      </c>
      <c r="N105" s="878">
        <f>0.7525/N101</f>
        <v>9.7096774193548396E-2</v>
      </c>
    </row>
    <row r="106" spans="1:14">
      <c r="A106" s="3565"/>
      <c r="B106" s="877">
        <v>5</v>
      </c>
      <c r="C106" s="878">
        <f>0.8417/C101</f>
        <v>0.108606451612903</v>
      </c>
      <c r="D106" s="878">
        <f>0.8417/D101</f>
        <v>0.108606451612903</v>
      </c>
      <c r="E106" s="878">
        <f>0.7371/E101</f>
        <v>9.5109677419354804E-2</v>
      </c>
      <c r="F106" s="878">
        <f>0.7371/F101</f>
        <v>9.5109677419354804E-2</v>
      </c>
      <c r="G106" s="878">
        <f>0.7371/G101</f>
        <v>9.5109677419354804E-2</v>
      </c>
      <c r="H106" s="878">
        <f>0.7371/H101</f>
        <v>9.5109677419354804E-2</v>
      </c>
      <c r="I106" s="878">
        <f>0.7371/I101</f>
        <v>9.5109677419354804E-2</v>
      </c>
      <c r="J106" s="878">
        <f>0.5659/J101</f>
        <v>7.3019354838709694E-2</v>
      </c>
      <c r="K106" s="878">
        <f>0.5659/K101</f>
        <v>7.3019354838709694E-2</v>
      </c>
      <c r="L106" s="878">
        <f>0.5659/L101</f>
        <v>7.3019354838709694E-2</v>
      </c>
      <c r="M106" s="878">
        <f>0.5659/M101</f>
        <v>7.3019354838709694E-2</v>
      </c>
      <c r="N106" s="878">
        <f>0.5659/N101</f>
        <v>7.3019354838709694E-2</v>
      </c>
    </row>
    <row r="107" spans="1:14">
      <c r="A107" s="3565"/>
      <c r="B107" s="877">
        <v>6</v>
      </c>
      <c r="C107" s="878">
        <f>0.7608/C101</f>
        <v>9.8167741935483901E-2</v>
      </c>
      <c r="D107" s="878">
        <f>0.7608/D101</f>
        <v>9.8167741935483901E-2</v>
      </c>
      <c r="E107" s="878">
        <f>0.6482/E101</f>
        <v>8.3638709677419307E-2</v>
      </c>
      <c r="F107" s="878">
        <f>0.6482/F101</f>
        <v>8.3638709677419307E-2</v>
      </c>
      <c r="G107" s="878">
        <f>0.6482/G101</f>
        <v>8.3638709677419307E-2</v>
      </c>
      <c r="H107" s="878">
        <f>0.6482/H101</f>
        <v>8.3638709677419307E-2</v>
      </c>
      <c r="I107" s="878">
        <f>0.6482/I101</f>
        <v>8.3638709677419307E-2</v>
      </c>
      <c r="J107" s="878">
        <f>0.4525/J101</f>
        <v>5.83870967741935E-2</v>
      </c>
      <c r="K107" s="878">
        <f>0.4525/K101</f>
        <v>5.83870967741935E-2</v>
      </c>
      <c r="L107" s="878">
        <f>0.4525/L101</f>
        <v>5.83870967741935E-2</v>
      </c>
      <c r="M107" s="878">
        <f>0.4525/M101</f>
        <v>5.83870967741935E-2</v>
      </c>
      <c r="N107" s="878">
        <f>0.4525/N101</f>
        <v>5.83870967741935E-2</v>
      </c>
    </row>
    <row r="108" spans="1:14">
      <c r="A108" s="3565"/>
      <c r="B108" s="3567" t="s">
        <v>1760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6"/>
      <c r="B109" s="3568"/>
      <c r="C109" s="880">
        <f>(-0.163*(C108^2)-0.59*C108+7617)*(10^(-4))/C101</f>
        <v>9.8283870967741896E-2</v>
      </c>
      <c r="D109" s="880">
        <f>(-0.163*(D108^2)-0.59*D108+7617)*(10^(-4))/D101</f>
        <v>9.8283870967741896E-2</v>
      </c>
      <c r="E109" s="880">
        <f>(-0.161*(E108^2)-7.509*E108+6533)*(10^(-4))/E101</f>
        <v>8.4296774193548404E-2</v>
      </c>
      <c r="F109" s="880">
        <f>(-0.161*(F108^2)-7.509*F108+6533)*(10^(-4))/F101</f>
        <v>8.4296774193548404E-2</v>
      </c>
      <c r="G109" s="880">
        <f>(-0.161*(G108^2)-7.509*G108+6533)*(10^(-4))/G101</f>
        <v>8.4296774193548404E-2</v>
      </c>
      <c r="H109" s="880">
        <f>(-0.161*(H108^2)-7.509*H108+6533)*(10^(-4))/H101</f>
        <v>8.4296774193548404E-2</v>
      </c>
      <c r="I109" s="880">
        <f>(-0.161*(I108^2)-7.509*I108+6533)*(10^(-4))/I101</f>
        <v>8.4296774193548404E-2</v>
      </c>
      <c r="J109" s="880">
        <f>(-0.214*(J108^2)-21.991*J108+4665)*(10^(-4))/J101</f>
        <v>6.0193548387096799E-2</v>
      </c>
      <c r="K109" s="880">
        <f>(-0.214*(K108^2)-21.991*K108+4665)*(10^(-4))/K101</f>
        <v>6.0193548387096799E-2</v>
      </c>
      <c r="L109" s="880">
        <f>(-0.214*(L108^2)-21.991*L108+4665)*(10^(-4))/L101</f>
        <v>6.0193548387096799E-2</v>
      </c>
      <c r="M109" s="880">
        <f>(-0.214*(M108^2)-21.991*M108+4665)*(10^(-4))/M101</f>
        <v>6.0193548387096799E-2</v>
      </c>
      <c r="N109" s="880">
        <f>(-0.214*(N108^2)-21.991*N108+4665)*(10^(-4))/N101</f>
        <v>6.0193548387096799E-2</v>
      </c>
    </row>
    <row r="110" spans="1:14">
      <c r="A110" s="3554" t="s">
        <v>1870</v>
      </c>
      <c r="B110" s="3554"/>
      <c r="C110" s="3554"/>
      <c r="D110" s="3554"/>
      <c r="E110" s="3554"/>
      <c r="F110" s="3554"/>
      <c r="G110" s="3554"/>
      <c r="H110" s="3554"/>
      <c r="I110" s="3554"/>
      <c r="J110" s="3554"/>
      <c r="K110" s="883"/>
      <c r="L110" s="883"/>
      <c r="M110" s="883"/>
      <c r="N110" s="883"/>
    </row>
    <row r="113" spans="1:13" ht="25.2">
      <c r="A113" s="884" t="s">
        <v>1871</v>
      </c>
      <c r="B113" s="885">
        <f>G3</f>
        <v>7.75</v>
      </c>
      <c r="C113" s="886" t="s">
        <v>1872</v>
      </c>
      <c r="D113" s="887">
        <f>SUMPRODUCT((A115:A118=F113)*(B114:M114=H113)*B115:M118)</f>
        <v>0</v>
      </c>
      <c r="E113" s="597" t="s">
        <v>1705</v>
      </c>
      <c r="F113" s="888">
        <f>E2</f>
        <v>0</v>
      </c>
      <c r="G113" s="597" t="s">
        <v>1706</v>
      </c>
      <c r="H113" s="888">
        <f>G2</f>
        <v>0</v>
      </c>
      <c r="I113" s="597"/>
      <c r="J113" s="899"/>
      <c r="K113" s="899"/>
      <c r="L113" s="899"/>
      <c r="M113" s="899"/>
    </row>
    <row r="114" spans="1:13">
      <c r="A114" s="889"/>
      <c r="B114" s="890" t="s">
        <v>1873</v>
      </c>
      <c r="C114" s="890" t="s">
        <v>1874</v>
      </c>
      <c r="D114" s="890" t="s">
        <v>1875</v>
      </c>
      <c r="E114" s="891" t="s">
        <v>1876</v>
      </c>
      <c r="F114" s="891" t="s">
        <v>1877</v>
      </c>
      <c r="G114" s="891" t="s">
        <v>1878</v>
      </c>
      <c r="H114" s="892" t="s">
        <v>1879</v>
      </c>
      <c r="I114" s="892" t="s">
        <v>1880</v>
      </c>
      <c r="J114" s="900" t="s">
        <v>1881</v>
      </c>
      <c r="K114" s="900" t="s">
        <v>1882</v>
      </c>
      <c r="L114" s="900" t="s">
        <v>1883</v>
      </c>
      <c r="M114" s="901" t="s">
        <v>1884</v>
      </c>
    </row>
    <row r="115" spans="1:13">
      <c r="A115" s="893" t="s">
        <v>1804</v>
      </c>
      <c r="B115" s="894">
        <f>ROUND(0.9335-0.0094*B113,4)</f>
        <v>0.86070000000000002</v>
      </c>
      <c r="C115" s="894">
        <f>B115</f>
        <v>0.86070000000000002</v>
      </c>
      <c r="D115" s="894">
        <f>ROUND(0.8331-0.0109*B113,4)</f>
        <v>0.74860000000000004</v>
      </c>
      <c r="E115" s="894">
        <f>D115</f>
        <v>0.74860000000000004</v>
      </c>
      <c r="F115" s="894">
        <f>E115</f>
        <v>0.74860000000000004</v>
      </c>
      <c r="G115" s="894">
        <f>F115</f>
        <v>0.74860000000000004</v>
      </c>
      <c r="H115" s="894">
        <f>G115</f>
        <v>0.74860000000000004</v>
      </c>
      <c r="I115" s="894">
        <f>ROUND(0.689-0.0155*B113,4)</f>
        <v>0.56889999999999996</v>
      </c>
      <c r="J115" s="894">
        <f t="shared" ref="J115:M118" si="33">I115</f>
        <v>0.56889999999999996</v>
      </c>
      <c r="K115" s="894">
        <f t="shared" si="33"/>
        <v>0.56889999999999996</v>
      </c>
      <c r="L115" s="894">
        <f t="shared" si="33"/>
        <v>0.56889999999999996</v>
      </c>
      <c r="M115" s="902">
        <f t="shared" si="33"/>
        <v>0.56889999999999996</v>
      </c>
    </row>
    <row r="116" spans="1:13">
      <c r="A116" s="893" t="s">
        <v>1805</v>
      </c>
      <c r="B116" s="894">
        <f>ROUND(0.949-0.012*B113,4)</f>
        <v>0.85599999999999998</v>
      </c>
      <c r="C116" s="894">
        <f>B116</f>
        <v>0.85599999999999998</v>
      </c>
      <c r="D116" s="894">
        <f>ROUND(0.8567-0.013*B113,4)</f>
        <v>0.75600000000000001</v>
      </c>
      <c r="E116" s="894">
        <f t="shared" ref="E116:H117" si="34">D116</f>
        <v>0.75600000000000001</v>
      </c>
      <c r="F116" s="894">
        <f t="shared" si="34"/>
        <v>0.75600000000000001</v>
      </c>
      <c r="G116" s="894">
        <f t="shared" si="34"/>
        <v>0.75600000000000001</v>
      </c>
      <c r="H116" s="894">
        <f t="shared" si="34"/>
        <v>0.75600000000000001</v>
      </c>
      <c r="I116" s="894">
        <f>ROUND(0.7694-0.014*B113,4)</f>
        <v>0.66090000000000004</v>
      </c>
      <c r="J116" s="894">
        <f t="shared" si="33"/>
        <v>0.66090000000000004</v>
      </c>
      <c r="K116" s="894">
        <f t="shared" si="33"/>
        <v>0.66090000000000004</v>
      </c>
      <c r="L116" s="894">
        <f t="shared" si="33"/>
        <v>0.66090000000000004</v>
      </c>
      <c r="M116" s="902">
        <f t="shared" si="33"/>
        <v>0.66090000000000004</v>
      </c>
    </row>
    <row r="117" spans="1:13">
      <c r="A117" s="893" t="s">
        <v>1806</v>
      </c>
      <c r="B117" s="894">
        <f>ROUND(0.8808-0.006*B113,4)</f>
        <v>0.83430000000000004</v>
      </c>
      <c r="C117" s="894">
        <f>B117</f>
        <v>0.83430000000000004</v>
      </c>
      <c r="D117" s="894">
        <f>ROUND(0.8748-0.008*B113,4)</f>
        <v>0.81279999999999997</v>
      </c>
      <c r="E117" s="894">
        <f t="shared" si="34"/>
        <v>0.81279999999999997</v>
      </c>
      <c r="F117" s="894">
        <f t="shared" si="34"/>
        <v>0.81279999999999997</v>
      </c>
      <c r="G117" s="894">
        <f t="shared" si="34"/>
        <v>0.81279999999999997</v>
      </c>
      <c r="H117" s="894">
        <f t="shared" si="34"/>
        <v>0.81279999999999997</v>
      </c>
      <c r="I117" s="894">
        <f>ROUND(0.7412-0.0095*B113,4)</f>
        <v>0.66759999999999997</v>
      </c>
      <c r="J117" s="894">
        <f t="shared" si="33"/>
        <v>0.66759999999999997</v>
      </c>
      <c r="K117" s="894">
        <f t="shared" si="33"/>
        <v>0.66759999999999997</v>
      </c>
      <c r="L117" s="894">
        <f t="shared" si="33"/>
        <v>0.66759999999999997</v>
      </c>
      <c r="M117" s="902">
        <f t="shared" si="33"/>
        <v>0.66759999999999997</v>
      </c>
    </row>
    <row r="118" spans="1:13">
      <c r="A118" s="895" t="s">
        <v>1807</v>
      </c>
      <c r="B118" s="896">
        <f>ROUND(0.7275-0.01*B113,4)</f>
        <v>0.65</v>
      </c>
      <c r="C118" s="896">
        <f>B118</f>
        <v>0.65</v>
      </c>
      <c r="D118" s="896">
        <f>ROUND(0.7043-0.012*B113,4)</f>
        <v>0.61129999999999995</v>
      </c>
      <c r="E118" s="896">
        <f>D118</f>
        <v>0.61129999999999995</v>
      </c>
      <c r="F118" s="896">
        <f>E118</f>
        <v>0.61129999999999995</v>
      </c>
      <c r="G118" s="896">
        <f>ROUND(0.6299-0.0122*B113,4)</f>
        <v>0.53539999999999999</v>
      </c>
      <c r="H118" s="896">
        <f>G118</f>
        <v>0.53539999999999999</v>
      </c>
      <c r="I118" s="896">
        <f>ROUND(0.5667-0.0136*B113,4)</f>
        <v>0.46129999999999999</v>
      </c>
      <c r="J118" s="896">
        <f t="shared" si="33"/>
        <v>0.46129999999999999</v>
      </c>
      <c r="K118" s="896">
        <f t="shared" si="33"/>
        <v>0.46129999999999999</v>
      </c>
      <c r="L118" s="896">
        <f t="shared" si="33"/>
        <v>0.46129999999999999</v>
      </c>
      <c r="M118" s="903">
        <f t="shared" si="33"/>
        <v>0.46129999999999999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1885</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1886</v>
      </c>
      <c r="B4" s="526">
        <v>2.5</v>
      </c>
      <c r="C4" s="526">
        <v>2.5</v>
      </c>
      <c r="D4" s="526">
        <v>2.5</v>
      </c>
      <c r="E4" s="526">
        <v>2.5</v>
      </c>
      <c r="F4" s="526">
        <v>2.5</v>
      </c>
      <c r="G4" s="526">
        <v>2.5</v>
      </c>
      <c r="H4" s="526">
        <v>2.5</v>
      </c>
      <c r="I4" s="525">
        <v>1.5</v>
      </c>
      <c r="J4" s="525">
        <v>1.5</v>
      </c>
      <c r="K4" s="525">
        <v>1.5</v>
      </c>
      <c r="L4" s="525">
        <v>1.5</v>
      </c>
      <c r="M4" s="572">
        <v>1.5</v>
      </c>
    </row>
    <row r="5" spans="1:13" ht="19.5" customHeight="1">
      <c r="A5" s="527" t="s">
        <v>1887</v>
      </c>
      <c r="B5" s="525">
        <v>1.5</v>
      </c>
      <c r="C5" s="525">
        <v>1.5</v>
      </c>
      <c r="D5" s="525">
        <v>1.5</v>
      </c>
      <c r="E5" s="525">
        <v>1.5</v>
      </c>
      <c r="F5" s="525">
        <v>1.5</v>
      </c>
      <c r="G5" s="525">
        <v>1.2</v>
      </c>
      <c r="H5" s="525">
        <v>1.2</v>
      </c>
      <c r="I5" s="525">
        <v>1</v>
      </c>
      <c r="J5" s="525">
        <v>1</v>
      </c>
      <c r="K5" s="525">
        <v>1</v>
      </c>
      <c r="L5" s="525">
        <v>1</v>
      </c>
      <c r="M5" s="572">
        <v>1</v>
      </c>
    </row>
    <row r="6" spans="1:13" ht="19.5" customHeight="1">
      <c r="A6" s="528" t="s">
        <v>1888</v>
      </c>
      <c r="B6" s="529">
        <v>2.5</v>
      </c>
      <c r="C6" s="529">
        <v>2.5</v>
      </c>
      <c r="D6" s="529">
        <v>2</v>
      </c>
      <c r="E6" s="529">
        <v>2</v>
      </c>
      <c r="F6" s="529">
        <v>2</v>
      </c>
      <c r="G6" s="529">
        <v>2</v>
      </c>
      <c r="H6" s="529">
        <v>2</v>
      </c>
      <c r="I6" s="573">
        <v>1.5</v>
      </c>
      <c r="J6" s="573">
        <v>1.5</v>
      </c>
      <c r="K6" s="573">
        <v>1.5</v>
      </c>
      <c r="L6" s="573">
        <v>1.5</v>
      </c>
      <c r="M6" s="574">
        <v>1.5</v>
      </c>
    </row>
    <row r="7" spans="1:13" ht="19.5" customHeight="1">
      <c r="A7" s="530" t="s">
        <v>1889</v>
      </c>
      <c r="B7" s="531">
        <v>2.5</v>
      </c>
      <c r="C7" s="531">
        <v>2.5</v>
      </c>
      <c r="D7" s="531">
        <v>2</v>
      </c>
      <c r="E7" s="531">
        <v>2</v>
      </c>
      <c r="F7" s="531">
        <v>2</v>
      </c>
      <c r="G7" s="531">
        <v>2</v>
      </c>
      <c r="H7" s="531">
        <v>2</v>
      </c>
      <c r="I7" s="575">
        <v>1.5</v>
      </c>
      <c r="J7" s="575">
        <v>1.5</v>
      </c>
      <c r="K7" s="575">
        <v>1.5</v>
      </c>
      <c r="L7" s="575">
        <v>1.5</v>
      </c>
      <c r="M7" s="576">
        <v>1.5</v>
      </c>
    </row>
    <row r="8" spans="1:13" ht="19.5" customHeight="1">
      <c r="A8" s="532" t="s">
        <v>1890</v>
      </c>
      <c r="B8" s="533">
        <v>80</v>
      </c>
      <c r="C8" s="533">
        <v>80</v>
      </c>
      <c r="D8" s="533">
        <v>70</v>
      </c>
      <c r="E8" s="533">
        <v>70</v>
      </c>
      <c r="F8" s="533">
        <v>70</v>
      </c>
      <c r="G8" s="533">
        <v>70</v>
      </c>
      <c r="H8" s="533">
        <v>70</v>
      </c>
      <c r="I8" s="533">
        <v>60</v>
      </c>
      <c r="J8" s="533">
        <v>60</v>
      </c>
      <c r="K8" s="533">
        <v>60</v>
      </c>
      <c r="L8" s="533">
        <v>60</v>
      </c>
      <c r="M8" s="577">
        <v>60</v>
      </c>
    </row>
    <row r="9" spans="1:13" ht="19.5" customHeight="1">
      <c r="A9" s="534" t="s">
        <v>1891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1892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1893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1894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1895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1896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1897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1898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1899</v>
      </c>
      <c r="B18" s="540"/>
      <c r="C18" s="541"/>
      <c r="D18" s="541"/>
      <c r="E18" s="540"/>
      <c r="F18" s="541"/>
      <c r="G18" s="541"/>
    </row>
    <row r="19" spans="1:13" ht="19.5" customHeight="1">
      <c r="A19" s="537" t="s">
        <v>1900</v>
      </c>
      <c r="B19" s="542" t="s">
        <v>1901</v>
      </c>
      <c r="C19" s="543" t="s">
        <v>1902</v>
      </c>
      <c r="D19" s="544"/>
      <c r="E19" s="535" t="s">
        <v>1903</v>
      </c>
      <c r="F19" s="545"/>
      <c r="G19" s="545"/>
    </row>
    <row r="20" spans="1:13" s="517" customFormat="1" ht="19.5" customHeight="1">
      <c r="A20" s="3584" t="s">
        <v>1885</v>
      </c>
      <c r="B20" s="3590" t="s">
        <v>1904</v>
      </c>
      <c r="C20" s="546" t="s">
        <v>1905</v>
      </c>
      <c r="D20" s="547"/>
      <c r="E20" s="548">
        <v>1</v>
      </c>
      <c r="F20" s="549" t="s">
        <v>1906</v>
      </c>
      <c r="G20" s="550"/>
      <c r="H20" s="518"/>
      <c r="I20" s="518"/>
    </row>
    <row r="21" spans="1:13" s="517" customFormat="1" ht="19.5" customHeight="1">
      <c r="A21" s="3585"/>
      <c r="B21" s="3583"/>
      <c r="C21" s="551" t="s">
        <v>1907</v>
      </c>
      <c r="D21" s="552"/>
      <c r="E21" s="553">
        <v>1</v>
      </c>
      <c r="F21" s="549" t="s">
        <v>1908</v>
      </c>
      <c r="G21" s="550"/>
      <c r="H21" s="518"/>
      <c r="I21" s="518"/>
    </row>
    <row r="22" spans="1:13" s="517" customFormat="1" ht="19.5" customHeight="1">
      <c r="A22" s="3585"/>
      <c r="B22" s="3583"/>
      <c r="C22" s="551" t="s">
        <v>1909</v>
      </c>
      <c r="D22" s="552"/>
      <c r="E22" s="553">
        <v>0.9</v>
      </c>
      <c r="F22" s="549" t="s">
        <v>1910</v>
      </c>
      <c r="G22" s="550"/>
      <c r="H22" s="518"/>
      <c r="I22" s="518"/>
    </row>
    <row r="23" spans="1:13" s="517" customFormat="1" ht="19.5" customHeight="1">
      <c r="A23" s="3585"/>
      <c r="B23" s="3583"/>
      <c r="C23" s="551" t="s">
        <v>1911</v>
      </c>
      <c r="D23" s="552"/>
      <c r="E23" s="553">
        <v>0.9</v>
      </c>
      <c r="F23" s="549" t="s">
        <v>1912</v>
      </c>
      <c r="G23" s="550"/>
      <c r="H23" s="518"/>
      <c r="I23" s="518"/>
    </row>
    <row r="24" spans="1:13" s="517" customFormat="1" ht="19.5" customHeight="1">
      <c r="A24" s="3585"/>
      <c r="B24" s="3583"/>
      <c r="C24" s="551" t="s">
        <v>1913</v>
      </c>
      <c r="D24" s="552"/>
      <c r="E24" s="553">
        <v>0.8</v>
      </c>
      <c r="F24" s="549" t="s">
        <v>1914</v>
      </c>
      <c r="G24" s="550"/>
      <c r="H24" s="518"/>
      <c r="I24" s="518"/>
    </row>
    <row r="25" spans="1:13" s="517" customFormat="1" ht="19.5" customHeight="1">
      <c r="A25" s="3586"/>
      <c r="B25" s="3591"/>
      <c r="C25" s="554" t="s">
        <v>1915</v>
      </c>
      <c r="D25" s="555"/>
      <c r="E25" s="556">
        <v>0.8</v>
      </c>
      <c r="F25" s="549" t="s">
        <v>1916</v>
      </c>
      <c r="G25" s="550"/>
      <c r="H25" s="518"/>
      <c r="I25" s="518"/>
    </row>
    <row r="26" spans="1:13" s="517" customFormat="1" ht="19.5" customHeight="1">
      <c r="A26" s="557" t="s">
        <v>452</v>
      </c>
      <c r="B26" s="558" t="s">
        <v>1904</v>
      </c>
      <c r="C26" s="559" t="s">
        <v>1917</v>
      </c>
      <c r="D26" s="560"/>
      <c r="E26" s="561">
        <v>1</v>
      </c>
      <c r="F26" s="549" t="s">
        <v>1918</v>
      </c>
      <c r="G26" s="550"/>
      <c r="H26" s="518"/>
      <c r="I26" s="518"/>
    </row>
    <row r="27" spans="1:13" s="517" customFormat="1" ht="19.5" customHeight="1">
      <c r="A27" s="3587" t="s">
        <v>1889</v>
      </c>
      <c r="B27" s="3590" t="s">
        <v>1889</v>
      </c>
      <c r="C27" s="546" t="s">
        <v>1919</v>
      </c>
      <c r="D27" s="547"/>
      <c r="E27" s="548">
        <v>1</v>
      </c>
      <c r="F27" s="549" t="s">
        <v>1920</v>
      </c>
      <c r="G27" s="550"/>
      <c r="H27" s="518"/>
      <c r="I27" s="518"/>
    </row>
    <row r="28" spans="1:13" s="517" customFormat="1" ht="19.5" customHeight="1">
      <c r="A28" s="3588"/>
      <c r="B28" s="3583"/>
      <c r="C28" s="551" t="s">
        <v>1921</v>
      </c>
      <c r="D28" s="552"/>
      <c r="E28" s="553">
        <v>1</v>
      </c>
      <c r="F28" s="549" t="s">
        <v>1922</v>
      </c>
      <c r="G28" s="550"/>
      <c r="H28" s="518"/>
      <c r="I28" s="518"/>
    </row>
    <row r="29" spans="1:13" s="517" customFormat="1" ht="19.5" customHeight="1">
      <c r="A29" s="3588"/>
      <c r="B29" s="3583"/>
      <c r="C29" s="551" t="s">
        <v>1923</v>
      </c>
      <c r="D29" s="552"/>
      <c r="E29" s="553">
        <v>0.8</v>
      </c>
      <c r="F29" s="549" t="s">
        <v>1924</v>
      </c>
      <c r="G29" s="550"/>
      <c r="H29" s="518"/>
      <c r="I29" s="518"/>
    </row>
    <row r="30" spans="1:13" s="517" customFormat="1" ht="19.5" customHeight="1">
      <c r="A30" s="3588"/>
      <c r="B30" s="3583"/>
      <c r="C30" s="551" t="s">
        <v>1925</v>
      </c>
      <c r="D30" s="552"/>
      <c r="E30" s="553">
        <v>0.8</v>
      </c>
      <c r="F30" s="549" t="s">
        <v>1926</v>
      </c>
      <c r="G30" s="550"/>
      <c r="H30" s="518"/>
      <c r="I30" s="518"/>
    </row>
    <row r="31" spans="1:13" s="517" customFormat="1" ht="19.5" customHeight="1">
      <c r="A31" s="3588"/>
      <c r="B31" s="3583"/>
      <c r="C31" s="551" t="s">
        <v>1927</v>
      </c>
      <c r="D31" s="552"/>
      <c r="E31" s="553">
        <v>0.8</v>
      </c>
      <c r="F31" s="549" t="s">
        <v>1928</v>
      </c>
      <c r="G31" s="550"/>
      <c r="H31" s="518"/>
      <c r="I31" s="518"/>
    </row>
    <row r="32" spans="1:13" s="517" customFormat="1" ht="19.5" customHeight="1">
      <c r="A32" s="3588"/>
      <c r="B32" s="3583"/>
      <c r="C32" s="551" t="s">
        <v>1929</v>
      </c>
      <c r="D32" s="552"/>
      <c r="E32" s="553">
        <v>0.7</v>
      </c>
      <c r="F32" s="549" t="s">
        <v>1930</v>
      </c>
      <c r="G32" s="550"/>
      <c r="H32" s="518"/>
      <c r="I32" s="518"/>
    </row>
    <row r="33" spans="1:9" s="517" customFormat="1" ht="19.5" customHeight="1">
      <c r="A33" s="3588"/>
      <c r="B33" s="3583"/>
      <c r="C33" s="551" t="s">
        <v>1931</v>
      </c>
      <c r="D33" s="552"/>
      <c r="E33" s="553">
        <v>0.8</v>
      </c>
      <c r="F33" s="549" t="s">
        <v>1932</v>
      </c>
      <c r="G33" s="550"/>
      <c r="H33" s="518"/>
      <c r="I33" s="518"/>
    </row>
    <row r="34" spans="1:9" s="517" customFormat="1" ht="19.5" customHeight="1">
      <c r="A34" s="3588"/>
      <c r="B34" s="3583"/>
      <c r="C34" s="551" t="s">
        <v>1933</v>
      </c>
      <c r="D34" s="552"/>
      <c r="E34" s="553">
        <v>0.6</v>
      </c>
      <c r="F34" s="549" t="s">
        <v>1934</v>
      </c>
      <c r="G34" s="550"/>
      <c r="H34" s="518"/>
      <c r="I34" s="518"/>
    </row>
    <row r="35" spans="1:9" s="517" customFormat="1" ht="19.5" customHeight="1">
      <c r="A35" s="3588"/>
      <c r="B35" s="3583"/>
      <c r="C35" s="551" t="s">
        <v>1935</v>
      </c>
      <c r="D35" s="552"/>
      <c r="E35" s="553">
        <v>0.2</v>
      </c>
      <c r="F35" s="549" t="s">
        <v>1936</v>
      </c>
      <c r="G35" s="550"/>
      <c r="H35" s="518"/>
      <c r="I35" s="518"/>
    </row>
    <row r="36" spans="1:9" s="517" customFormat="1" ht="19.5" customHeight="1">
      <c r="A36" s="3588"/>
      <c r="B36" s="3583"/>
      <c r="C36" s="551" t="s">
        <v>1937</v>
      </c>
      <c r="D36" s="552"/>
      <c r="E36" s="553">
        <v>0.2</v>
      </c>
      <c r="F36" s="549" t="s">
        <v>1938</v>
      </c>
      <c r="G36" s="550"/>
      <c r="H36" s="518"/>
      <c r="I36" s="518"/>
    </row>
    <row r="37" spans="1:9" s="517" customFormat="1" ht="19.5" customHeight="1">
      <c r="A37" s="3588"/>
      <c r="B37" s="3581" t="s">
        <v>1939</v>
      </c>
      <c r="C37" s="551" t="s">
        <v>1940</v>
      </c>
      <c r="D37" s="552"/>
      <c r="E37" s="553">
        <v>0.6</v>
      </c>
      <c r="F37" s="549" t="s">
        <v>1941</v>
      </c>
      <c r="G37" s="550"/>
      <c r="H37" s="518"/>
      <c r="I37" s="518"/>
    </row>
    <row r="38" spans="1:9" s="517" customFormat="1" ht="19.5" customHeight="1">
      <c r="A38" s="3588"/>
      <c r="B38" s="3583"/>
      <c r="C38" s="551" t="s">
        <v>1942</v>
      </c>
      <c r="D38" s="552"/>
      <c r="E38" s="553">
        <v>0.6</v>
      </c>
      <c r="F38" s="549" t="s">
        <v>1943</v>
      </c>
      <c r="G38" s="550"/>
      <c r="H38" s="518"/>
      <c r="I38" s="518"/>
    </row>
    <row r="39" spans="1:9" s="517" customFormat="1" ht="19.5" customHeight="1">
      <c r="A39" s="3589"/>
      <c r="B39" s="3591"/>
      <c r="C39" s="554" t="s">
        <v>1944</v>
      </c>
      <c r="D39" s="555"/>
      <c r="E39" s="556">
        <v>0.6</v>
      </c>
      <c r="F39" s="549" t="s">
        <v>1945</v>
      </c>
      <c r="G39" s="550"/>
      <c r="H39" s="518"/>
      <c r="I39" s="518"/>
    </row>
    <row r="40" spans="1:9" s="517" customFormat="1" ht="19.5" customHeight="1">
      <c r="A40" s="557" t="s">
        <v>1886</v>
      </c>
      <c r="B40" s="558" t="s">
        <v>1886</v>
      </c>
      <c r="C40" s="559" t="s">
        <v>1946</v>
      </c>
      <c r="D40" s="560"/>
      <c r="E40" s="561">
        <v>1</v>
      </c>
      <c r="F40" s="549" t="s">
        <v>1947</v>
      </c>
      <c r="G40" s="550"/>
      <c r="H40" s="518"/>
      <c r="I40" s="518"/>
    </row>
    <row r="41" spans="1:9" s="517" customFormat="1" ht="19.5" customHeight="1">
      <c r="A41" s="3584" t="s">
        <v>1887</v>
      </c>
      <c r="B41" s="3590" t="s">
        <v>1948</v>
      </c>
      <c r="C41" s="546" t="s">
        <v>1949</v>
      </c>
      <c r="D41" s="547"/>
      <c r="E41" s="548">
        <v>1</v>
      </c>
      <c r="F41" s="549" t="s">
        <v>1950</v>
      </c>
      <c r="G41" s="550"/>
      <c r="H41" s="518"/>
      <c r="I41" s="518"/>
    </row>
    <row r="42" spans="1:9" s="517" customFormat="1" ht="19.5" customHeight="1">
      <c r="A42" s="3585"/>
      <c r="B42" s="3583"/>
      <c r="C42" s="551" t="s">
        <v>1951</v>
      </c>
      <c r="D42" s="552"/>
      <c r="E42" s="553">
        <v>1</v>
      </c>
      <c r="F42" s="549" t="s">
        <v>1952</v>
      </c>
      <c r="G42" s="550"/>
      <c r="H42" s="518"/>
      <c r="I42" s="518"/>
    </row>
    <row r="43" spans="1:9" s="517" customFormat="1" ht="19.5" customHeight="1">
      <c r="A43" s="3585"/>
      <c r="B43" s="3582"/>
      <c r="C43" s="551" t="s">
        <v>1953</v>
      </c>
      <c r="D43" s="552"/>
      <c r="E43" s="553">
        <v>1.5</v>
      </c>
      <c r="F43" s="549" t="s">
        <v>1954</v>
      </c>
      <c r="G43" s="550"/>
      <c r="H43" s="518"/>
      <c r="I43" s="518"/>
    </row>
    <row r="44" spans="1:9" s="517" customFormat="1" ht="19.5" customHeight="1">
      <c r="A44" s="3585"/>
      <c r="B44" s="562" t="s">
        <v>1889</v>
      </c>
      <c r="C44" s="551" t="s">
        <v>1888</v>
      </c>
      <c r="D44" s="552"/>
      <c r="E44" s="553">
        <v>2</v>
      </c>
      <c r="F44" s="549" t="s">
        <v>1955</v>
      </c>
      <c r="G44" s="550"/>
      <c r="H44" s="518"/>
      <c r="I44" s="518"/>
    </row>
    <row r="45" spans="1:9" s="517" customFormat="1" ht="19.5" customHeight="1">
      <c r="A45" s="3585"/>
      <c r="B45" s="3581" t="s">
        <v>1956</v>
      </c>
      <c r="C45" s="551" t="s">
        <v>1957</v>
      </c>
      <c r="D45" s="552"/>
      <c r="E45" s="553">
        <v>1</v>
      </c>
      <c r="F45" s="549" t="s">
        <v>1958</v>
      </c>
      <c r="G45" s="550"/>
      <c r="H45" s="518"/>
      <c r="I45" s="518"/>
    </row>
    <row r="46" spans="1:9" s="517" customFormat="1" ht="19.5" customHeight="1">
      <c r="A46" s="3585"/>
      <c r="B46" s="3583"/>
      <c r="C46" s="551" t="s">
        <v>1959</v>
      </c>
      <c r="D46" s="552"/>
      <c r="E46" s="553">
        <v>1</v>
      </c>
      <c r="F46" s="549" t="s">
        <v>1960</v>
      </c>
      <c r="G46" s="550"/>
      <c r="H46" s="518"/>
      <c r="I46" s="518"/>
    </row>
    <row r="47" spans="1:9" s="517" customFormat="1" ht="19.5" customHeight="1">
      <c r="A47" s="3585"/>
      <c r="B47" s="3583"/>
      <c r="C47" s="551" t="s">
        <v>1961</v>
      </c>
      <c r="D47" s="552"/>
      <c r="E47" s="553">
        <v>1</v>
      </c>
      <c r="F47" s="549" t="s">
        <v>1962</v>
      </c>
      <c r="G47" s="550"/>
      <c r="H47" s="518"/>
      <c r="I47" s="518"/>
    </row>
    <row r="48" spans="1:9" s="517" customFormat="1" ht="19.5" customHeight="1">
      <c r="A48" s="3585"/>
      <c r="B48" s="3583"/>
      <c r="C48" s="551" t="s">
        <v>1963</v>
      </c>
      <c r="D48" s="552"/>
      <c r="E48" s="553">
        <v>1</v>
      </c>
      <c r="F48" s="549" t="s">
        <v>1964</v>
      </c>
      <c r="G48" s="550"/>
      <c r="H48" s="518"/>
      <c r="I48" s="518"/>
    </row>
    <row r="49" spans="1:9" s="517" customFormat="1" ht="19.5" customHeight="1">
      <c r="A49" s="3585"/>
      <c r="B49" s="3583"/>
      <c r="C49" s="551" t="s">
        <v>1965</v>
      </c>
      <c r="D49" s="552"/>
      <c r="E49" s="553">
        <v>1</v>
      </c>
      <c r="F49" s="549" t="s">
        <v>1966</v>
      </c>
      <c r="G49" s="550"/>
      <c r="H49" s="518"/>
      <c r="I49" s="518"/>
    </row>
    <row r="50" spans="1:9" s="517" customFormat="1" ht="19.5" customHeight="1">
      <c r="A50" s="3585"/>
      <c r="B50" s="3583"/>
      <c r="C50" s="551" t="s">
        <v>1967</v>
      </c>
      <c r="D50" s="552"/>
      <c r="E50" s="553">
        <v>1</v>
      </c>
      <c r="F50" s="549" t="s">
        <v>1968</v>
      </c>
      <c r="G50" s="550"/>
      <c r="H50" s="518"/>
      <c r="I50" s="518"/>
    </row>
    <row r="51" spans="1:9" s="517" customFormat="1" ht="19.5" customHeight="1">
      <c r="A51" s="3586"/>
      <c r="B51" s="3591"/>
      <c r="C51" s="554" t="s">
        <v>1969</v>
      </c>
      <c r="D51" s="555"/>
      <c r="E51" s="556">
        <v>1</v>
      </c>
      <c r="F51" s="549" t="s">
        <v>1970</v>
      </c>
      <c r="G51" s="550"/>
      <c r="H51" s="518"/>
      <c r="I51" s="518"/>
    </row>
    <row r="52" spans="1:9" s="517" customFormat="1" ht="19.5" customHeight="1">
      <c r="A52" s="563"/>
      <c r="B52" s="563"/>
      <c r="C52" s="563"/>
      <c r="D52" s="563"/>
      <c r="E52" s="563"/>
      <c r="F52" s="564"/>
      <c r="G52" s="564"/>
      <c r="H52" s="518"/>
      <c r="I52" s="518"/>
    </row>
    <row r="54" spans="1:9" ht="19.5" customHeight="1">
      <c r="A54" s="565"/>
      <c r="B54" s="538" t="s">
        <v>1971</v>
      </c>
      <c r="C54" s="538" t="s">
        <v>1971</v>
      </c>
      <c r="D54" s="538" t="s">
        <v>1971</v>
      </c>
      <c r="E54" s="566" t="s">
        <v>1971</v>
      </c>
      <c r="F54" s="566" t="s">
        <v>1972</v>
      </c>
      <c r="G54" s="566" t="s">
        <v>1971</v>
      </c>
      <c r="I54" s="519"/>
    </row>
    <row r="55" spans="1:9" ht="19.5" customHeight="1">
      <c r="A55" s="567"/>
      <c r="B55" s="566" t="s">
        <v>1885</v>
      </c>
      <c r="C55" s="566" t="s">
        <v>1885</v>
      </c>
      <c r="D55" s="566" t="s">
        <v>1885</v>
      </c>
      <c r="E55" s="538" t="s">
        <v>452</v>
      </c>
      <c r="F55" s="538" t="s">
        <v>1887</v>
      </c>
      <c r="G55" s="538" t="s">
        <v>1973</v>
      </c>
      <c r="I55" s="519"/>
    </row>
    <row r="56" spans="1:9" ht="19.5" customHeight="1">
      <c r="A56" s="568"/>
      <c r="B56" s="538">
        <v>1</v>
      </c>
      <c r="C56" s="538">
        <v>2</v>
      </c>
      <c r="D56" s="538">
        <v>3</v>
      </c>
      <c r="E56" s="569" t="s">
        <v>1974</v>
      </c>
      <c r="F56" s="569" t="s">
        <v>1974</v>
      </c>
      <c r="G56" s="569" t="s">
        <v>1974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1975</v>
      </c>
      <c r="E70" s="540"/>
      <c r="F70" s="540"/>
    </row>
    <row r="71" spans="1:7" s="518" customFormat="1" ht="19.5" customHeight="1">
      <c r="A71" s="581" t="s">
        <v>1232</v>
      </c>
      <c r="B71" s="581" t="s">
        <v>1976</v>
      </c>
      <c r="C71" s="581" t="s">
        <v>1977</v>
      </c>
      <c r="D71" s="581" t="s">
        <v>1978</v>
      </c>
      <c r="E71" s="581" t="s">
        <v>1979</v>
      </c>
      <c r="F71" s="581" t="s">
        <v>1980</v>
      </c>
    </row>
    <row r="72" spans="1:7" ht="14.4">
      <c r="A72" s="581"/>
      <c r="B72" s="581"/>
      <c r="C72" s="581" t="s">
        <v>1981</v>
      </c>
      <c r="D72" s="581"/>
      <c r="E72" s="582" t="s">
        <v>124</v>
      </c>
      <c r="F72" s="581" t="s">
        <v>124</v>
      </c>
    </row>
    <row r="73" spans="1:7" s="518" customFormat="1" ht="14.4">
      <c r="A73" s="562">
        <v>1</v>
      </c>
      <c r="B73" s="3581" t="s">
        <v>1982</v>
      </c>
      <c r="C73" s="535" t="s">
        <v>1983</v>
      </c>
      <c r="D73" s="535" t="s">
        <v>1984</v>
      </c>
      <c r="E73" s="583">
        <v>0.2</v>
      </c>
      <c r="F73" s="562">
        <v>25</v>
      </c>
    </row>
    <row r="74" spans="1:7" s="518" customFormat="1" ht="24">
      <c r="A74" s="562">
        <v>2</v>
      </c>
      <c r="B74" s="3583"/>
      <c r="C74" s="535" t="s">
        <v>1985</v>
      </c>
      <c r="D74" s="535" t="s">
        <v>1986</v>
      </c>
      <c r="E74" s="583">
        <v>0.2</v>
      </c>
      <c r="F74" s="562">
        <v>25</v>
      </c>
    </row>
    <row r="75" spans="1:7" s="518" customFormat="1" ht="24">
      <c r="A75" s="562">
        <v>3</v>
      </c>
      <c r="B75" s="3583"/>
      <c r="C75" s="535" t="s">
        <v>1987</v>
      </c>
      <c r="D75" s="535" t="s">
        <v>1988</v>
      </c>
      <c r="E75" s="583">
        <v>0.2</v>
      </c>
      <c r="F75" s="562">
        <v>25</v>
      </c>
    </row>
    <row r="76" spans="1:7" s="518" customFormat="1" ht="14.4">
      <c r="A76" s="562">
        <v>4</v>
      </c>
      <c r="B76" s="3583"/>
      <c r="C76" s="535" t="s">
        <v>1989</v>
      </c>
      <c r="D76" s="535" t="s">
        <v>1990</v>
      </c>
      <c r="E76" s="583">
        <v>0.15</v>
      </c>
      <c r="F76" s="562">
        <v>20</v>
      </c>
    </row>
    <row r="77" spans="1:7" s="518" customFormat="1" ht="24">
      <c r="A77" s="562">
        <v>5</v>
      </c>
      <c r="B77" s="3583"/>
      <c r="C77" s="535" t="s">
        <v>1991</v>
      </c>
      <c r="D77" s="535" t="s">
        <v>1992</v>
      </c>
      <c r="E77" s="583">
        <v>0.15</v>
      </c>
      <c r="F77" s="562">
        <v>20</v>
      </c>
    </row>
    <row r="78" spans="1:7" s="518" customFormat="1" ht="24">
      <c r="A78" s="562">
        <v>6</v>
      </c>
      <c r="B78" s="3583"/>
      <c r="C78" s="535" t="s">
        <v>1993</v>
      </c>
      <c r="D78" s="535" t="s">
        <v>1994</v>
      </c>
      <c r="E78" s="583">
        <v>0.15</v>
      </c>
      <c r="F78" s="562">
        <v>20</v>
      </c>
    </row>
    <row r="79" spans="1:7" s="518" customFormat="1" ht="24">
      <c r="A79" s="562">
        <v>7</v>
      </c>
      <c r="B79" s="3583"/>
      <c r="C79" s="535" t="s">
        <v>1995</v>
      </c>
      <c r="D79" s="535" t="s">
        <v>1996</v>
      </c>
      <c r="E79" s="583">
        <v>0.15</v>
      </c>
      <c r="F79" s="562">
        <v>20</v>
      </c>
    </row>
    <row r="80" spans="1:7" s="518" customFormat="1" ht="24">
      <c r="A80" s="562">
        <v>8</v>
      </c>
      <c r="B80" s="3583"/>
      <c r="C80" s="535" t="s">
        <v>1997</v>
      </c>
      <c r="D80" s="535" t="s">
        <v>1998</v>
      </c>
      <c r="E80" s="583">
        <v>0.1</v>
      </c>
      <c r="F80" s="562">
        <v>15</v>
      </c>
    </row>
    <row r="81" spans="1:6" s="518" customFormat="1" ht="24">
      <c r="A81" s="562">
        <v>9</v>
      </c>
      <c r="B81" s="3583"/>
      <c r="C81" s="535" t="s">
        <v>1999</v>
      </c>
      <c r="D81" s="535" t="s">
        <v>2000</v>
      </c>
      <c r="E81" s="583">
        <v>0.1</v>
      </c>
      <c r="F81" s="562">
        <v>15</v>
      </c>
    </row>
    <row r="82" spans="1:6" s="518" customFormat="1" ht="24">
      <c r="A82" s="562">
        <v>10</v>
      </c>
      <c r="B82" s="3583"/>
      <c r="C82" s="535" t="s">
        <v>2001</v>
      </c>
      <c r="D82" s="535" t="s">
        <v>2002</v>
      </c>
      <c r="E82" s="583">
        <v>0.1</v>
      </c>
      <c r="F82" s="562">
        <v>15</v>
      </c>
    </row>
    <row r="83" spans="1:6" s="518" customFormat="1" ht="24">
      <c r="A83" s="562">
        <v>11</v>
      </c>
      <c r="B83" s="3583"/>
      <c r="C83" s="535" t="s">
        <v>2003</v>
      </c>
      <c r="D83" s="535" t="s">
        <v>2004</v>
      </c>
      <c r="E83" s="583">
        <v>0.1</v>
      </c>
      <c r="F83" s="562">
        <v>15</v>
      </c>
    </row>
    <row r="84" spans="1:6" s="518" customFormat="1" ht="24">
      <c r="A84" s="562">
        <v>12</v>
      </c>
      <c r="B84" s="3583"/>
      <c r="C84" s="535" t="s">
        <v>2005</v>
      </c>
      <c r="D84" s="535" t="s">
        <v>2006</v>
      </c>
      <c r="E84" s="583">
        <v>0.1</v>
      </c>
      <c r="F84" s="562">
        <v>15</v>
      </c>
    </row>
    <row r="85" spans="1:6" s="518" customFormat="1" ht="24">
      <c r="A85" s="562">
        <v>13</v>
      </c>
      <c r="B85" s="3583"/>
      <c r="C85" s="535" t="s">
        <v>2007</v>
      </c>
      <c r="D85" s="535" t="s">
        <v>2008</v>
      </c>
      <c r="E85" s="583">
        <v>0.1</v>
      </c>
      <c r="F85" s="562">
        <v>15</v>
      </c>
    </row>
    <row r="86" spans="1:6" s="518" customFormat="1" ht="24">
      <c r="A86" s="562">
        <v>14</v>
      </c>
      <c r="B86" s="3583"/>
      <c r="C86" s="535" t="s">
        <v>2009</v>
      </c>
      <c r="D86" s="535" t="s">
        <v>2010</v>
      </c>
      <c r="E86" s="583">
        <v>0.1</v>
      </c>
      <c r="F86" s="562">
        <v>15</v>
      </c>
    </row>
    <row r="87" spans="1:6" s="518" customFormat="1" ht="24">
      <c r="A87" s="562">
        <v>15</v>
      </c>
      <c r="B87" s="3583"/>
      <c r="C87" s="535" t="s">
        <v>2011</v>
      </c>
      <c r="D87" s="535" t="s">
        <v>2012</v>
      </c>
      <c r="E87" s="583">
        <v>0.1</v>
      </c>
      <c r="F87" s="562">
        <v>15</v>
      </c>
    </row>
    <row r="88" spans="1:6" s="518" customFormat="1" ht="24">
      <c r="A88" s="562">
        <v>16</v>
      </c>
      <c r="B88" s="3583"/>
      <c r="C88" s="535" t="s">
        <v>2013</v>
      </c>
      <c r="D88" s="535" t="s">
        <v>2014</v>
      </c>
      <c r="E88" s="583">
        <v>0.1</v>
      </c>
      <c r="F88" s="562">
        <v>15</v>
      </c>
    </row>
    <row r="89" spans="1:6" s="518" customFormat="1" ht="24">
      <c r="A89" s="562">
        <v>17</v>
      </c>
      <c r="B89" s="3582"/>
      <c r="C89" s="535" t="s">
        <v>2015</v>
      </c>
      <c r="D89" s="535" t="s">
        <v>2016</v>
      </c>
      <c r="E89" s="583">
        <v>0.1</v>
      </c>
      <c r="F89" s="562">
        <v>15</v>
      </c>
    </row>
    <row r="90" spans="1:6" s="518" customFormat="1" ht="14.4">
      <c r="A90" s="562">
        <v>18</v>
      </c>
      <c r="B90" s="3581" t="s">
        <v>2017</v>
      </c>
      <c r="C90" s="535" t="s">
        <v>2018</v>
      </c>
      <c r="D90" s="535" t="s">
        <v>2019</v>
      </c>
      <c r="E90" s="583">
        <v>0.2</v>
      </c>
      <c r="F90" s="562">
        <v>25</v>
      </c>
    </row>
    <row r="91" spans="1:6" s="518" customFormat="1" ht="24">
      <c r="A91" s="562">
        <v>19</v>
      </c>
      <c r="B91" s="3583"/>
      <c r="C91" s="535" t="s">
        <v>2020</v>
      </c>
      <c r="D91" s="535" t="s">
        <v>2021</v>
      </c>
      <c r="E91" s="583">
        <v>0.2</v>
      </c>
      <c r="F91" s="562">
        <v>25</v>
      </c>
    </row>
    <row r="92" spans="1:6" s="518" customFormat="1" ht="14.4">
      <c r="A92" s="562">
        <v>20</v>
      </c>
      <c r="B92" s="3583"/>
      <c r="C92" s="535" t="s">
        <v>2022</v>
      </c>
      <c r="D92" s="535" t="s">
        <v>2023</v>
      </c>
      <c r="E92" s="583">
        <v>0.15</v>
      </c>
      <c r="F92" s="562">
        <v>20</v>
      </c>
    </row>
    <row r="93" spans="1:6" s="518" customFormat="1" ht="24">
      <c r="A93" s="562">
        <v>21</v>
      </c>
      <c r="B93" s="3583"/>
      <c r="C93" s="535" t="s">
        <v>2024</v>
      </c>
      <c r="D93" s="535" t="s">
        <v>2025</v>
      </c>
      <c r="E93" s="583">
        <v>0.15</v>
      </c>
      <c r="F93" s="562">
        <v>20</v>
      </c>
    </row>
    <row r="94" spans="1:6" s="518" customFormat="1" ht="24">
      <c r="A94" s="562">
        <v>22</v>
      </c>
      <c r="B94" s="3583"/>
      <c r="C94" s="535" t="s">
        <v>2026</v>
      </c>
      <c r="D94" s="535" t="s">
        <v>2027</v>
      </c>
      <c r="E94" s="583">
        <v>0.15</v>
      </c>
      <c r="F94" s="562">
        <v>20</v>
      </c>
    </row>
    <row r="95" spans="1:6" s="518" customFormat="1" ht="36">
      <c r="A95" s="562">
        <v>23</v>
      </c>
      <c r="B95" s="3583"/>
      <c r="C95" s="535" t="s">
        <v>2028</v>
      </c>
      <c r="D95" s="535" t="s">
        <v>2029</v>
      </c>
      <c r="E95" s="583">
        <v>0.15</v>
      </c>
      <c r="F95" s="562">
        <v>20</v>
      </c>
    </row>
    <row r="96" spans="1:6" s="518" customFormat="1" ht="24">
      <c r="A96" s="562">
        <v>24</v>
      </c>
      <c r="B96" s="3583"/>
      <c r="C96" s="535" t="s">
        <v>2030</v>
      </c>
      <c r="D96" s="535" t="s">
        <v>2031</v>
      </c>
      <c r="E96" s="583">
        <v>0.1</v>
      </c>
      <c r="F96" s="562">
        <v>15</v>
      </c>
    </row>
    <row r="97" spans="1:6" s="518" customFormat="1" ht="24">
      <c r="A97" s="562">
        <v>25</v>
      </c>
      <c r="B97" s="3583"/>
      <c r="C97" s="535" t="s">
        <v>2032</v>
      </c>
      <c r="D97" s="535" t="s">
        <v>2033</v>
      </c>
      <c r="E97" s="583">
        <v>0.1</v>
      </c>
      <c r="F97" s="562">
        <v>15</v>
      </c>
    </row>
    <row r="98" spans="1:6" s="518" customFormat="1" ht="24">
      <c r="A98" s="562">
        <v>26</v>
      </c>
      <c r="B98" s="3583"/>
      <c r="C98" s="535" t="s">
        <v>2034</v>
      </c>
      <c r="D98" s="535" t="s">
        <v>2035</v>
      </c>
      <c r="E98" s="583">
        <v>0.1</v>
      </c>
      <c r="F98" s="562">
        <v>15</v>
      </c>
    </row>
    <row r="99" spans="1:6" s="518" customFormat="1" ht="24">
      <c r="A99" s="562">
        <v>27</v>
      </c>
      <c r="B99" s="3583"/>
      <c r="C99" s="535" t="s">
        <v>2036</v>
      </c>
      <c r="D99" s="535" t="s">
        <v>2037</v>
      </c>
      <c r="E99" s="583">
        <v>0.1</v>
      </c>
      <c r="F99" s="562">
        <v>15</v>
      </c>
    </row>
    <row r="100" spans="1:6" s="518" customFormat="1" ht="24">
      <c r="A100" s="562">
        <v>28</v>
      </c>
      <c r="B100" s="3583"/>
      <c r="C100" s="535" t="s">
        <v>2038</v>
      </c>
      <c r="D100" s="535" t="s">
        <v>2039</v>
      </c>
      <c r="E100" s="583">
        <v>0.1</v>
      </c>
      <c r="F100" s="562">
        <v>15</v>
      </c>
    </row>
    <row r="101" spans="1:6" s="518" customFormat="1" ht="24">
      <c r="A101" s="562">
        <v>29</v>
      </c>
      <c r="B101" s="3583"/>
      <c r="C101" s="535" t="s">
        <v>2040</v>
      </c>
      <c r="D101" s="535" t="s">
        <v>2041</v>
      </c>
      <c r="E101" s="583">
        <v>0.1</v>
      </c>
      <c r="F101" s="562">
        <v>15</v>
      </c>
    </row>
    <row r="102" spans="1:6" s="518" customFormat="1" ht="24">
      <c r="A102" s="562">
        <v>30</v>
      </c>
      <c r="B102" s="3583"/>
      <c r="C102" s="535" t="s">
        <v>2042</v>
      </c>
      <c r="D102" s="535" t="s">
        <v>2043</v>
      </c>
      <c r="E102" s="583">
        <v>0.1</v>
      </c>
      <c r="F102" s="562">
        <v>15</v>
      </c>
    </row>
    <row r="103" spans="1:6" s="518" customFormat="1" ht="24">
      <c r="A103" s="562">
        <v>31</v>
      </c>
      <c r="B103" s="3583"/>
      <c r="C103" s="535" t="s">
        <v>2044</v>
      </c>
      <c r="D103" s="535" t="s">
        <v>2045</v>
      </c>
      <c r="E103" s="583">
        <v>0.1</v>
      </c>
      <c r="F103" s="562">
        <v>15</v>
      </c>
    </row>
    <row r="104" spans="1:6" s="518" customFormat="1" ht="24">
      <c r="A104" s="562">
        <v>32</v>
      </c>
      <c r="B104" s="3583"/>
      <c r="C104" s="535" t="s">
        <v>2046</v>
      </c>
      <c r="D104" s="535" t="s">
        <v>2047</v>
      </c>
      <c r="E104" s="583">
        <v>0.1</v>
      </c>
      <c r="F104" s="562">
        <v>15</v>
      </c>
    </row>
    <row r="105" spans="1:6" s="518" customFormat="1" ht="24">
      <c r="A105" s="562">
        <v>33</v>
      </c>
      <c r="B105" s="3583"/>
      <c r="C105" s="535" t="s">
        <v>2048</v>
      </c>
      <c r="D105" s="535" t="s">
        <v>2049</v>
      </c>
      <c r="E105" s="583">
        <v>0.1</v>
      </c>
      <c r="F105" s="562">
        <v>15</v>
      </c>
    </row>
    <row r="106" spans="1:6" s="518" customFormat="1" ht="24">
      <c r="A106" s="562">
        <v>34</v>
      </c>
      <c r="B106" s="3582"/>
      <c r="C106" s="535" t="s">
        <v>2050</v>
      </c>
      <c r="D106" s="535" t="s">
        <v>2051</v>
      </c>
      <c r="E106" s="583">
        <v>0.1</v>
      </c>
      <c r="F106" s="562">
        <v>15</v>
      </c>
    </row>
    <row r="107" spans="1:6" s="518" customFormat="1" ht="36">
      <c r="A107" s="562">
        <v>35</v>
      </c>
      <c r="B107" s="3581" t="s">
        <v>2052</v>
      </c>
      <c r="C107" s="562" t="s">
        <v>2053</v>
      </c>
      <c r="D107" s="535" t="s">
        <v>2054</v>
      </c>
      <c r="E107" s="583">
        <v>0.15</v>
      </c>
      <c r="F107" s="562">
        <v>20</v>
      </c>
    </row>
    <row r="108" spans="1:6" s="518" customFormat="1" ht="24">
      <c r="A108" s="562">
        <v>36</v>
      </c>
      <c r="B108" s="3583"/>
      <c r="C108" s="562" t="s">
        <v>2055</v>
      </c>
      <c r="D108" s="535" t="s">
        <v>2056</v>
      </c>
      <c r="E108" s="583">
        <v>0.15</v>
      </c>
      <c r="F108" s="562">
        <v>20</v>
      </c>
    </row>
    <row r="109" spans="1:6" s="518" customFormat="1" ht="24">
      <c r="A109" s="562">
        <v>37</v>
      </c>
      <c r="B109" s="3583"/>
      <c r="C109" s="562" t="s">
        <v>2057</v>
      </c>
      <c r="D109" s="535" t="s">
        <v>2058</v>
      </c>
      <c r="E109" s="583">
        <v>0.15</v>
      </c>
      <c r="F109" s="562">
        <v>20</v>
      </c>
    </row>
    <row r="110" spans="1:6" s="518" customFormat="1" ht="24">
      <c r="A110" s="562">
        <v>38</v>
      </c>
      <c r="B110" s="3583"/>
      <c r="C110" s="562" t="s">
        <v>2059</v>
      </c>
      <c r="D110" s="535" t="s">
        <v>2060</v>
      </c>
      <c r="E110" s="583">
        <v>0.1</v>
      </c>
      <c r="F110" s="562">
        <v>15</v>
      </c>
    </row>
    <row r="111" spans="1:6" s="518" customFormat="1" ht="24">
      <c r="A111" s="562">
        <v>39</v>
      </c>
      <c r="B111" s="3583"/>
      <c r="C111" s="562" t="s">
        <v>2061</v>
      </c>
      <c r="D111" s="535" t="s">
        <v>2062</v>
      </c>
      <c r="E111" s="583">
        <v>0.1</v>
      </c>
      <c r="F111" s="562">
        <v>15</v>
      </c>
    </row>
    <row r="112" spans="1:6" s="518" customFormat="1" ht="24">
      <c r="A112" s="562">
        <v>40</v>
      </c>
      <c r="B112" s="3582"/>
      <c r="C112" s="562" t="s">
        <v>2063</v>
      </c>
      <c r="D112" s="535" t="s">
        <v>2064</v>
      </c>
      <c r="E112" s="583">
        <v>0.1</v>
      </c>
      <c r="F112" s="562">
        <v>15</v>
      </c>
    </row>
    <row r="113" spans="1:6" s="518" customFormat="1" ht="24">
      <c r="A113" s="562">
        <v>41</v>
      </c>
      <c r="B113" s="3580" t="s">
        <v>2065</v>
      </c>
      <c r="C113" s="562" t="s">
        <v>2066</v>
      </c>
      <c r="D113" s="535" t="s">
        <v>2067</v>
      </c>
      <c r="E113" s="583">
        <v>0.1</v>
      </c>
      <c r="F113" s="562">
        <v>15</v>
      </c>
    </row>
    <row r="114" spans="1:6" s="518" customFormat="1" ht="24">
      <c r="A114" s="562">
        <v>42</v>
      </c>
      <c r="B114" s="3580"/>
      <c r="C114" s="562" t="s">
        <v>2068</v>
      </c>
      <c r="D114" s="535" t="s">
        <v>2069</v>
      </c>
      <c r="E114" s="583">
        <v>0.1</v>
      </c>
      <c r="F114" s="562">
        <v>15</v>
      </c>
    </row>
    <row r="115" spans="1:6" s="518" customFormat="1" ht="24">
      <c r="A115" s="562">
        <v>43</v>
      </c>
      <c r="B115" s="3580"/>
      <c r="C115" s="562" t="s">
        <v>2070</v>
      </c>
      <c r="D115" s="535" t="s">
        <v>2071</v>
      </c>
      <c r="E115" s="583">
        <v>0.1</v>
      </c>
      <c r="F115" s="562">
        <v>15</v>
      </c>
    </row>
    <row r="116" spans="1:6" s="518" customFormat="1" ht="24">
      <c r="A116" s="562">
        <v>44</v>
      </c>
      <c r="B116" s="3581" t="s">
        <v>2072</v>
      </c>
      <c r="C116" s="562" t="s">
        <v>2073</v>
      </c>
      <c r="D116" s="535" t="s">
        <v>2074</v>
      </c>
      <c r="E116" s="583">
        <v>0.1</v>
      </c>
      <c r="F116" s="562">
        <v>15</v>
      </c>
    </row>
    <row r="117" spans="1:6" s="518" customFormat="1" ht="24">
      <c r="A117" s="562">
        <v>45</v>
      </c>
      <c r="B117" s="3582"/>
      <c r="C117" s="535" t="s">
        <v>2075</v>
      </c>
      <c r="D117" s="535" t="s">
        <v>2076</v>
      </c>
      <c r="E117" s="583">
        <v>0.1</v>
      </c>
      <c r="F117" s="562">
        <v>15</v>
      </c>
    </row>
    <row r="118" spans="1:6" s="518" customFormat="1" ht="24">
      <c r="A118" s="562">
        <v>46</v>
      </c>
      <c r="B118" s="3581" t="s">
        <v>2077</v>
      </c>
      <c r="C118" s="562" t="s">
        <v>2078</v>
      </c>
      <c r="D118" s="535" t="s">
        <v>2079</v>
      </c>
      <c r="E118" s="583">
        <v>0.1</v>
      </c>
      <c r="F118" s="562">
        <v>15</v>
      </c>
    </row>
    <row r="119" spans="1:6" s="518" customFormat="1" ht="24">
      <c r="A119" s="562">
        <v>47</v>
      </c>
      <c r="B119" s="3582"/>
      <c r="C119" s="562" t="s">
        <v>2080</v>
      </c>
      <c r="D119" s="535" t="s">
        <v>2081</v>
      </c>
      <c r="E119" s="583">
        <v>0.1</v>
      </c>
      <c r="F119" s="562">
        <v>15</v>
      </c>
    </row>
    <row r="120" spans="1:6" s="518" customFormat="1" ht="24">
      <c r="A120" s="562">
        <v>48</v>
      </c>
      <c r="B120" s="3581" t="s">
        <v>2082</v>
      </c>
      <c r="C120" s="562" t="s">
        <v>2083</v>
      </c>
      <c r="D120" s="535" t="s">
        <v>2084</v>
      </c>
      <c r="E120" s="583">
        <v>0.1</v>
      </c>
      <c r="F120" s="562">
        <v>15</v>
      </c>
    </row>
    <row r="121" spans="1:6" s="518" customFormat="1" ht="24">
      <c r="A121" s="562">
        <v>49</v>
      </c>
      <c r="B121" s="3582"/>
      <c r="C121" s="562" t="s">
        <v>2085</v>
      </c>
      <c r="D121" s="535" t="s">
        <v>2086</v>
      </c>
      <c r="E121" s="583">
        <v>0.1</v>
      </c>
      <c r="F121" s="562">
        <v>15</v>
      </c>
    </row>
    <row r="122" spans="1:6" s="518" customFormat="1" ht="24">
      <c r="A122" s="562">
        <v>50</v>
      </c>
      <c r="B122" s="3580" t="s">
        <v>2087</v>
      </c>
      <c r="C122" s="562" t="s">
        <v>2088</v>
      </c>
      <c r="D122" s="535" t="s">
        <v>2089</v>
      </c>
      <c r="E122" s="583">
        <v>0.1</v>
      </c>
      <c r="F122" s="562">
        <v>15</v>
      </c>
    </row>
    <row r="123" spans="1:6" s="518" customFormat="1" ht="24">
      <c r="A123" s="562">
        <v>51</v>
      </c>
      <c r="B123" s="3580"/>
      <c r="C123" s="562" t="s">
        <v>2090</v>
      </c>
      <c r="D123" s="535" t="s">
        <v>2091</v>
      </c>
      <c r="E123" s="583">
        <v>0.1</v>
      </c>
      <c r="F123" s="562">
        <v>15</v>
      </c>
    </row>
    <row r="124" spans="1:6" s="518" customFormat="1" ht="24">
      <c r="A124" s="562">
        <v>52</v>
      </c>
      <c r="B124" s="3580" t="s">
        <v>2092</v>
      </c>
      <c r="C124" s="562" t="s">
        <v>2093</v>
      </c>
      <c r="D124" s="535" t="s">
        <v>2094</v>
      </c>
      <c r="E124" s="583">
        <v>0.1</v>
      </c>
      <c r="F124" s="562">
        <v>15</v>
      </c>
    </row>
    <row r="125" spans="1:6" s="518" customFormat="1" ht="24">
      <c r="A125" s="562">
        <v>53</v>
      </c>
      <c r="B125" s="3580"/>
      <c r="C125" s="562" t="s">
        <v>2095</v>
      </c>
      <c r="D125" s="535" t="s">
        <v>2096</v>
      </c>
      <c r="E125" s="583">
        <v>0.1</v>
      </c>
      <c r="F125" s="562">
        <v>15</v>
      </c>
    </row>
    <row r="126" spans="1:6" ht="24">
      <c r="A126" s="562">
        <v>54</v>
      </c>
      <c r="B126" s="562" t="s">
        <v>2097</v>
      </c>
      <c r="C126" s="562" t="s">
        <v>2098</v>
      </c>
      <c r="D126" s="535" t="s">
        <v>2099</v>
      </c>
      <c r="E126" s="583">
        <v>0.1</v>
      </c>
      <c r="F126" s="562">
        <v>15</v>
      </c>
    </row>
    <row r="127" spans="1:6" ht="24">
      <c r="A127" s="562">
        <v>55</v>
      </c>
      <c r="B127" s="3580" t="s">
        <v>2100</v>
      </c>
      <c r="C127" s="562" t="s">
        <v>2101</v>
      </c>
      <c r="D127" s="535" t="s">
        <v>2102</v>
      </c>
      <c r="E127" s="583">
        <v>0.1</v>
      </c>
      <c r="F127" s="562">
        <v>15</v>
      </c>
    </row>
    <row r="128" spans="1:6" ht="24">
      <c r="A128" s="562">
        <v>56</v>
      </c>
      <c r="B128" s="3580"/>
      <c r="C128" s="562" t="s">
        <v>2103</v>
      </c>
      <c r="D128" s="535" t="s">
        <v>2104</v>
      </c>
      <c r="E128" s="583">
        <v>0.1</v>
      </c>
      <c r="F128" s="562">
        <v>15</v>
      </c>
    </row>
    <row r="129" spans="1:6" ht="24">
      <c r="A129" s="562">
        <v>57</v>
      </c>
      <c r="B129" s="3580"/>
      <c r="C129" s="562" t="s">
        <v>2105</v>
      </c>
      <c r="D129" s="535" t="s">
        <v>2106</v>
      </c>
      <c r="E129" s="583">
        <v>0.1</v>
      </c>
      <c r="F129" s="562">
        <v>15</v>
      </c>
    </row>
    <row r="130" spans="1:6" ht="24">
      <c r="A130" s="562">
        <v>58</v>
      </c>
      <c r="B130" s="3580" t="s">
        <v>2107</v>
      </c>
      <c r="C130" s="562" t="s">
        <v>2108</v>
      </c>
      <c r="D130" s="535" t="s">
        <v>2109</v>
      </c>
      <c r="E130" s="583">
        <v>0.1</v>
      </c>
      <c r="F130" s="562">
        <v>15</v>
      </c>
    </row>
    <row r="131" spans="1:6" ht="24">
      <c r="A131" s="562">
        <v>59</v>
      </c>
      <c r="B131" s="3580"/>
      <c r="C131" s="562" t="s">
        <v>2110</v>
      </c>
      <c r="D131" s="535" t="s">
        <v>2111</v>
      </c>
      <c r="E131" s="583">
        <v>0.1</v>
      </c>
      <c r="F131" s="562">
        <v>15</v>
      </c>
    </row>
    <row r="132" spans="1:6" ht="24">
      <c r="A132" s="562">
        <v>60</v>
      </c>
      <c r="B132" s="3581" t="s">
        <v>2112</v>
      </c>
      <c r="C132" s="562" t="s">
        <v>2113</v>
      </c>
      <c r="D132" s="535" t="s">
        <v>2114</v>
      </c>
      <c r="E132" s="583">
        <v>0.1</v>
      </c>
      <c r="F132" s="562">
        <v>15</v>
      </c>
    </row>
    <row r="133" spans="1:6" ht="24">
      <c r="A133" s="562">
        <v>61</v>
      </c>
      <c r="B133" s="3582"/>
      <c r="C133" s="562" t="s">
        <v>2115</v>
      </c>
      <c r="D133" s="535" t="s">
        <v>2116</v>
      </c>
      <c r="E133" s="583">
        <v>0.1</v>
      </c>
      <c r="F133" s="562">
        <v>15</v>
      </c>
    </row>
    <row r="134" spans="1:6" ht="24">
      <c r="A134" s="562">
        <v>62</v>
      </c>
      <c r="B134" s="562" t="s">
        <v>2117</v>
      </c>
      <c r="C134" s="562" t="s">
        <v>2118</v>
      </c>
      <c r="D134" s="535" t="s">
        <v>2119</v>
      </c>
      <c r="E134" s="583">
        <v>0.1</v>
      </c>
      <c r="F134" s="562">
        <v>15</v>
      </c>
    </row>
    <row r="135" spans="1:6" ht="24">
      <c r="A135" s="562">
        <v>63</v>
      </c>
      <c r="B135" s="3580" t="s">
        <v>2120</v>
      </c>
      <c r="C135" s="562" t="s">
        <v>2121</v>
      </c>
      <c r="D135" s="535" t="s">
        <v>2122</v>
      </c>
      <c r="E135" s="583">
        <v>0.1</v>
      </c>
      <c r="F135" s="562">
        <v>15</v>
      </c>
    </row>
    <row r="136" spans="1:6" ht="24">
      <c r="A136" s="562">
        <v>64</v>
      </c>
      <c r="B136" s="3580"/>
      <c r="C136" s="562" t="s">
        <v>2123</v>
      </c>
      <c r="D136" s="535" t="s">
        <v>2124</v>
      </c>
      <c r="E136" s="583">
        <v>0.1</v>
      </c>
      <c r="F136" s="562">
        <v>15</v>
      </c>
    </row>
    <row r="137" spans="1:6" ht="24">
      <c r="A137" s="562">
        <v>65</v>
      </c>
      <c r="B137" s="562" t="s">
        <v>2125</v>
      </c>
      <c r="C137" s="562" t="s">
        <v>2126</v>
      </c>
      <c r="D137" s="535" t="s">
        <v>2127</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2128</v>
      </c>
      <c r="B1" s="509"/>
      <c r="C1" s="509"/>
      <c r="D1" s="509"/>
      <c r="E1" s="509"/>
      <c r="F1" s="509"/>
      <c r="G1" s="509"/>
      <c r="H1" s="509"/>
      <c r="I1" s="509"/>
      <c r="J1" s="509"/>
      <c r="K1" s="509"/>
      <c r="L1" s="509"/>
      <c r="M1" s="509"/>
      <c r="N1" s="509"/>
    </row>
    <row r="2" spans="1:14">
      <c r="A2" s="510" t="s">
        <v>2129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2130</v>
      </c>
      <c r="B103" s="509"/>
      <c r="C103" s="509"/>
      <c r="D103" s="509"/>
      <c r="E103" s="509"/>
      <c r="F103" s="509"/>
      <c r="G103" s="509"/>
      <c r="H103" s="509"/>
      <c r="I103" s="509"/>
      <c r="J103" s="509"/>
      <c r="K103" s="509"/>
      <c r="L103" s="509"/>
      <c r="M103" s="509"/>
      <c r="N103" s="509"/>
    </row>
    <row r="104" spans="1:14" ht="15.6">
      <c r="A104" s="510" t="s">
        <v>2129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2131</v>
      </c>
      <c r="B205" s="509"/>
      <c r="C205" s="509"/>
      <c r="D205" s="509"/>
      <c r="E205" s="509"/>
      <c r="F205" s="509"/>
      <c r="G205" s="509"/>
      <c r="H205" s="509"/>
      <c r="I205" s="509"/>
      <c r="J205" s="509"/>
      <c r="K205" s="509"/>
      <c r="L205" s="509"/>
      <c r="M205" s="509"/>
    </row>
    <row r="206" spans="1:13">
      <c r="A206" s="510" t="s">
        <v>2129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2132</v>
      </c>
      <c r="B307" s="509"/>
      <c r="C307" s="509"/>
      <c r="D307" s="509"/>
      <c r="E307" s="509"/>
      <c r="F307" s="509"/>
      <c r="G307" s="509"/>
      <c r="H307" s="509"/>
      <c r="I307" s="509"/>
      <c r="J307" s="509"/>
      <c r="K307" s="509"/>
      <c r="L307" s="509"/>
      <c r="M307" s="509"/>
    </row>
    <row r="308" spans="1:13">
      <c r="A308" s="510" t="s">
        <v>2129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2133</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2134</v>
      </c>
      <c r="D2" s="497" t="s">
        <v>2135</v>
      </c>
      <c r="E2" s="499">
        <f ca="1">SUMIF(E6:E13,"&lt;&gt;#ref!",E6:E13)</f>
        <v>0</v>
      </c>
      <c r="F2" s="496"/>
      <c r="G2" s="496"/>
      <c r="H2" s="496"/>
      <c r="I2" s="496"/>
      <c r="J2" s="496"/>
      <c r="K2" s="496"/>
      <c r="L2" s="496"/>
      <c r="M2" s="496"/>
      <c r="N2" s="496"/>
      <c r="O2" s="496"/>
      <c r="P2" s="496"/>
    </row>
    <row r="3" spans="1:16" ht="15.6">
      <c r="A3" s="497" t="s">
        <v>2136</v>
      </c>
      <c r="B3" s="498" t="e">
        <f ca="1">ROUND(B2*10000/E2,0)</f>
        <v>#DIV/0!</v>
      </c>
      <c r="C3" s="497" t="s">
        <v>2137</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2138</v>
      </c>
      <c r="B5" s="502" t="s">
        <v>2139</v>
      </c>
      <c r="C5" s="503"/>
      <c r="D5" s="496"/>
      <c r="E5" s="504" t="s">
        <v>2140</v>
      </c>
      <c r="F5" s="496"/>
      <c r="G5" s="496"/>
      <c r="H5" s="496"/>
      <c r="I5" s="496"/>
      <c r="J5" s="496"/>
      <c r="K5" s="496"/>
      <c r="L5" s="496"/>
      <c r="M5" s="496"/>
      <c r="N5" s="496"/>
      <c r="O5" s="496"/>
      <c r="P5" s="496"/>
    </row>
    <row r="6" spans="1:16" ht="15.6">
      <c r="A6" s="505" t="s">
        <v>2141</v>
      </c>
      <c r="B6" s="498" t="e">
        <f ca="1">SUMIF(INDIRECT("'"&amp;A6&amp;"'"&amp;"!A:A"),"总价",INDIRECT("'"&amp;A6&amp;"'"&amp;"!B:B"))</f>
        <v>#DIV/0!</v>
      </c>
      <c r="C6" s="497" t="s">
        <v>2134</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2134</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2134</v>
      </c>
      <c r="D8" s="496"/>
      <c r="E8" s="499" t="e">
        <f t="shared" ca="1" si="0"/>
        <v>#REF!</v>
      </c>
      <c r="F8" s="496"/>
      <c r="G8" s="496"/>
      <c r="H8" s="496"/>
      <c r="I8" s="496"/>
      <c r="J8" s="496"/>
      <c r="K8" s="496"/>
      <c r="L8" s="496"/>
      <c r="M8" s="496"/>
      <c r="N8" s="496"/>
      <c r="O8" s="496"/>
      <c r="P8" s="496"/>
    </row>
    <row r="9" spans="1:16" ht="15.6">
      <c r="A9" s="505"/>
      <c r="B9" s="498" t="e">
        <f t="shared" ca="1" si="1"/>
        <v>#REF!</v>
      </c>
      <c r="C9" s="497" t="s">
        <v>2134</v>
      </c>
      <c r="D9" s="496"/>
      <c r="E9" s="499" t="e">
        <f t="shared" ca="1" si="0"/>
        <v>#REF!</v>
      </c>
      <c r="F9" s="496"/>
      <c r="G9" s="496"/>
      <c r="H9" s="496"/>
      <c r="I9" s="496"/>
      <c r="J9" s="496"/>
      <c r="K9" s="496"/>
      <c r="L9" s="496"/>
      <c r="M9" s="496"/>
      <c r="N9" s="496"/>
      <c r="O9" s="496"/>
      <c r="P9" s="496"/>
    </row>
    <row r="10" spans="1:16" ht="15.6">
      <c r="A10" s="505"/>
      <c r="B10" s="498" t="e">
        <f t="shared" ca="1" si="1"/>
        <v>#REF!</v>
      </c>
      <c r="C10" s="497" t="s">
        <v>2134</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2134</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2134</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2134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204" customWidth="1"/>
    <col min="2" max="2" width="37.21875" style="3204" customWidth="1"/>
    <col min="3" max="3" width="11.33203125" style="3204" customWidth="1"/>
    <col min="4" max="4" width="31.77734375" style="3204" customWidth="1"/>
    <col min="5" max="5" width="0.44140625" style="3204" customWidth="1"/>
    <col min="6" max="7" width="13" style="3204" customWidth="1"/>
    <col min="8" max="16384" width="9" style="3204"/>
  </cols>
  <sheetData>
    <row r="1" spans="1:5" ht="17.399999999999999">
      <c r="A1" s="3205" t="s">
        <v>94</v>
      </c>
      <c r="B1" s="3206"/>
      <c r="C1" s="3206"/>
      <c r="D1" s="3206"/>
      <c r="E1" s="3206"/>
    </row>
    <row r="2" spans="1:5" ht="78" customHeight="1">
      <c r="A2" s="3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1"/>
      <c r="C2" s="3271"/>
      <c r="D2" s="3271"/>
      <c r="E2" s="3271"/>
    </row>
    <row r="3" spans="1:5" ht="17.399999999999999">
      <c r="A3" s="3272" t="str">
        <f>IF(项目基本情况!B9="房地产市场价值","估价结果一览表（市场价值不需“结果表-1”）","估价结果一览表")</f>
        <v>估价结果一览表</v>
      </c>
      <c r="B3" s="3272"/>
      <c r="C3" s="3272"/>
      <c r="D3" s="3272"/>
      <c r="E3" s="3272"/>
    </row>
    <row r="4" spans="1:5" ht="17.399999999999999">
      <c r="A4" s="3207"/>
      <c r="B4" s="3273" t="s">
        <v>95</v>
      </c>
      <c r="C4" s="3273"/>
      <c r="D4" s="3273"/>
      <c r="E4" s="3207"/>
    </row>
    <row r="5" spans="1:5" ht="15.6">
      <c r="A5" s="3206"/>
      <c r="B5" s="3265" t="s">
        <v>96</v>
      </c>
      <c r="C5" s="3208" t="s">
        <v>97</v>
      </c>
      <c r="D5" s="3209">
        <f ca="1">结果表!H101</f>
        <v>18586</v>
      </c>
      <c r="E5" s="3206"/>
    </row>
    <row r="6" spans="1:5" ht="15.6">
      <c r="A6" s="3206"/>
      <c r="B6" s="3265"/>
      <c r="C6" s="3208" t="s">
        <v>98</v>
      </c>
      <c r="D6" s="3209" t="str">
        <f ca="1">NUMBERSTRING(INT(D5*10000),2)&amp;"元整"</f>
        <v>壹亿捌仟伍佰捌拾陆万元整</v>
      </c>
      <c r="E6" s="3206"/>
    </row>
    <row r="7" spans="1:5" ht="15.6">
      <c r="A7" s="3206"/>
      <c r="B7" s="3266"/>
      <c r="C7" s="3210" t="s">
        <v>99</v>
      </c>
      <c r="D7" s="3211">
        <f ca="1">结果表!H102</f>
        <v>31727</v>
      </c>
      <c r="E7" s="3206"/>
    </row>
    <row r="8" spans="1:5" ht="15.6">
      <c r="A8" s="3206"/>
      <c r="B8" s="3267" t="str">
        <f>结果表!E103</f>
        <v>2.估价师知悉的法定优先受偿款</v>
      </c>
      <c r="C8" s="3212" t="s">
        <v>100</v>
      </c>
      <c r="D8" s="3211">
        <f>结果表!H103</f>
        <v>0</v>
      </c>
      <c r="E8" s="3206"/>
    </row>
    <row r="9" spans="1:5" ht="15.6">
      <c r="A9" s="3206"/>
      <c r="B9" s="3269"/>
      <c r="C9" s="3208" t="s">
        <v>98</v>
      </c>
      <c r="D9" s="3209" t="str">
        <f>NUMBERSTRING(INT(D8*10000),2)&amp;"元整"</f>
        <v>零元整</v>
      </c>
      <c r="E9" s="3206"/>
    </row>
    <row r="10" spans="1:5" ht="15.6">
      <c r="A10" s="3206"/>
      <c r="B10" s="3213" t="s">
        <v>101</v>
      </c>
      <c r="C10" s="3214" t="s">
        <v>102</v>
      </c>
      <c r="D10" s="3215">
        <f>结果表!H104</f>
        <v>0</v>
      </c>
      <c r="E10" s="3206"/>
    </row>
    <row r="11" spans="1:5" ht="15.6">
      <c r="A11" s="3206"/>
      <c r="B11" s="3213" t="s">
        <v>103</v>
      </c>
      <c r="C11" s="3214" t="s">
        <v>102</v>
      </c>
      <c r="D11" s="3215">
        <f>结果表!H105</f>
        <v>0</v>
      </c>
      <c r="E11" s="3206"/>
    </row>
    <row r="12" spans="1:5" ht="15.6">
      <c r="A12" s="3206"/>
      <c r="B12" s="3213" t="s">
        <v>104</v>
      </c>
      <c r="C12" s="3214" t="s">
        <v>102</v>
      </c>
      <c r="D12" s="3215">
        <f>结果表!H106</f>
        <v>0</v>
      </c>
      <c r="E12" s="3206"/>
    </row>
    <row r="13" spans="1:5" ht="15.6">
      <c r="A13" s="3206"/>
      <c r="B13" s="3264" t="str">
        <f>结果表!E107</f>
        <v>3.房地产抵押价值</v>
      </c>
      <c r="C13" s="3216" t="s">
        <v>97</v>
      </c>
      <c r="D13" s="3217">
        <f ca="1">结果表!H107</f>
        <v>18586</v>
      </c>
      <c r="E13" s="3206"/>
    </row>
    <row r="14" spans="1:5" ht="15.6">
      <c r="A14" s="3206"/>
      <c r="B14" s="3265"/>
      <c r="C14" s="3208" t="s">
        <v>98</v>
      </c>
      <c r="D14" s="3209" t="str">
        <f ca="1">NUMBERSTRING(INT(D13*10000),2)&amp;"元整"</f>
        <v>壹亿捌仟伍佰捌拾陆万元整</v>
      </c>
      <c r="E14" s="3206"/>
    </row>
    <row r="15" spans="1:5" ht="15.6">
      <c r="A15" s="3206"/>
      <c r="B15" s="3266"/>
      <c r="C15" s="3210" t="s">
        <v>99</v>
      </c>
      <c r="D15" s="3218">
        <f ca="1">结果表!H108</f>
        <v>31727</v>
      </c>
      <c r="E15" s="3206"/>
    </row>
    <row r="16" spans="1:5" ht="15.6">
      <c r="A16" s="3206"/>
      <c r="B16" s="3267" t="str">
        <f>结果表!E109</f>
        <v>——</v>
      </c>
      <c r="C16" s="3216" t="s">
        <v>97</v>
      </c>
      <c r="D16" s="3219" t="str">
        <f>结果表!H109</f>
        <v>——</v>
      </c>
      <c r="E16" s="3206"/>
    </row>
    <row r="17" spans="1:5" ht="15.6">
      <c r="A17" s="3206"/>
      <c r="B17" s="3268"/>
      <c r="C17" s="3208" t="s">
        <v>98</v>
      </c>
      <c r="D17" s="3209" t="e">
        <f>NUMBERSTRING(INT(D16*10000),2)&amp;"元整"</f>
        <v>#VALUE!</v>
      </c>
      <c r="E17" s="3206"/>
    </row>
    <row r="18" spans="1:5" ht="15.6">
      <c r="A18" s="3206"/>
      <c r="B18" s="3269"/>
      <c r="C18" s="3210" t="s">
        <v>99</v>
      </c>
      <c r="D18" s="3218" t="str">
        <f>结果表!H110</f>
        <v>——</v>
      </c>
      <c r="E18" s="3206"/>
    </row>
    <row r="19" spans="1:5" ht="15.6">
      <c r="A19" s="3206"/>
      <c r="B19" s="3264" t="str">
        <f>结果表!E111</f>
        <v>4.抵押净值</v>
      </c>
      <c r="C19" s="3216" t="s">
        <v>97</v>
      </c>
      <c r="D19" s="3211">
        <f ca="1">结果表!H111</f>
        <v>7888</v>
      </c>
      <c r="E19" s="3206"/>
    </row>
    <row r="20" spans="1:5" ht="15.6">
      <c r="A20" s="3206"/>
      <c r="B20" s="3265"/>
      <c r="C20" s="3208" t="s">
        <v>98</v>
      </c>
      <c r="D20" s="3209" t="str">
        <f ca="1">NUMBERSTRING(INT(D19*10000),2)&amp;"元整"</f>
        <v>柒仟捌佰捌拾捌万元整</v>
      </c>
      <c r="E20" s="3206"/>
    </row>
    <row r="21" spans="1:5" ht="15.6">
      <c r="A21" s="3206"/>
      <c r="B21" s="3270"/>
      <c r="C21" s="3220" t="s">
        <v>99</v>
      </c>
      <c r="D21" s="3221">
        <f ca="1">结果表!H112</f>
        <v>13465</v>
      </c>
      <c r="E21" s="3206"/>
    </row>
    <row r="22" spans="1:5">
      <c r="A22" s="3206"/>
      <c r="B22" s="3222" t="s">
        <v>105</v>
      </c>
      <c r="C22" s="3206"/>
      <c r="D22" s="3206"/>
      <c r="E22" s="3206"/>
    </row>
    <row r="23" spans="1:5">
      <c r="A23" s="3206"/>
      <c r="B23" s="3206"/>
      <c r="C23" s="3206"/>
      <c r="D23" s="3206"/>
      <c r="E23" s="3206"/>
    </row>
    <row r="24" spans="1:5" ht="17.399999999999999">
      <c r="A24" s="3223"/>
      <c r="B24" s="3224" t="s">
        <v>106</v>
      </c>
      <c r="C24" s="3223"/>
      <c r="D24" s="3223"/>
      <c r="E24" s="3223"/>
    </row>
    <row r="25" spans="1:5">
      <c r="A25" s="3223"/>
      <c r="B25" s="3223"/>
      <c r="C25" s="3223"/>
      <c r="D25" s="3223"/>
      <c r="E25" s="3223"/>
    </row>
    <row r="26" spans="1:5">
      <c r="A26" s="3223"/>
      <c r="B26" s="3223"/>
      <c r="C26" s="3223"/>
      <c r="D26" s="3223"/>
      <c r="E26" s="3223"/>
    </row>
    <row r="27" spans="1:5">
      <c r="A27" s="3223"/>
      <c r="B27" s="3223"/>
      <c r="C27" s="3223"/>
      <c r="D27" s="3223"/>
      <c r="E27" s="3223"/>
    </row>
    <row r="28" spans="1:5">
      <c r="A28" s="3223"/>
      <c r="B28" s="3223"/>
      <c r="C28" s="3223"/>
      <c r="D28" s="3223"/>
      <c r="E28" s="3223"/>
    </row>
    <row r="29" spans="1:5">
      <c r="A29" s="3223"/>
      <c r="B29" s="3223"/>
      <c r="C29" s="3223"/>
      <c r="D29" s="3223"/>
      <c r="E29" s="3223"/>
    </row>
    <row r="30" spans="1:5">
      <c r="A30" s="3223"/>
      <c r="B30" s="3223"/>
      <c r="C30" s="3223"/>
      <c r="D30" s="3223"/>
      <c r="E30" s="3223"/>
    </row>
    <row r="31" spans="1:5">
      <c r="A31" s="3223"/>
      <c r="B31" s="3223"/>
      <c r="C31" s="3223"/>
      <c r="D31" s="3223"/>
      <c r="E31" s="3223"/>
    </row>
    <row r="32" spans="1:5">
      <c r="A32" s="3223"/>
      <c r="B32" s="3223"/>
      <c r="C32" s="3223"/>
      <c r="D32" s="3223"/>
      <c r="E32" s="3223"/>
    </row>
    <row r="33" spans="1:5">
      <c r="A33" s="3223"/>
      <c r="B33" s="3223"/>
      <c r="C33" s="3223"/>
      <c r="D33" s="3223"/>
      <c r="E33" s="3223"/>
    </row>
    <row r="34" spans="1:5">
      <c r="A34" s="3223"/>
      <c r="B34" s="3223"/>
      <c r="C34" s="3223"/>
      <c r="D34" s="3223"/>
      <c r="E34" s="3223"/>
    </row>
    <row r="35" spans="1:5">
      <c r="A35" s="3223"/>
      <c r="B35" s="3223"/>
      <c r="C35" s="3223"/>
      <c r="D35" s="3223"/>
      <c r="E35" s="3223"/>
    </row>
    <row r="36" spans="1:5">
      <c r="A36" s="3223"/>
      <c r="B36" s="3223"/>
      <c r="C36" s="3223"/>
      <c r="D36" s="3223"/>
      <c r="E36" s="3223"/>
    </row>
    <row r="37" spans="1:5">
      <c r="A37" s="3223"/>
      <c r="B37" s="3223"/>
      <c r="C37" s="3223"/>
      <c r="D37" s="3223"/>
      <c r="E37" s="3223"/>
    </row>
    <row r="38" spans="1:5">
      <c r="A38" s="3223"/>
      <c r="B38" s="3223"/>
      <c r="C38" s="3223"/>
      <c r="D38" s="3223"/>
      <c r="E38" s="3223"/>
    </row>
    <row r="39" spans="1:5">
      <c r="A39" s="3223"/>
      <c r="B39" s="3223"/>
      <c r="C39" s="3223"/>
      <c r="D39" s="3223"/>
      <c r="E39" s="3223"/>
    </row>
    <row r="40" spans="1:5">
      <c r="A40" s="3223"/>
      <c r="B40" s="3223"/>
      <c r="C40" s="3223"/>
      <c r="D40" s="3223"/>
      <c r="E40" s="3223"/>
    </row>
    <row r="41" spans="1:5">
      <c r="A41" s="3223"/>
      <c r="B41" s="3223"/>
      <c r="C41" s="3223"/>
      <c r="D41" s="3223"/>
      <c r="E41" s="3223"/>
    </row>
    <row r="42" spans="1:5">
      <c r="A42" s="3223"/>
      <c r="B42" s="3223"/>
      <c r="C42" s="3223"/>
      <c r="D42" s="3223"/>
      <c r="E42" s="32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602" t="s">
        <v>2142</v>
      </c>
      <c r="C1" s="3602"/>
      <c r="D1" s="3602"/>
      <c r="E1" s="3602"/>
      <c r="F1" s="3602"/>
      <c r="G1" s="3599" t="s">
        <v>2143</v>
      </c>
      <c r="H1" s="3599"/>
      <c r="I1" s="3599"/>
      <c r="J1" s="3599"/>
      <c r="K1" s="3599"/>
      <c r="L1" s="3599"/>
      <c r="N1" s="3599" t="s">
        <v>2144</v>
      </c>
      <c r="O1" s="3599"/>
      <c r="P1" s="3599"/>
      <c r="Q1" s="3599"/>
      <c r="S1" s="3599" t="s">
        <v>2145</v>
      </c>
      <c r="T1" s="3599"/>
      <c r="U1" s="3599"/>
      <c r="V1" s="3599"/>
      <c r="X1" s="3598" t="s">
        <v>2146</v>
      </c>
      <c r="Y1" s="3599"/>
      <c r="Z1" s="3599"/>
      <c r="AA1" s="3599"/>
      <c r="AB1" s="3599"/>
      <c r="AD1" s="3598" t="s">
        <v>2147</v>
      </c>
      <c r="AE1" s="3599"/>
      <c r="AF1" s="3599"/>
      <c r="AG1" s="3599"/>
      <c r="AH1" s="3599"/>
    </row>
    <row r="2" spans="1:34" s="360" customFormat="1" ht="14.4">
      <c r="B2" s="370" t="s">
        <v>2148</v>
      </c>
      <c r="C2" s="370" t="s">
        <v>2149</v>
      </c>
      <c r="D2" s="371" t="s">
        <v>452</v>
      </c>
      <c r="E2" s="371" t="s">
        <v>1886</v>
      </c>
      <c r="F2" s="370" t="s">
        <v>2150</v>
      </c>
      <c r="G2" s="372"/>
      <c r="I2" s="370" t="s">
        <v>2148</v>
      </c>
      <c r="J2" s="371" t="s">
        <v>1904</v>
      </c>
      <c r="K2" s="371" t="s">
        <v>1886</v>
      </c>
      <c r="L2" s="370" t="s">
        <v>2150</v>
      </c>
      <c r="N2" s="370" t="s">
        <v>2148</v>
      </c>
      <c r="O2" s="371" t="s">
        <v>1904</v>
      </c>
      <c r="P2" s="371" t="s">
        <v>1886</v>
      </c>
      <c r="Q2" s="370" t="s">
        <v>2150</v>
      </c>
      <c r="S2" s="370" t="s">
        <v>2148</v>
      </c>
      <c r="T2" s="371" t="s">
        <v>1904</v>
      </c>
      <c r="U2" s="371" t="s">
        <v>1886</v>
      </c>
      <c r="V2" s="370" t="s">
        <v>2150</v>
      </c>
      <c r="X2" s="370" t="s">
        <v>2148</v>
      </c>
      <c r="Y2" s="370" t="s">
        <v>2149</v>
      </c>
      <c r="Z2" s="371" t="s">
        <v>452</v>
      </c>
      <c r="AA2" s="371" t="s">
        <v>1886</v>
      </c>
      <c r="AB2" s="370" t="s">
        <v>2150</v>
      </c>
      <c r="AD2" s="370" t="s">
        <v>2148</v>
      </c>
      <c r="AE2" s="370" t="s">
        <v>2149</v>
      </c>
      <c r="AF2" s="371" t="s">
        <v>452</v>
      </c>
      <c r="AG2" s="371" t="s">
        <v>1886</v>
      </c>
      <c r="AH2" s="370" t="s">
        <v>2150</v>
      </c>
    </row>
    <row r="3" spans="1:34" s="361" customFormat="1" ht="14.4">
      <c r="A3" s="373" t="s">
        <v>2151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2152</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2153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2154</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2155</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2156</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2157</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2158</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2159</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2160</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2161</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2162</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2163</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2164</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2165</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2166</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93">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2167</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93"/>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2168</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93"/>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2169</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60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2170</v>
      </c>
      <c r="B22" s="393">
        <v>439</v>
      </c>
      <c r="C22" s="393">
        <v>327</v>
      </c>
      <c r="D22" s="393">
        <f t="shared" si="184"/>
        <v>327</v>
      </c>
      <c r="E22" s="393">
        <v>627</v>
      </c>
      <c r="F22" s="394">
        <v>283</v>
      </c>
      <c r="G22" s="360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2171</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93"/>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2172</v>
      </c>
      <c r="B24" s="387">
        <f t="shared" si="199"/>
        <v>419.31181600000002</v>
      </c>
      <c r="C24" s="387">
        <f t="shared" si="200"/>
        <v>313.95436799999999</v>
      </c>
      <c r="D24" s="387">
        <f t="shared" si="201"/>
        <v>313.95436799999999</v>
      </c>
      <c r="E24" s="387">
        <f t="shared" si="202"/>
        <v>596.63028431999999</v>
      </c>
      <c r="F24" s="387">
        <f t="shared" si="203"/>
        <v>274.74220703999998</v>
      </c>
      <c r="G24" s="3593"/>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2173</v>
      </c>
      <c r="B25" s="387">
        <f t="shared" si="199"/>
        <v>405.524</v>
      </c>
      <c r="C25" s="387">
        <f t="shared" si="200"/>
        <v>307.79840000000002</v>
      </c>
      <c r="D25" s="387">
        <f t="shared" si="201"/>
        <v>307.79840000000002</v>
      </c>
      <c r="E25" s="387">
        <f t="shared" si="202"/>
        <v>574.67759999999998</v>
      </c>
      <c r="F25" s="387">
        <f t="shared" si="203"/>
        <v>270.20280000000002</v>
      </c>
      <c r="G25" s="360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2174</v>
      </c>
      <c r="B26" s="393">
        <v>392</v>
      </c>
      <c r="C26" s="393">
        <v>302</v>
      </c>
      <c r="D26" s="393">
        <f t="shared" si="201"/>
        <v>302</v>
      </c>
      <c r="E26" s="393">
        <v>553</v>
      </c>
      <c r="F26" s="394">
        <v>266</v>
      </c>
      <c r="G26" s="3601">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2175</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93"/>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2176</v>
      </c>
      <c r="B28" s="387">
        <f t="shared" si="212"/>
        <v>360.06949782209398</v>
      </c>
      <c r="C28" s="387">
        <f t="shared" si="212"/>
        <v>289.84672674747799</v>
      </c>
      <c r="D28" s="387">
        <f t="shared" si="213"/>
        <v>289.84672674747799</v>
      </c>
      <c r="E28" s="387">
        <f t="shared" si="214"/>
        <v>501.06543001181501</v>
      </c>
      <c r="F28" s="387">
        <f t="shared" si="214"/>
        <v>256.82882500745001</v>
      </c>
      <c r="G28" s="3593"/>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2177</v>
      </c>
      <c r="B29" s="387">
        <f t="shared" si="212"/>
        <v>346.720748986128</v>
      </c>
      <c r="C29" s="387">
        <f t="shared" si="212"/>
        <v>284.30282172386302</v>
      </c>
      <c r="D29" s="387">
        <f t="shared" si="213"/>
        <v>284.30282172386302</v>
      </c>
      <c r="E29" s="387">
        <f t="shared" si="214"/>
        <v>479.58023546306902</v>
      </c>
      <c r="F29" s="387">
        <f t="shared" si="214"/>
        <v>253.25788877571199</v>
      </c>
      <c r="G29" s="3594"/>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2178</v>
      </c>
      <c r="B30" s="393">
        <v>333</v>
      </c>
      <c r="C30" s="393">
        <v>277</v>
      </c>
      <c r="D30" s="393">
        <f t="shared" si="213"/>
        <v>277</v>
      </c>
      <c r="E30" s="393">
        <v>459</v>
      </c>
      <c r="F30" s="394">
        <v>249</v>
      </c>
      <c r="G30" s="3592">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2179</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93"/>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2180</v>
      </c>
      <c r="B32" s="387">
        <f t="shared" si="216"/>
        <v>322.34053690220799</v>
      </c>
      <c r="C32" s="387">
        <f t="shared" si="216"/>
        <v>271.461607704225</v>
      </c>
      <c r="D32" s="387">
        <f t="shared" si="213"/>
        <v>271.461607704225</v>
      </c>
      <c r="E32" s="387">
        <f t="shared" si="217"/>
        <v>442.69434542172502</v>
      </c>
      <c r="F32" s="387">
        <f t="shared" si="217"/>
        <v>241.34030753190899</v>
      </c>
      <c r="G32" s="3593"/>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2181</v>
      </c>
      <c r="B33" s="387">
        <f t="shared" si="216"/>
        <v>319.87748030386803</v>
      </c>
      <c r="C33" s="387">
        <f t="shared" si="216"/>
        <v>269.60135833173598</v>
      </c>
      <c r="D33" s="387">
        <f t="shared" si="213"/>
        <v>269.60135833173598</v>
      </c>
      <c r="E33" s="387">
        <f t="shared" si="217"/>
        <v>439.18089823583801</v>
      </c>
      <c r="F33" s="387">
        <f t="shared" si="217"/>
        <v>239.23503918706299</v>
      </c>
      <c r="G33" s="3594"/>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2182</v>
      </c>
      <c r="B34" s="397">
        <v>318</v>
      </c>
      <c r="C34" s="397">
        <v>268</v>
      </c>
      <c r="D34" s="397">
        <f t="shared" si="213"/>
        <v>268</v>
      </c>
      <c r="E34" s="397">
        <v>437</v>
      </c>
      <c r="F34" s="398">
        <v>237</v>
      </c>
      <c r="G34" s="3592">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2183</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93"/>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2184</v>
      </c>
      <c r="B36" s="387">
        <f t="shared" si="218"/>
        <v>314.721411723865</v>
      </c>
      <c r="C36" s="387">
        <f t="shared" si="218"/>
        <v>263.03901319069001</v>
      </c>
      <c r="D36" s="387">
        <f t="shared" si="213"/>
        <v>263.03901319069001</v>
      </c>
      <c r="E36" s="387">
        <f t="shared" si="219"/>
        <v>433.65745506782798</v>
      </c>
      <c r="F36" s="387">
        <f t="shared" si="219"/>
        <v>233.23005080045701</v>
      </c>
      <c r="G36" s="3593"/>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2185</v>
      </c>
      <c r="B37" s="401">
        <f t="shared" si="218"/>
        <v>307.34512863658699</v>
      </c>
      <c r="C37" s="401">
        <f t="shared" si="218"/>
        <v>257.80556031626998</v>
      </c>
      <c r="D37" s="401">
        <f t="shared" si="213"/>
        <v>257.80556031626998</v>
      </c>
      <c r="E37" s="401">
        <f t="shared" si="219"/>
        <v>422.70928459677202</v>
      </c>
      <c r="F37" s="401">
        <f t="shared" si="219"/>
        <v>229.738032703366</v>
      </c>
      <c r="G37" s="3594"/>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2186</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2187</v>
      </c>
      <c r="B38" s="393">
        <v>299</v>
      </c>
      <c r="C38" s="393">
        <v>252</v>
      </c>
      <c r="D38" s="393">
        <f t="shared" si="213"/>
        <v>252</v>
      </c>
      <c r="E38" s="393">
        <v>409</v>
      </c>
      <c r="F38" s="394">
        <v>227</v>
      </c>
      <c r="G38" s="3595">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2188</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96"/>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2189</v>
      </c>
      <c r="B40" s="387">
        <f t="shared" si="222"/>
        <v>288.264905382878</v>
      </c>
      <c r="C40" s="387">
        <f t="shared" si="222"/>
        <v>243.64564425013299</v>
      </c>
      <c r="D40" s="387">
        <f t="shared" si="213"/>
        <v>243.64564425013299</v>
      </c>
      <c r="E40" s="387">
        <f t="shared" si="223"/>
        <v>393.31080825986498</v>
      </c>
      <c r="F40" s="387">
        <f t="shared" si="223"/>
        <v>223.079037905512</v>
      </c>
      <c r="G40" s="3596"/>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2190</v>
      </c>
      <c r="B41" s="387">
        <f t="shared" si="222"/>
        <v>282.50186729015797</v>
      </c>
      <c r="C41" s="387">
        <f t="shared" si="222"/>
        <v>238.097961741555</v>
      </c>
      <c r="D41" s="387">
        <f t="shared" si="213"/>
        <v>238.097961741555</v>
      </c>
      <c r="E41" s="387">
        <f t="shared" si="223"/>
        <v>385.33438646014099</v>
      </c>
      <c r="F41" s="387">
        <f t="shared" si="223"/>
        <v>221.550340555677</v>
      </c>
      <c r="G41" s="3597"/>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2191</v>
      </c>
      <c r="B42" s="404">
        <v>278</v>
      </c>
      <c r="C42" s="404">
        <v>234</v>
      </c>
      <c r="D42" s="404">
        <f t="shared" si="213"/>
        <v>234</v>
      </c>
      <c r="E42" s="404">
        <v>379</v>
      </c>
      <c r="F42" s="405">
        <v>220</v>
      </c>
      <c r="G42" s="3592">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2192</v>
      </c>
      <c r="B43" s="387">
        <f>B42/(1+N42)</f>
        <v>275.49301357645402</v>
      </c>
      <c r="C43" s="387">
        <f>C42/(1+O42)</f>
        <v>232.41954707985701</v>
      </c>
      <c r="D43" s="387">
        <f t="shared" si="213"/>
        <v>232.41954707985701</v>
      </c>
      <c r="E43" s="387">
        <f t="shared" ref="E43:F45" si="224">E42/(1+P42)</f>
        <v>375.32184591008098</v>
      </c>
      <c r="F43" s="387">
        <f t="shared" si="224"/>
        <v>218.03766105054501</v>
      </c>
      <c r="G43" s="3593"/>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2193</v>
      </c>
      <c r="B44" s="387">
        <f>B43/(1+N43)</f>
        <v>275.24529281292303</v>
      </c>
      <c r="C44" s="387">
        <f>C43/(1+O43)</f>
        <v>231.74747938962699</v>
      </c>
      <c r="D44" s="387">
        <f t="shared" si="213"/>
        <v>231.74747938962699</v>
      </c>
      <c r="E44" s="387">
        <f t="shared" si="224"/>
        <v>375.35938184826603</v>
      </c>
      <c r="F44" s="387">
        <f t="shared" si="224"/>
        <v>216.78033510692501</v>
      </c>
      <c r="G44" s="3593"/>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2194</v>
      </c>
      <c r="B45" s="387">
        <f>B44/(1+N44)</f>
        <v>275.19025476196998</v>
      </c>
      <c r="C45" s="406">
        <v>232</v>
      </c>
      <c r="D45" s="406">
        <f t="shared" si="213"/>
        <v>232</v>
      </c>
      <c r="E45" s="387">
        <f t="shared" si="224"/>
        <v>375.65990977608698</v>
      </c>
      <c r="F45" s="387">
        <f t="shared" si="224"/>
        <v>214.12518283971301</v>
      </c>
      <c r="G45" s="3594"/>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2195</v>
      </c>
      <c r="B46" s="393">
        <v>275</v>
      </c>
      <c r="C46" s="393">
        <v>232</v>
      </c>
      <c r="D46" s="393">
        <f t="shared" si="213"/>
        <v>232</v>
      </c>
      <c r="E46" s="393">
        <v>376</v>
      </c>
      <c r="F46" s="394">
        <v>213</v>
      </c>
      <c r="G46" s="3592">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2196</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93">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2197</v>
      </c>
      <c r="B48" s="387">
        <f t="shared" si="225"/>
        <v>275.19335084830601</v>
      </c>
      <c r="C48" s="387">
        <f t="shared" si="225"/>
        <v>230.18088050139701</v>
      </c>
      <c r="D48" s="387">
        <f t="shared" si="213"/>
        <v>230.18088050139701</v>
      </c>
      <c r="E48" s="387">
        <f t="shared" si="226"/>
        <v>377.58482925212297</v>
      </c>
      <c r="F48" s="387">
        <f t="shared" si="226"/>
        <v>210.906879978479</v>
      </c>
      <c r="G48" s="3593">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2198</v>
      </c>
      <c r="B49" s="387">
        <f t="shared" si="225"/>
        <v>276.29854502841999</v>
      </c>
      <c r="C49" s="387">
        <f t="shared" si="225"/>
        <v>229.79023709833001</v>
      </c>
      <c r="D49" s="387">
        <f t="shared" si="213"/>
        <v>229.79023709833001</v>
      </c>
      <c r="E49" s="387">
        <f t="shared" si="226"/>
        <v>379.78759731655902</v>
      </c>
      <c r="F49" s="387">
        <f t="shared" si="226"/>
        <v>211.32953905659201</v>
      </c>
      <c r="G49" s="3594">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2199</v>
      </c>
      <c r="B50" s="393">
        <v>269</v>
      </c>
      <c r="C50" s="393">
        <v>221</v>
      </c>
      <c r="D50" s="393">
        <f t="shared" si="213"/>
        <v>221</v>
      </c>
      <c r="E50" s="393">
        <v>373</v>
      </c>
      <c r="F50" s="394">
        <v>196</v>
      </c>
      <c r="G50" s="3592">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2200</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93">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2201</v>
      </c>
      <c r="B52" s="387">
        <f t="shared" si="227"/>
        <v>242.95398227588399</v>
      </c>
      <c r="C52" s="387">
        <f t="shared" si="227"/>
        <v>199.591370536141</v>
      </c>
      <c r="D52" s="387">
        <f t="shared" si="213"/>
        <v>199.591370536141</v>
      </c>
      <c r="E52" s="387">
        <f t="shared" si="228"/>
        <v>335.92189522342102</v>
      </c>
      <c r="F52" s="387">
        <f t="shared" si="228"/>
        <v>183.101399911095</v>
      </c>
      <c r="G52" s="3593">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2202</v>
      </c>
      <c r="B53" s="387">
        <f t="shared" si="227"/>
        <v>232.06990378821601</v>
      </c>
      <c r="C53" s="387">
        <f t="shared" si="227"/>
        <v>192.74878854286899</v>
      </c>
      <c r="D53" s="387">
        <f t="shared" si="213"/>
        <v>192.74878854286899</v>
      </c>
      <c r="E53" s="387">
        <f t="shared" si="228"/>
        <v>319.71247284993001</v>
      </c>
      <c r="F53" s="387">
        <f t="shared" si="228"/>
        <v>175.670536228624</v>
      </c>
      <c r="G53" s="3594">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2203</v>
      </c>
      <c r="B54" s="393">
        <v>220</v>
      </c>
      <c r="C54" s="393">
        <v>187</v>
      </c>
      <c r="D54" s="393">
        <f t="shared" si="213"/>
        <v>187</v>
      </c>
      <c r="E54" s="393">
        <v>301</v>
      </c>
      <c r="F54" s="394">
        <v>168</v>
      </c>
      <c r="G54" s="3592">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2204</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93">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2205</v>
      </c>
      <c r="B56" s="387">
        <f t="shared" si="229"/>
        <v>210.630522469011</v>
      </c>
      <c r="C56" s="387">
        <f t="shared" si="229"/>
        <v>181.695678122472</v>
      </c>
      <c r="D56" s="387">
        <f t="shared" si="213"/>
        <v>181.695678122472</v>
      </c>
      <c r="E56" s="387">
        <f t="shared" si="230"/>
        <v>286.13517466736698</v>
      </c>
      <c r="F56" s="387">
        <f t="shared" si="230"/>
        <v>165.47535084591101</v>
      </c>
      <c r="G56" s="3593">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2206</v>
      </c>
      <c r="B57" s="387">
        <f t="shared" si="229"/>
        <v>208.834545378754</v>
      </c>
      <c r="C57" s="387">
        <f t="shared" si="229"/>
        <v>183.77230517090399</v>
      </c>
      <c r="D57" s="387">
        <f t="shared" si="213"/>
        <v>183.77230517090399</v>
      </c>
      <c r="E57" s="387">
        <f t="shared" si="230"/>
        <v>281.10342338870902</v>
      </c>
      <c r="F57" s="387">
        <f t="shared" si="230"/>
        <v>168.97309388942301</v>
      </c>
      <c r="G57" s="3594">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2207</v>
      </c>
      <c r="B58" s="404">
        <v>214</v>
      </c>
      <c r="C58" s="404">
        <v>188</v>
      </c>
      <c r="D58" s="404">
        <f t="shared" si="213"/>
        <v>188</v>
      </c>
      <c r="E58" s="404">
        <v>289</v>
      </c>
      <c r="F58" s="405">
        <v>166</v>
      </c>
      <c r="G58" s="3592">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2208</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93">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2209</v>
      </c>
      <c r="B60" s="387">
        <f t="shared" si="231"/>
        <v>206.31694671589099</v>
      </c>
      <c r="C60" s="387">
        <f t="shared" si="231"/>
        <v>183.61041121036101</v>
      </c>
      <c r="D60" s="387">
        <f t="shared" si="213"/>
        <v>183.61041121036101</v>
      </c>
      <c r="E60" s="387">
        <f t="shared" si="232"/>
        <v>276.66850301795603</v>
      </c>
      <c r="F60" s="387">
        <f t="shared" si="232"/>
        <v>165.136093827861</v>
      </c>
      <c r="G60" s="3593">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2210</v>
      </c>
      <c r="B61" s="407">
        <f t="shared" si="231"/>
        <v>196.62341248059801</v>
      </c>
      <c r="C61" s="407">
        <f t="shared" si="231"/>
        <v>170.99125648199001</v>
      </c>
      <c r="D61" s="407">
        <f t="shared" si="213"/>
        <v>170.99125648199001</v>
      </c>
      <c r="E61" s="407">
        <f t="shared" si="232"/>
        <v>266.07857570490103</v>
      </c>
      <c r="F61" s="407">
        <f t="shared" si="232"/>
        <v>154.53499328828499</v>
      </c>
      <c r="G61" s="3594">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2211</v>
      </c>
      <c r="B62" s="393">
        <v>188</v>
      </c>
      <c r="C62" s="393">
        <v>165</v>
      </c>
      <c r="D62" s="393">
        <f t="shared" si="213"/>
        <v>165</v>
      </c>
      <c r="E62" s="393">
        <v>254</v>
      </c>
      <c r="F62" s="394">
        <v>148</v>
      </c>
      <c r="G62" s="3592">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2212</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93">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2213</v>
      </c>
      <c r="B64" s="387">
        <f t="shared" si="235"/>
        <v>168.820177487156</v>
      </c>
      <c r="C64" s="387">
        <f t="shared" si="235"/>
        <v>148.06267029972801</v>
      </c>
      <c r="D64" s="387">
        <f t="shared" si="213"/>
        <v>148.06267029972801</v>
      </c>
      <c r="E64" s="387">
        <f t="shared" si="236"/>
        <v>216.46288379323701</v>
      </c>
      <c r="F64" s="387">
        <f t="shared" si="236"/>
        <v>134.23529411764699</v>
      </c>
      <c r="G64" s="3593">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2214</v>
      </c>
      <c r="B65" s="387">
        <f t="shared" si="235"/>
        <v>163.849135917795</v>
      </c>
      <c r="C65" s="387">
        <f t="shared" si="235"/>
        <v>145.028337874659</v>
      </c>
      <c r="D65" s="387">
        <f t="shared" si="213"/>
        <v>145.028337874659</v>
      </c>
      <c r="E65" s="387">
        <f t="shared" si="236"/>
        <v>204.95180722891601</v>
      </c>
      <c r="F65" s="387">
        <f t="shared" si="236"/>
        <v>125.959203036053</v>
      </c>
      <c r="G65" s="3594">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2215</v>
      </c>
      <c r="B66" s="397">
        <v>159</v>
      </c>
      <c r="C66" s="397">
        <v>141</v>
      </c>
      <c r="D66" s="397">
        <f t="shared" si="213"/>
        <v>141</v>
      </c>
      <c r="E66" s="397">
        <v>195</v>
      </c>
      <c r="F66" s="398">
        <v>122</v>
      </c>
      <c r="G66" s="3592">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2216</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93">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2217</v>
      </c>
      <c r="B68" s="387">
        <f t="shared" si="239"/>
        <v>146.57412060301499</v>
      </c>
      <c r="C68" s="387">
        <f t="shared" si="239"/>
        <v>136.468319559229</v>
      </c>
      <c r="D68" s="387">
        <f t="shared" si="213"/>
        <v>136.468319559229</v>
      </c>
      <c r="E68" s="387">
        <f t="shared" si="240"/>
        <v>166.73864894795099</v>
      </c>
      <c r="F68" s="387">
        <f t="shared" si="240"/>
        <v>115.058823529412</v>
      </c>
      <c r="G68" s="3593">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2218</v>
      </c>
      <c r="B69" s="387">
        <f t="shared" si="239"/>
        <v>144.04145728643201</v>
      </c>
      <c r="C69" s="387">
        <f t="shared" si="239"/>
        <v>136.123966942149</v>
      </c>
      <c r="D69" s="387">
        <f t="shared" si="213"/>
        <v>136.123966942149</v>
      </c>
      <c r="E69" s="387">
        <f t="shared" si="240"/>
        <v>158.32225913621301</v>
      </c>
      <c r="F69" s="387">
        <f t="shared" si="240"/>
        <v>114.04278074866301</v>
      </c>
      <c r="G69" s="3594">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2219</v>
      </c>
      <c r="B70" s="397">
        <v>138</v>
      </c>
      <c r="C70" s="397">
        <v>131</v>
      </c>
      <c r="D70" s="397">
        <f t="shared" si="213"/>
        <v>131</v>
      </c>
      <c r="E70" s="397">
        <v>155</v>
      </c>
      <c r="F70" s="398">
        <v>114</v>
      </c>
      <c r="G70" s="3592">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2220</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93">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2221</v>
      </c>
      <c r="B72" s="387">
        <f t="shared" si="243"/>
        <v>124.290322580645</v>
      </c>
      <c r="C72" s="387">
        <f t="shared" si="243"/>
        <v>123.896860986547</v>
      </c>
      <c r="D72" s="387">
        <f t="shared" si="213"/>
        <v>123.896860986547</v>
      </c>
      <c r="E72" s="387">
        <f t="shared" si="244"/>
        <v>138.005076142132</v>
      </c>
      <c r="F72" s="387">
        <f t="shared" si="244"/>
        <v>107.96106557377</v>
      </c>
      <c r="G72" s="3593">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2222</v>
      </c>
      <c r="B73" s="387">
        <f t="shared" si="243"/>
        <v>122.57204301075301</v>
      </c>
      <c r="C73" s="387">
        <f t="shared" si="243"/>
        <v>123.493273542601</v>
      </c>
      <c r="D73" s="387">
        <f t="shared" si="213"/>
        <v>123.493273542601</v>
      </c>
      <c r="E73" s="387">
        <f t="shared" si="244"/>
        <v>129.82233502538099</v>
      </c>
      <c r="F73" s="387">
        <f t="shared" si="244"/>
        <v>107.39446721311501</v>
      </c>
      <c r="G73" s="3594">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2223</v>
      </c>
      <c r="B74" s="404">
        <v>121</v>
      </c>
      <c r="C74" s="404">
        <v>122</v>
      </c>
      <c r="D74" s="404">
        <f t="shared" si="213"/>
        <v>122</v>
      </c>
      <c r="E74" s="404">
        <v>124</v>
      </c>
      <c r="F74" s="405">
        <v>107</v>
      </c>
      <c r="G74" s="3592">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2224</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93">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2225</v>
      </c>
      <c r="B76" s="387">
        <f t="shared" si="247"/>
        <v>116.99099099099099</v>
      </c>
      <c r="C76" s="387">
        <f t="shared" si="247"/>
        <v>118.848484848485</v>
      </c>
      <c r="D76" s="387">
        <f t="shared" si="213"/>
        <v>118.848484848485</v>
      </c>
      <c r="E76" s="387">
        <f t="shared" si="248"/>
        <v>117.60960960961</v>
      </c>
      <c r="F76" s="387">
        <f t="shared" si="248"/>
        <v>104</v>
      </c>
      <c r="G76" s="3593">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2226</v>
      </c>
      <c r="B77" s="407">
        <f t="shared" si="247"/>
        <v>112.486486486486</v>
      </c>
      <c r="C77" s="407">
        <f t="shared" si="247"/>
        <v>115.212121212121</v>
      </c>
      <c r="D77" s="407">
        <f t="shared" si="213"/>
        <v>115.212121212121</v>
      </c>
      <c r="E77" s="407">
        <f t="shared" si="248"/>
        <v>110.402402402402</v>
      </c>
      <c r="F77" s="407">
        <f t="shared" si="248"/>
        <v>104</v>
      </c>
      <c r="G77" s="3594">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2227</v>
      </c>
      <c r="B78" s="461">
        <v>111</v>
      </c>
      <c r="C78" s="461">
        <v>114</v>
      </c>
      <c r="D78" s="461">
        <f t="shared" si="213"/>
        <v>114</v>
      </c>
      <c r="E78" s="461">
        <v>108</v>
      </c>
      <c r="F78" s="462">
        <v>104</v>
      </c>
      <c r="G78" s="3592">
        <v>2003</v>
      </c>
      <c r="H78" s="409">
        <v>4</v>
      </c>
      <c r="I78" s="477"/>
      <c r="J78" s="477"/>
      <c r="K78" s="477"/>
      <c r="L78" s="477"/>
      <c r="N78" s="478"/>
      <c r="O78" s="477"/>
      <c r="P78" s="477"/>
      <c r="Q78" s="477"/>
      <c r="S78" s="478"/>
      <c r="T78" s="477"/>
      <c r="U78" s="477"/>
      <c r="V78" s="477"/>
      <c r="X78" s="456"/>
      <c r="Y78" s="456"/>
      <c r="Z78" s="456"/>
    </row>
    <row r="79" spans="1:26">
      <c r="A79" s="386" t="s">
        <v>2228</v>
      </c>
      <c r="B79" s="463">
        <f t="shared" ref="B79:C81" si="249">B80+(B$78-B$82)/4</f>
        <v>109.75</v>
      </c>
      <c r="C79" s="463">
        <f t="shared" si="249"/>
        <v>112.25</v>
      </c>
      <c r="D79" s="463">
        <f t="shared" si="213"/>
        <v>112.25</v>
      </c>
      <c r="E79" s="463">
        <f t="shared" ref="E79:F81" si="250">E80+(E$78-E$82)/4</f>
        <v>107.25</v>
      </c>
      <c r="F79" s="463">
        <f t="shared" si="250"/>
        <v>103.5</v>
      </c>
      <c r="G79" s="3593">
        <v>2003</v>
      </c>
      <c r="H79" s="396">
        <v>3</v>
      </c>
      <c r="I79" s="477"/>
      <c r="J79" s="477"/>
      <c r="K79" s="477"/>
      <c r="L79" s="477"/>
      <c r="X79" s="456"/>
      <c r="Y79" s="456"/>
      <c r="Z79" s="456"/>
    </row>
    <row r="80" spans="1:26">
      <c r="A80" s="386" t="s">
        <v>2229</v>
      </c>
      <c r="B80" s="463">
        <f t="shared" si="249"/>
        <v>108.5</v>
      </c>
      <c r="C80" s="463">
        <f t="shared" si="249"/>
        <v>110.5</v>
      </c>
      <c r="D80" s="463">
        <f t="shared" si="213"/>
        <v>110.5</v>
      </c>
      <c r="E80" s="463">
        <f t="shared" si="250"/>
        <v>106.5</v>
      </c>
      <c r="F80" s="463">
        <f t="shared" si="250"/>
        <v>103</v>
      </c>
      <c r="G80" s="3593">
        <v>2003</v>
      </c>
      <c r="H80" s="392">
        <v>2</v>
      </c>
      <c r="I80" s="477"/>
      <c r="J80" s="477"/>
      <c r="K80" s="477"/>
      <c r="L80" s="477"/>
      <c r="X80" s="456"/>
      <c r="Y80" s="456"/>
      <c r="Z80" s="456"/>
    </row>
    <row r="81" spans="1:26">
      <c r="A81" s="386" t="s">
        <v>2230</v>
      </c>
      <c r="B81" s="463">
        <f t="shared" si="249"/>
        <v>107.25</v>
      </c>
      <c r="C81" s="463">
        <f t="shared" si="249"/>
        <v>108.75</v>
      </c>
      <c r="D81" s="463">
        <f t="shared" si="213"/>
        <v>108.75</v>
      </c>
      <c r="E81" s="463">
        <f t="shared" si="250"/>
        <v>105.75</v>
      </c>
      <c r="F81" s="463">
        <f t="shared" si="250"/>
        <v>102.5</v>
      </c>
      <c r="G81" s="3594">
        <v>2003</v>
      </c>
      <c r="H81" s="464">
        <v>1</v>
      </c>
      <c r="I81" s="477"/>
      <c r="J81" s="477"/>
      <c r="K81" s="477"/>
      <c r="L81" s="477"/>
      <c r="S81" s="416"/>
      <c r="T81" s="417"/>
      <c r="U81" s="417"/>
      <c r="X81" s="456"/>
      <c r="Y81" s="456"/>
      <c r="Z81" s="456"/>
    </row>
    <row r="82" spans="1:26">
      <c r="A82" s="386" t="s">
        <v>2231</v>
      </c>
      <c r="B82" s="465">
        <v>106</v>
      </c>
      <c r="C82" s="465">
        <v>107</v>
      </c>
      <c r="D82" s="465">
        <f t="shared" si="213"/>
        <v>107</v>
      </c>
      <c r="E82" s="465">
        <v>105</v>
      </c>
      <c r="F82" s="466">
        <v>102</v>
      </c>
      <c r="G82" s="3592">
        <v>2002</v>
      </c>
      <c r="H82" s="395">
        <v>4</v>
      </c>
      <c r="I82" s="477"/>
      <c r="J82" s="477"/>
      <c r="K82" s="477"/>
      <c r="L82" s="477"/>
      <c r="N82" s="478"/>
      <c r="O82" s="477"/>
      <c r="P82" s="477"/>
      <c r="Q82" s="477"/>
      <c r="S82" s="478"/>
      <c r="T82" s="477"/>
      <c r="U82" s="477"/>
      <c r="V82" s="477"/>
      <c r="X82" s="456"/>
      <c r="Y82" s="456"/>
      <c r="Z82" s="456"/>
    </row>
    <row r="83" spans="1:26">
      <c r="A83" s="386" t="s">
        <v>2232</v>
      </c>
      <c r="B83" s="463">
        <f t="shared" ref="B83:C85" si="251">B84+(B$82-B$86)/4</f>
        <v>105</v>
      </c>
      <c r="C83" s="463">
        <f t="shared" si="251"/>
        <v>106</v>
      </c>
      <c r="D83" s="463">
        <f t="shared" si="213"/>
        <v>106</v>
      </c>
      <c r="E83" s="463">
        <f t="shared" ref="E83:F85" si="252">E84+(E$82-E$86)/4</f>
        <v>104.5</v>
      </c>
      <c r="F83" s="463">
        <f t="shared" si="252"/>
        <v>101.5</v>
      </c>
      <c r="G83" s="3593">
        <v>2002</v>
      </c>
      <c r="H83" s="396">
        <v>3</v>
      </c>
      <c r="I83" s="477"/>
      <c r="J83" s="477"/>
      <c r="K83" s="477"/>
      <c r="L83" s="477"/>
      <c r="X83" s="456"/>
      <c r="Y83" s="456"/>
      <c r="Z83" s="456"/>
    </row>
    <row r="84" spans="1:26">
      <c r="A84" s="386" t="s">
        <v>2233</v>
      </c>
      <c r="B84" s="463">
        <f t="shared" si="251"/>
        <v>104</v>
      </c>
      <c r="C84" s="463">
        <f t="shared" si="251"/>
        <v>105</v>
      </c>
      <c r="D84" s="463">
        <f t="shared" si="213"/>
        <v>105</v>
      </c>
      <c r="E84" s="463">
        <f t="shared" si="252"/>
        <v>104</v>
      </c>
      <c r="F84" s="463">
        <f t="shared" si="252"/>
        <v>101</v>
      </c>
      <c r="G84" s="3593">
        <v>2002</v>
      </c>
      <c r="H84" s="392">
        <v>2</v>
      </c>
      <c r="I84" s="477"/>
      <c r="J84" s="477"/>
      <c r="K84" s="477"/>
      <c r="L84" s="477"/>
      <c r="X84" s="456"/>
      <c r="Y84" s="456"/>
      <c r="Z84" s="456"/>
    </row>
    <row r="85" spans="1:26" s="365" customFormat="1">
      <c r="A85" s="400" t="s">
        <v>2234</v>
      </c>
      <c r="B85" s="448">
        <f t="shared" si="251"/>
        <v>103</v>
      </c>
      <c r="C85" s="448">
        <f t="shared" si="251"/>
        <v>104</v>
      </c>
      <c r="D85" s="448">
        <f t="shared" si="213"/>
        <v>104</v>
      </c>
      <c r="E85" s="448">
        <f t="shared" si="252"/>
        <v>103.5</v>
      </c>
      <c r="F85" s="448">
        <f t="shared" si="252"/>
        <v>100.5</v>
      </c>
      <c r="G85" s="3594">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2235</v>
      </c>
      <c r="G88" s="472"/>
      <c r="N88" s="472"/>
      <c r="S88" s="472"/>
    </row>
    <row r="89" spans="1:26" s="367" customFormat="1">
      <c r="A89" s="367" t="s">
        <v>2236</v>
      </c>
      <c r="G89" s="472"/>
      <c r="N89" s="472"/>
      <c r="S89" s="472"/>
    </row>
    <row r="90" spans="1:26" s="367" customFormat="1">
      <c r="A90" s="367" t="s">
        <v>2237</v>
      </c>
      <c r="G90" s="472"/>
      <c r="I90" s="481"/>
      <c r="J90" s="481"/>
      <c r="K90" s="481"/>
      <c r="L90" s="481"/>
      <c r="N90" s="482"/>
      <c r="O90" s="481"/>
      <c r="P90" s="481"/>
      <c r="Q90" s="481"/>
      <c r="S90" s="482"/>
      <c r="T90" s="481"/>
      <c r="U90" s="481"/>
      <c r="V90" s="481"/>
    </row>
    <row r="91" spans="1:26" s="367" customFormat="1">
      <c r="A91" s="367" t="s">
        <v>2238</v>
      </c>
      <c r="G91" s="472"/>
      <c r="N91" s="472"/>
      <c r="S91" s="472"/>
    </row>
    <row r="99" spans="7:22">
      <c r="G99" s="368"/>
      <c r="S99" s="485" t="s">
        <v>2239</v>
      </c>
      <c r="T99" s="486" t="s">
        <v>2240</v>
      </c>
      <c r="U99" s="486" t="s">
        <v>2241</v>
      </c>
      <c r="V99" s="486" t="s">
        <v>2242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2243</v>
      </c>
      <c r="C1" s="3603" t="s">
        <v>2244</v>
      </c>
      <c r="D1" s="3604"/>
      <c r="E1" s="3604"/>
      <c r="F1" s="3604"/>
      <c r="G1" s="3604"/>
      <c r="H1" s="3604"/>
      <c r="I1" s="3604"/>
      <c r="J1" s="3604"/>
      <c r="K1" s="3604"/>
      <c r="L1" s="3604"/>
      <c r="M1" s="3604"/>
      <c r="N1" s="3604"/>
      <c r="O1" s="3604"/>
      <c r="P1" s="3604"/>
      <c r="Q1" s="3604"/>
      <c r="R1" s="3604"/>
      <c r="S1" s="3605"/>
      <c r="T1" s="241" t="s">
        <v>1768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2245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2246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2247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2248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2249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2250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2251</v>
      </c>
      <c r="B17" s="275" t="s">
        <v>2252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2253</v>
      </c>
      <c r="E19" s="285"/>
      <c r="F19" s="285"/>
      <c r="G19" s="285"/>
      <c r="H19" s="286"/>
      <c r="I19" s="283"/>
      <c r="J19" s="283"/>
      <c r="K19" s="283"/>
      <c r="L19" s="283"/>
      <c r="M19" s="283"/>
      <c r="N19" s="283"/>
      <c r="O19" s="283"/>
      <c r="P19" s="283"/>
      <c r="Q19" s="283"/>
      <c r="R19" s="351"/>
      <c r="S19" s="282"/>
    </row>
    <row r="20" spans="1:45" ht="15.6">
      <c r="A20" s="287" t="s">
        <v>2254</v>
      </c>
      <c r="B20" s="288" t="e">
        <f ca="1">IF(D20="——",S22,S22-F20)</f>
        <v>#REF!</v>
      </c>
      <c r="C20" s="283"/>
      <c r="D20" s="289"/>
      <c r="E20" s="290"/>
      <c r="F20" s="241" t="e">
        <f ca="1">SUMIF(INDIRECT("'"&amp;H20&amp;"'"&amp;"!A:A"),"承租人权益价值",INDIRECT("'"&amp;H20&amp;"'"&amp;"!c:c"))</f>
        <v>#REF!</v>
      </c>
      <c r="G20" s="241" t="s">
        <v>729</v>
      </c>
      <c r="H20" s="291"/>
      <c r="I20" s="283"/>
      <c r="J20" s="283"/>
      <c r="K20" s="283"/>
      <c r="L20" s="283"/>
      <c r="M20" s="283"/>
      <c r="N20" s="283"/>
      <c r="O20" s="283"/>
      <c r="P20" s="283"/>
      <c r="Q20" s="283"/>
      <c r="R20" s="351"/>
      <c r="S20" s="282"/>
    </row>
    <row r="21" spans="1:45" ht="15.6">
      <c r="A21" s="287" t="s">
        <v>2255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2256</v>
      </c>
      <c r="B22" s="293">
        <f>SUM(B24:B10000)</f>
        <v>100</v>
      </c>
      <c r="C22" s="3606" t="s">
        <v>124</v>
      </c>
      <c r="D22" s="3607"/>
      <c r="E22" s="3607"/>
      <c r="F22" s="3607"/>
      <c r="G22" s="3607"/>
      <c r="H22" s="3607"/>
      <c r="I22" s="3607"/>
      <c r="J22" s="3607"/>
      <c r="K22" s="3607"/>
      <c r="L22" s="3607"/>
      <c r="M22" s="3607"/>
      <c r="N22" s="3607"/>
      <c r="O22" s="3607"/>
      <c r="P22" s="3607"/>
      <c r="Q22" s="3608"/>
      <c r="R22" s="353">
        <f>ROUND(S22*10000/B22,0)</f>
        <v>10000</v>
      </c>
      <c r="S22" s="293">
        <f>SUM(S24:S10000)</f>
        <v>100</v>
      </c>
    </row>
    <row r="23" spans="1:45" s="234" customFormat="1" ht="24">
      <c r="A23" s="296" t="s">
        <v>2257</v>
      </c>
      <c r="B23" s="296" t="s">
        <v>361</v>
      </c>
      <c r="C23" s="296" t="s">
        <v>1768</v>
      </c>
      <c r="D23" s="296" t="str">
        <f>B5</f>
        <v>修正项2</v>
      </c>
      <c r="E23" s="296" t="s">
        <v>1768</v>
      </c>
      <c r="F23" s="296" t="str">
        <f>B7</f>
        <v>修正项3</v>
      </c>
      <c r="G23" s="296" t="s">
        <v>1768</v>
      </c>
      <c r="H23" s="296" t="str">
        <f>B9</f>
        <v>修正项4</v>
      </c>
      <c r="I23" s="296" t="s">
        <v>1768</v>
      </c>
      <c r="J23" s="296" t="str">
        <f>B11</f>
        <v>修正项5</v>
      </c>
      <c r="K23" s="296" t="s">
        <v>1768</v>
      </c>
      <c r="L23" s="296" t="str">
        <f>B13</f>
        <v>修正项6</v>
      </c>
      <c r="M23" s="296" t="s">
        <v>1768</v>
      </c>
      <c r="N23" s="296" t="str">
        <f>B15</f>
        <v>修正项7</v>
      </c>
      <c r="O23" s="296" t="s">
        <v>1768</v>
      </c>
      <c r="P23" s="296" t="str">
        <f>B17</f>
        <v>楼层</v>
      </c>
      <c r="Q23" s="296" t="s">
        <v>1768</v>
      </c>
      <c r="R23" s="354" t="s">
        <v>2258</v>
      </c>
      <c r="S23" s="296" t="s">
        <v>2259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2260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2261</v>
      </c>
      <c r="B1" s="147"/>
      <c r="C1" s="148"/>
      <c r="D1" s="148"/>
      <c r="E1" s="148"/>
      <c r="F1" s="148"/>
      <c r="G1" s="149"/>
    </row>
    <row r="2" spans="1:7" s="138" customFormat="1" ht="18" customHeight="1">
      <c r="A2" s="150" t="s">
        <v>2262</v>
      </c>
      <c r="B2" s="151">
        <f ca="1">C52</f>
        <v>30195</v>
      </c>
      <c r="C2" s="152" t="s">
        <v>2263</v>
      </c>
      <c r="D2" s="149"/>
      <c r="E2" s="149"/>
      <c r="F2" s="149"/>
      <c r="G2" s="149"/>
    </row>
    <row r="3" spans="1:7" s="138" customFormat="1" ht="18" customHeight="1">
      <c r="A3" s="153" t="s">
        <v>2264</v>
      </c>
      <c r="B3" s="154">
        <f ca="1">ROUND(B2*10000/'数据-汇总表'!E3,0)</f>
        <v>51544</v>
      </c>
      <c r="C3" s="152" t="s">
        <v>2265</v>
      </c>
      <c r="D3" s="149"/>
      <c r="E3" s="149"/>
      <c r="F3" s="149"/>
      <c r="G3" s="149"/>
    </row>
    <row r="4" spans="1:7" s="139" customFormat="1" ht="16.2">
      <c r="A4" s="155" t="s">
        <v>2266</v>
      </c>
      <c r="B4" s="156"/>
      <c r="C4" s="156"/>
      <c r="D4" s="156"/>
      <c r="E4" s="156"/>
      <c r="F4" s="156"/>
      <c r="G4" s="157"/>
    </row>
    <row r="5" spans="1:7" s="140" customFormat="1" ht="13.5" customHeight="1">
      <c r="A5" s="158" t="s">
        <v>1313</v>
      </c>
      <c r="B5" s="159" t="s">
        <v>2267</v>
      </c>
      <c r="C5" s="160">
        <f>C6+C7+C8</f>
        <v>20610</v>
      </c>
      <c r="D5" s="160" t="s">
        <v>2268</v>
      </c>
      <c r="E5" s="161" t="s">
        <v>2269</v>
      </c>
      <c r="F5" s="161" t="s">
        <v>2270</v>
      </c>
      <c r="G5" s="162"/>
    </row>
    <row r="6" spans="1:7" s="140" customFormat="1" ht="13.5" customHeight="1">
      <c r="A6" s="163" t="s">
        <v>1317</v>
      </c>
      <c r="B6" s="164" t="s">
        <v>2271</v>
      </c>
      <c r="C6" s="165">
        <v>20000</v>
      </c>
      <c r="D6" s="166"/>
      <c r="E6" s="167"/>
      <c r="F6" s="167"/>
      <c r="G6" s="168"/>
    </row>
    <row r="7" spans="1:7" s="140" customFormat="1" ht="13.5" customHeight="1">
      <c r="A7" s="163" t="s">
        <v>1319</v>
      </c>
      <c r="B7" s="164" t="s">
        <v>2272</v>
      </c>
      <c r="C7" s="169">
        <f>ROUND(C6*F7,0)</f>
        <v>610</v>
      </c>
      <c r="D7" s="169"/>
      <c r="E7" s="167"/>
      <c r="F7" s="170">
        <f>'数据-取费表'!B48+'数据-取费表'!B49</f>
        <v>3.0499999999999999E-2</v>
      </c>
      <c r="G7" s="168"/>
    </row>
    <row r="8" spans="1:7" s="141" customFormat="1">
      <c r="A8" s="163" t="s">
        <v>1321</v>
      </c>
      <c r="B8" s="164" t="s">
        <v>2273</v>
      </c>
      <c r="C8" s="169" t="str">
        <f>IF(G8="已包含在土地购买价格中","0",'数据-取费表'!B29)</f>
        <v>0</v>
      </c>
      <c r="D8" s="171"/>
      <c r="E8" s="169"/>
      <c r="F8" s="170"/>
      <c r="G8" s="172" t="s">
        <v>2274</v>
      </c>
    </row>
    <row r="9" spans="1:7" s="140" customFormat="1" ht="13.5" customHeight="1">
      <c r="A9" s="173" t="s">
        <v>1146</v>
      </c>
      <c r="B9" s="174" t="s">
        <v>2275</v>
      </c>
      <c r="C9" s="175">
        <f>ROUND(D9*E9/10000,0)</f>
        <v>0</v>
      </c>
      <c r="D9" s="176">
        <f>'数据-汇总表'!E5</f>
        <v>0</v>
      </c>
      <c r="E9" s="175">
        <f>'数据-取费表'!B27</f>
        <v>0</v>
      </c>
      <c r="F9" s="170"/>
      <c r="G9" s="177"/>
    </row>
    <row r="10" spans="1:7" s="140" customFormat="1" ht="13.5" customHeight="1">
      <c r="A10" s="173" t="s">
        <v>1153</v>
      </c>
      <c r="B10" s="174" t="s">
        <v>2276</v>
      </c>
      <c r="C10" s="175">
        <f>ROUND(D10*E10/10000,0)</f>
        <v>117</v>
      </c>
      <c r="D10" s="176">
        <f>'数据-汇总表'!E6</f>
        <v>5858.09</v>
      </c>
      <c r="E10" s="175">
        <f>'数据-取费表'!B28</f>
        <v>200</v>
      </c>
      <c r="F10" s="170"/>
      <c r="G10" s="177"/>
    </row>
    <row r="11" spans="1:7" s="140" customFormat="1" ht="13.5" hidden="1" customHeight="1">
      <c r="A11" s="178" t="s">
        <v>1328</v>
      </c>
      <c r="B11" s="164" t="s">
        <v>2277</v>
      </c>
      <c r="C11" s="160"/>
      <c r="D11" s="179"/>
      <c r="E11" s="167"/>
      <c r="F11" s="167"/>
      <c r="G11" s="168"/>
    </row>
    <row r="12" spans="1:7" s="140" customFormat="1" ht="13.5" hidden="1" customHeight="1">
      <c r="A12" s="178" t="s">
        <v>1330</v>
      </c>
      <c r="B12" s="164" t="s">
        <v>2278</v>
      </c>
      <c r="C12" s="160">
        <v>0</v>
      </c>
      <c r="D12" s="179"/>
      <c r="E12" s="180"/>
      <c r="F12" s="170">
        <v>3.0499999999999999E-2</v>
      </c>
      <c r="G12" s="168"/>
    </row>
    <row r="13" spans="1:7" s="140" customFormat="1" ht="13.5" hidden="1" customHeight="1">
      <c r="A13" s="178" t="s">
        <v>1331</v>
      </c>
      <c r="B13" s="164" t="s">
        <v>2279</v>
      </c>
      <c r="C13" s="160"/>
      <c r="D13" s="179"/>
      <c r="E13" s="167"/>
      <c r="F13" s="167"/>
      <c r="G13" s="168"/>
    </row>
    <row r="14" spans="1:7" s="140" customFormat="1" ht="13.5" hidden="1" customHeight="1">
      <c r="A14" s="178" t="s">
        <v>1333</v>
      </c>
      <c r="B14" s="164" t="s">
        <v>2273</v>
      </c>
      <c r="C14" s="160"/>
      <c r="D14" s="179"/>
      <c r="E14" s="167"/>
      <c r="F14" s="167"/>
      <c r="G14" s="168" t="s">
        <v>2280</v>
      </c>
    </row>
    <row r="15" spans="1:7" s="140" customFormat="1" ht="13.5" hidden="1" customHeight="1">
      <c r="A15" s="178" t="s">
        <v>1335</v>
      </c>
      <c r="B15" s="164" t="s">
        <v>2281</v>
      </c>
      <c r="C15" s="169"/>
      <c r="D15" s="179"/>
      <c r="E15" s="167"/>
      <c r="F15" s="167"/>
      <c r="G15" s="168" t="s">
        <v>2282</v>
      </c>
    </row>
    <row r="16" spans="1:7" s="140" customFormat="1" ht="13.5" hidden="1" customHeight="1">
      <c r="A16" s="178" t="s">
        <v>1338</v>
      </c>
      <c r="B16" s="164" t="s">
        <v>2273</v>
      </c>
      <c r="C16" s="169"/>
      <c r="D16" s="179"/>
      <c r="E16" s="167"/>
      <c r="F16" s="167"/>
      <c r="G16" s="168"/>
    </row>
    <row r="17" spans="1:7" s="140" customFormat="1" ht="13.5" hidden="1" customHeight="1">
      <c r="A17" s="178" t="s">
        <v>1339</v>
      </c>
      <c r="B17" s="164" t="s">
        <v>2283</v>
      </c>
      <c r="C17" s="181"/>
      <c r="D17" s="182"/>
      <c r="E17" s="181"/>
      <c r="F17" s="181"/>
      <c r="G17" s="168" t="s">
        <v>2282</v>
      </c>
    </row>
    <row r="18" spans="1:7" s="140" customFormat="1" ht="13.5" hidden="1" customHeight="1">
      <c r="A18" s="178" t="s">
        <v>1341</v>
      </c>
      <c r="B18" s="164" t="s">
        <v>2284</v>
      </c>
      <c r="C18" s="169">
        <v>0</v>
      </c>
      <c r="D18" s="179"/>
      <c r="E18" s="167"/>
      <c r="F18" s="170">
        <v>3.0499999999999999E-2</v>
      </c>
      <c r="G18" s="168" t="s">
        <v>2285</v>
      </c>
    </row>
    <row r="19" spans="1:7" s="141" customFormat="1" ht="13.5" customHeight="1">
      <c r="A19" s="183" t="s">
        <v>2286</v>
      </c>
      <c r="B19" s="159" t="s">
        <v>2287</v>
      </c>
      <c r="C19" s="160">
        <f>IF(G19="已包含在土地取得成本中","0",ROUND(D19*E19/10000,0))</f>
        <v>117</v>
      </c>
      <c r="D19" s="184">
        <f>'数据-汇总表'!E3</f>
        <v>5858.09</v>
      </c>
      <c r="E19" s="160">
        <f>'数据-取费表'!B31</f>
        <v>200</v>
      </c>
      <c r="F19" s="185"/>
      <c r="G19" s="172" t="s">
        <v>2288</v>
      </c>
    </row>
    <row r="20" spans="1:7" s="140" customFormat="1" ht="13.5" customHeight="1">
      <c r="A20" s="183" t="s">
        <v>2289</v>
      </c>
      <c r="B20" s="159" t="s">
        <v>2290</v>
      </c>
      <c r="C20" s="186">
        <f>ROUND((C5+C19)*F20,0)</f>
        <v>415</v>
      </c>
      <c r="D20" s="186"/>
      <c r="E20" s="186"/>
      <c r="F20" s="187">
        <f>'数据-取费表'!B37</f>
        <v>0.02</v>
      </c>
      <c r="G20" s="188" t="s">
        <v>2291</v>
      </c>
    </row>
    <row r="21" spans="1:7" s="140" customFormat="1" ht="13.5" customHeight="1">
      <c r="A21" s="183" t="s">
        <v>2292</v>
      </c>
      <c r="B21" s="159" t="s">
        <v>2293</v>
      </c>
      <c r="C21" s="189">
        <f>F21</f>
        <v>0.02</v>
      </c>
      <c r="D21" s="190" t="s">
        <v>2294</v>
      </c>
      <c r="E21" s="186"/>
      <c r="F21" s="187">
        <f>'数据-取费表'!B38</f>
        <v>0.02</v>
      </c>
      <c r="G21" s="191" t="s">
        <v>2295</v>
      </c>
    </row>
    <row r="22" spans="1:7" s="140" customFormat="1" ht="13.5" customHeight="1">
      <c r="A22" s="183" t="s">
        <v>2296</v>
      </c>
      <c r="B22" s="159" t="s">
        <v>2297</v>
      </c>
      <c r="C22" s="192">
        <f ca="1">ROUND(SUM(C23:C25),0)</f>
        <v>1795</v>
      </c>
      <c r="D22" s="189">
        <f ca="1">C26</f>
        <v>8.0000000000000004E-4</v>
      </c>
      <c r="E22" s="190" t="s">
        <v>2294</v>
      </c>
      <c r="F22" s="193">
        <f ca="1">'数据-取费表'!B40</f>
        <v>4.2000000000000003E-2</v>
      </c>
      <c r="G22" s="188" t="str">
        <f>IF('数据-取费表'!B22&lt;=1,"单利计息","复利计息")</f>
        <v>复利计息</v>
      </c>
    </row>
    <row r="23" spans="1:7" s="140" customFormat="1" ht="13.5" customHeight="1">
      <c r="A23" s="194" t="s">
        <v>1317</v>
      </c>
      <c r="B23" s="164" t="s">
        <v>2298</v>
      </c>
      <c r="C23" s="195">
        <f ca="1">ROUND(IF('数据-取费表'!B22&lt;=1,C5*F22*'数据-取费表'!B23,C5*(POWER((1+F22),'数据-取费表'!B23)-1)),0)</f>
        <v>1768</v>
      </c>
      <c r="D23" s="196"/>
      <c r="E23" s="196"/>
      <c r="F23" s="197"/>
      <c r="G23" s="198" t="s">
        <v>2299</v>
      </c>
    </row>
    <row r="24" spans="1:7" s="140" customFormat="1" ht="13.5" customHeight="1">
      <c r="A24" s="194" t="s">
        <v>1319</v>
      </c>
      <c r="B24" s="164" t="s">
        <v>2300</v>
      </c>
      <c r="C24" s="195">
        <f ca="1">ROUND(IF('数据-取费表'!B22&lt;=1,C19*F22*('数据-取费表'!B19/2+'数据-取费表'!B21),C19*(POWER((1+F22),('数据-取费表'!B19/2+'数据-取费表'!B21))-1)),0)</f>
        <v>10</v>
      </c>
      <c r="D24" s="196"/>
      <c r="E24" s="196"/>
      <c r="F24" s="197"/>
      <c r="G24" s="198" t="s">
        <v>2301</v>
      </c>
    </row>
    <row r="25" spans="1:7" s="140" customFormat="1" ht="24">
      <c r="A25" s="194" t="s">
        <v>1321</v>
      </c>
      <c r="B25" s="164" t="s">
        <v>2302</v>
      </c>
      <c r="C25" s="195">
        <f ca="1">ROUND(IF('数据-取费表'!B22&lt;=1,C20*F22*'数据-取费表'!B23/2,C20*(POWER((1+F22),'数据-取费表'!B23/2)-1)),0)</f>
        <v>17</v>
      </c>
      <c r="D25" s="196"/>
      <c r="E25" s="199"/>
      <c r="F25" s="197"/>
      <c r="G25" s="200" t="s">
        <v>2303</v>
      </c>
    </row>
    <row r="26" spans="1:7" s="140" customFormat="1">
      <c r="A26" s="194" t="s">
        <v>1362</v>
      </c>
      <c r="B26" s="164" t="s">
        <v>2304</v>
      </c>
      <c r="C26" s="196">
        <f ca="1">ROUND(IF('数据-取费表'!B22&lt;=1,F21*F22*'数据-取费表'!B23/2,F21*(POWER((1+F22),'数据-取费表'!B23/2)-1)),4)</f>
        <v>8.0000000000000004E-4</v>
      </c>
      <c r="D26" s="196"/>
      <c r="E26" s="199"/>
      <c r="F26" s="197"/>
      <c r="G26" s="201"/>
    </row>
    <row r="27" spans="1:7" s="140" customFormat="1" ht="26.4">
      <c r="A27" s="183" t="s">
        <v>2305</v>
      </c>
      <c r="B27" s="202" t="s">
        <v>2306</v>
      </c>
      <c r="C27" s="203">
        <f>C28</f>
        <v>3171</v>
      </c>
      <c r="D27" s="189">
        <f>C29</f>
        <v>3.0000000000000001E-3</v>
      </c>
      <c r="E27" s="190" t="s">
        <v>2294</v>
      </c>
      <c r="F27" s="204">
        <f>'数据-取费表'!Q16</f>
        <v>0.15</v>
      </c>
      <c r="G27" s="205" t="s">
        <v>2307</v>
      </c>
    </row>
    <row r="28" spans="1:7" s="140" customFormat="1" ht="13.5" customHeight="1">
      <c r="A28" s="194" t="s">
        <v>1317</v>
      </c>
      <c r="B28" s="206" t="s">
        <v>2308</v>
      </c>
      <c r="C28" s="207">
        <f>ROUND((C5+C19+C20)*F27*'数据-取费表'!B21/'数据-取费表'!B20,0)</f>
        <v>3171</v>
      </c>
      <c r="D28" s="189"/>
      <c r="E28" s="190"/>
      <c r="F28" s="204"/>
      <c r="G28" s="205"/>
    </row>
    <row r="29" spans="1:7" s="140" customFormat="1" ht="13.5" customHeight="1">
      <c r="A29" s="194" t="s">
        <v>1319</v>
      </c>
      <c r="B29" s="206" t="s">
        <v>2309</v>
      </c>
      <c r="C29" s="196">
        <f>ROUND(C21*F27*'数据-取费表'!B21/'数据-取费表'!B20,4)</f>
        <v>3.0000000000000001E-3</v>
      </c>
      <c r="D29" s="189"/>
      <c r="E29" s="190"/>
      <c r="F29" s="204"/>
      <c r="G29" s="205"/>
    </row>
    <row r="30" spans="1:7" s="140" customFormat="1" ht="13.5" customHeight="1">
      <c r="A30" s="183" t="s">
        <v>2310</v>
      </c>
      <c r="B30" s="159" t="s">
        <v>2311</v>
      </c>
      <c r="C30" s="189">
        <f>F30</f>
        <v>5.6000000000000001E-2</v>
      </c>
      <c r="D30" s="190" t="s">
        <v>2312</v>
      </c>
      <c r="E30" s="199"/>
      <c r="F30" s="193">
        <f>'数据-取费表'!B41</f>
        <v>5.6000000000000001E-2</v>
      </c>
      <c r="G30" s="191" t="s">
        <v>2313</v>
      </c>
    </row>
    <row r="31" spans="1:7" ht="16.5" customHeight="1">
      <c r="A31" s="208">
        <v>1</v>
      </c>
      <c r="B31" s="159" t="s">
        <v>2314</v>
      </c>
      <c r="C31" s="160">
        <f ca="1">ROUND((C5+C19+C20+C22+C27)/(1-C21-D22-D27-C30/(1+'数据-取费表'!B42)),0)</f>
        <v>28290</v>
      </c>
      <c r="D31" s="209"/>
      <c r="E31" s="160"/>
      <c r="F31" s="210"/>
      <c r="G31" s="191" t="s">
        <v>2315</v>
      </c>
    </row>
    <row r="32" spans="1:7" s="139" customFormat="1" ht="16.2">
      <c r="A32" s="211" t="s">
        <v>2316</v>
      </c>
      <c r="B32" s="212"/>
      <c r="C32" s="212"/>
      <c r="D32" s="212"/>
      <c r="E32" s="212"/>
      <c r="F32" s="212"/>
      <c r="G32" s="213"/>
    </row>
    <row r="33" spans="1:7" s="140" customFormat="1" ht="13.5" customHeight="1">
      <c r="A33" s="158" t="s">
        <v>1313</v>
      </c>
      <c r="B33" s="159" t="s">
        <v>2317</v>
      </c>
      <c r="C33" s="214">
        <f>SUM(C34:C38)</f>
        <v>1953</v>
      </c>
      <c r="D33" s="186"/>
      <c r="E33" s="161"/>
      <c r="F33" s="199"/>
      <c r="G33" s="191"/>
    </row>
    <row r="34" spans="1:7" s="142" customFormat="1" ht="13.5" customHeight="1">
      <c r="A34" s="194" t="s">
        <v>1317</v>
      </c>
      <c r="B34" s="164" t="s">
        <v>2318</v>
      </c>
      <c r="C34" s="169">
        <f>IF(F34=100%,'数据-取费表'!M16-SUMIF('数据-取费表'!C:C,"公共配套",'数据-取费表'!M:M),'数据-取费表'!O16-SUMIF('数据-取费表'!C:C,"公共配套",'数据-取费表'!O:O))</f>
        <v>1757</v>
      </c>
      <c r="D34" s="166"/>
      <c r="E34" s="169"/>
      <c r="F34" s="215">
        <f>IF('数据-取费表'!B24=0,1,'数据-取费表'!N16)</f>
        <v>1</v>
      </c>
      <c r="G34" s="168" t="s">
        <v>2319</v>
      </c>
    </row>
    <row r="35" spans="1:7" ht="13.5" customHeight="1">
      <c r="A35" s="194" t="s">
        <v>1319</v>
      </c>
      <c r="B35" s="164" t="s">
        <v>2320</v>
      </c>
      <c r="C35" s="169">
        <f>ROUND(C34*F35,0)</f>
        <v>53</v>
      </c>
      <c r="D35" s="169"/>
      <c r="E35" s="169"/>
      <c r="F35" s="216">
        <f>'数据-取费表'!B33</f>
        <v>0.03</v>
      </c>
      <c r="G35" s="168" t="s">
        <v>2321</v>
      </c>
    </row>
    <row r="36" spans="1:7" ht="24">
      <c r="A36" s="194" t="s">
        <v>1321</v>
      </c>
      <c r="B36" s="164" t="s">
        <v>2322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2323</v>
      </c>
    </row>
    <row r="37" spans="1:7" s="142" customFormat="1" ht="13.5" customHeight="1">
      <c r="A37" s="194" t="s">
        <v>1362</v>
      </c>
      <c r="B37" s="164" t="s">
        <v>2324</v>
      </c>
      <c r="C37" s="207">
        <f>ROUND(E37*D37*F34/10000,0)</f>
        <v>117</v>
      </c>
      <c r="D37" s="166">
        <f>'数据-汇总表'!E3</f>
        <v>5858.09</v>
      </c>
      <c r="E37" s="207">
        <f>'数据-取费表'!B35</f>
        <v>200</v>
      </c>
      <c r="F37" s="216"/>
      <c r="G37" s="218" t="s">
        <v>2325</v>
      </c>
    </row>
    <row r="38" spans="1:7" ht="13.5" customHeight="1">
      <c r="A38" s="194" t="s">
        <v>1384</v>
      </c>
      <c r="B38" s="164" t="s">
        <v>2278</v>
      </c>
      <c r="C38" s="169">
        <f>ROUND(C34*F38,0)</f>
        <v>26</v>
      </c>
      <c r="D38" s="169"/>
      <c r="E38" s="169"/>
      <c r="F38" s="216">
        <f>'数据-取费表'!B36</f>
        <v>1.4999999999999999E-2</v>
      </c>
      <c r="G38" s="168" t="s">
        <v>2321</v>
      </c>
    </row>
    <row r="39" spans="1:7" s="140" customFormat="1" ht="13.5" customHeight="1">
      <c r="A39" s="183" t="s">
        <v>2286</v>
      </c>
      <c r="B39" s="159" t="s">
        <v>2290</v>
      </c>
      <c r="C39" s="186">
        <f>ROUND(C33*F20,0)</f>
        <v>39</v>
      </c>
      <c r="D39" s="186"/>
      <c r="E39" s="186"/>
      <c r="F39" s="187"/>
      <c r="G39" s="188" t="s">
        <v>2326</v>
      </c>
    </row>
    <row r="40" spans="1:7" s="140" customFormat="1" ht="13.5" customHeight="1">
      <c r="A40" s="183" t="s">
        <v>2289</v>
      </c>
      <c r="B40" s="159" t="s">
        <v>2293</v>
      </c>
      <c r="C40" s="219">
        <f>F21</f>
        <v>0.02</v>
      </c>
      <c r="D40" s="190" t="s">
        <v>2327</v>
      </c>
      <c r="E40" s="186"/>
      <c r="F40" s="187"/>
      <c r="G40" s="191" t="s">
        <v>2328</v>
      </c>
    </row>
    <row r="41" spans="1:7" s="140" customFormat="1" ht="13.5" customHeight="1">
      <c r="A41" s="183" t="s">
        <v>2292</v>
      </c>
      <c r="B41" s="159" t="s">
        <v>2297</v>
      </c>
      <c r="C41" s="186">
        <f ca="1">ROUND(SUM(C42:C43),0)</f>
        <v>84</v>
      </c>
      <c r="D41" s="189">
        <f ca="1">C44</f>
        <v>8.0000000000000004E-4</v>
      </c>
      <c r="E41" s="190" t="s">
        <v>2327</v>
      </c>
      <c r="F41" s="193"/>
      <c r="G41" s="188" t="str">
        <f>IF('数据-取费表'!B22&lt;=1,"单利计息","复利计息")</f>
        <v>复利计息</v>
      </c>
    </row>
    <row r="42" spans="1:7" ht="13.5" customHeight="1">
      <c r="A42" s="194" t="s">
        <v>1317</v>
      </c>
      <c r="B42" s="164" t="s">
        <v>2298</v>
      </c>
      <c r="C42" s="196">
        <f ca="1">ROUND(IF('数据-取费表'!B22&lt;=1,C33*F22*'数据-取费表'!B21/2,C33*(POWER((1+F22),'数据-取费表'!B21/2)-1)),0)</f>
        <v>82</v>
      </c>
      <c r="D42" s="196"/>
      <c r="E42" s="196"/>
      <c r="F42" s="197"/>
      <c r="G42" s="3510" t="s">
        <v>2329</v>
      </c>
    </row>
    <row r="43" spans="1:7" ht="13.5" customHeight="1">
      <c r="A43" s="194" t="s">
        <v>1319</v>
      </c>
      <c r="B43" s="164" t="s">
        <v>2300</v>
      </c>
      <c r="C43" s="196">
        <f ca="1">ROUND(IF('数据-取费表'!B22&lt;=1,C39*F22*'数据-取费表'!B21/2,C39*(POWER((1+F22),'数据-取费表'!B21/2)-1)),0)</f>
        <v>2</v>
      </c>
      <c r="D43" s="196"/>
      <c r="E43" s="196"/>
      <c r="F43" s="197"/>
      <c r="G43" s="3511"/>
    </row>
    <row r="44" spans="1:7" ht="13.5" customHeight="1">
      <c r="A44" s="194" t="s">
        <v>1321</v>
      </c>
      <c r="B44" s="164" t="s">
        <v>2302</v>
      </c>
      <c r="C44" s="196">
        <f ca="1">ROUND(IF('数据-取费表'!B22&lt;=1,C40*F22*'数据-取费表'!B21/2,C40*(POWER((1+F22),'数据-取费表'!B21/2)-1)),4)</f>
        <v>8.0000000000000004E-4</v>
      </c>
      <c r="D44" s="196"/>
      <c r="E44" s="196"/>
      <c r="F44" s="197"/>
      <c r="G44" s="3512"/>
    </row>
    <row r="45" spans="1:7" s="140" customFormat="1" ht="13.5" customHeight="1">
      <c r="A45" s="183" t="s">
        <v>2296</v>
      </c>
      <c r="B45" s="202" t="s">
        <v>2306</v>
      </c>
      <c r="C45" s="203">
        <f>C46</f>
        <v>299</v>
      </c>
      <c r="D45" s="189">
        <f>C47</f>
        <v>3.0000000000000001E-3</v>
      </c>
      <c r="E45" s="190" t="s">
        <v>2327</v>
      </c>
      <c r="F45" s="204"/>
      <c r="G45" s="205" t="s">
        <v>2330</v>
      </c>
    </row>
    <row r="46" spans="1:7" s="140" customFormat="1" ht="13.5" customHeight="1">
      <c r="A46" s="194" t="s">
        <v>1317</v>
      </c>
      <c r="B46" s="206" t="s">
        <v>2331</v>
      </c>
      <c r="C46" s="207">
        <f>ROUND((C33+C39)*F27,0)</f>
        <v>299</v>
      </c>
      <c r="D46" s="220"/>
      <c r="E46" s="190"/>
      <c r="F46" s="204"/>
      <c r="G46" s="205"/>
    </row>
    <row r="47" spans="1:7" s="140" customFormat="1" ht="13.5" customHeight="1">
      <c r="A47" s="194" t="s">
        <v>1319</v>
      </c>
      <c r="B47" s="206" t="s">
        <v>2332</v>
      </c>
      <c r="C47" s="196">
        <f>ROUND(C40*F27,4)</f>
        <v>3.0000000000000001E-3</v>
      </c>
      <c r="D47" s="220"/>
      <c r="E47" s="190"/>
      <c r="F47" s="204"/>
      <c r="G47" s="205"/>
    </row>
    <row r="48" spans="1:7" s="140" customFormat="1" ht="13.5" customHeight="1">
      <c r="A48" s="183" t="s">
        <v>2305</v>
      </c>
      <c r="B48" s="159" t="s">
        <v>2311</v>
      </c>
      <c r="C48" s="219">
        <f>F30</f>
        <v>5.6000000000000001E-2</v>
      </c>
      <c r="D48" s="190" t="s">
        <v>2333</v>
      </c>
      <c r="E48" s="186"/>
      <c r="F48" s="193"/>
      <c r="G48" s="191" t="s">
        <v>2334</v>
      </c>
    </row>
    <row r="49" spans="1:7" ht="16.5" customHeight="1">
      <c r="A49" s="183" t="s">
        <v>2310</v>
      </c>
      <c r="B49" s="159" t="s">
        <v>2335</v>
      </c>
      <c r="C49" s="186">
        <f ca="1">ROUND((C33+C39+C41+C45)/(1-C40-D41-D45-C48/(1+'数据-取费表'!B42)),0)</f>
        <v>2574</v>
      </c>
      <c r="D49" s="186"/>
      <c r="E49" s="186"/>
      <c r="F49" s="221"/>
      <c r="G49" s="191" t="s">
        <v>2336</v>
      </c>
    </row>
    <row r="50" spans="1:7" s="142" customFormat="1" ht="24">
      <c r="A50" s="183" t="s">
        <v>2337</v>
      </c>
      <c r="B50" s="159" t="s">
        <v>2338</v>
      </c>
      <c r="C50" s="186"/>
      <c r="D50" s="186"/>
      <c r="E50" s="186"/>
      <c r="F50" s="221">
        <f>IF('数据-取费表'!B24=0,'数据-取费表'!N16,1)</f>
        <v>0.74</v>
      </c>
      <c r="G50" s="205" t="s">
        <v>2339</v>
      </c>
    </row>
    <row r="51" spans="1:7" ht="16.5" customHeight="1">
      <c r="A51" s="183" t="s">
        <v>2340</v>
      </c>
      <c r="B51" s="159" t="s">
        <v>2341</v>
      </c>
      <c r="C51" s="186">
        <f ca="1">ROUND(C49*F50,0)</f>
        <v>1905</v>
      </c>
      <c r="D51" s="186"/>
      <c r="E51" s="186"/>
      <c r="F51" s="221"/>
      <c r="G51" s="191" t="s">
        <v>2342</v>
      </c>
    </row>
    <row r="52" spans="1:7" s="139" customFormat="1" ht="16.2">
      <c r="A52" s="222" t="s">
        <v>2343</v>
      </c>
      <c r="B52" s="223"/>
      <c r="C52" s="224">
        <f ca="1">C31+C51</f>
        <v>30195</v>
      </c>
      <c r="D52" s="223"/>
      <c r="E52" s="223"/>
      <c r="F52" s="223"/>
      <c r="G52" s="225"/>
    </row>
    <row r="55" spans="1:7" ht="15">
      <c r="B55" s="226" t="s">
        <v>2344</v>
      </c>
      <c r="C55" s="227"/>
    </row>
    <row r="56" spans="1:7">
      <c r="B56" s="228" t="s">
        <v>2345</v>
      </c>
      <c r="C56" s="229">
        <f ca="1">ROUND(C51/C52,3)</f>
        <v>6.3E-2</v>
      </c>
    </row>
    <row r="57" spans="1:7">
      <c r="B57" s="228" t="s">
        <v>2346</v>
      </c>
      <c r="C57" s="230">
        <f ca="1">1-C56</f>
        <v>0.93700000000000006</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609" t="s">
        <v>2347</v>
      </c>
      <c r="B1" s="3609"/>
      <c r="C1" s="3609"/>
      <c r="D1" s="3609"/>
      <c r="E1" s="3609"/>
      <c r="F1" s="360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0" t="s">
        <v>2348</v>
      </c>
      <c r="B2" s="3610"/>
      <c r="C2" s="3610"/>
      <c r="D2" s="3610"/>
      <c r="E2" s="3610"/>
      <c r="F2" s="3610"/>
      <c r="H2" s="121" t="s">
        <v>2349</v>
      </c>
      <c r="I2" s="97" t="s">
        <v>2350</v>
      </c>
      <c r="J2" s="97" t="s">
        <v>2351</v>
      </c>
      <c r="K2" s="97" t="s">
        <v>2352</v>
      </c>
      <c r="L2" s="97" t="s">
        <v>2353</v>
      </c>
      <c r="M2" s="97" t="s">
        <v>2354</v>
      </c>
      <c r="N2" s="97" t="s">
        <v>2355</v>
      </c>
      <c r="O2" s="97" t="s">
        <v>2356</v>
      </c>
      <c r="P2" s="97" t="s">
        <v>2357</v>
      </c>
      <c r="Q2" s="97" t="s">
        <v>2358</v>
      </c>
      <c r="R2" s="97" t="s">
        <v>2359</v>
      </c>
      <c r="S2" s="97" t="s">
        <v>2360</v>
      </c>
    </row>
    <row r="3" spans="1:19" s="118" customFormat="1" ht="19.5" customHeight="1">
      <c r="A3" s="3611" t="s">
        <v>2361</v>
      </c>
      <c r="B3" s="122"/>
      <c r="C3" s="123" t="s">
        <v>1885</v>
      </c>
      <c r="D3" s="123" t="s">
        <v>452</v>
      </c>
      <c r="E3" s="123" t="s">
        <v>1886</v>
      </c>
      <c r="F3" s="123" t="s">
        <v>1887</v>
      </c>
      <c r="G3" s="124"/>
      <c r="H3" s="121" t="s">
        <v>2362</v>
      </c>
      <c r="I3" s="97" t="s">
        <v>2363</v>
      </c>
      <c r="J3" s="97" t="s">
        <v>2364</v>
      </c>
      <c r="K3" s="97" t="s">
        <v>2365</v>
      </c>
      <c r="L3" s="97" t="s">
        <v>2366</v>
      </c>
      <c r="M3" s="97" t="s">
        <v>2367</v>
      </c>
      <c r="N3" s="97" t="s">
        <v>2368</v>
      </c>
      <c r="O3" s="97" t="s">
        <v>2369</v>
      </c>
      <c r="P3" s="97" t="s">
        <v>2370</v>
      </c>
      <c r="Q3" s="97" t="s">
        <v>2371</v>
      </c>
      <c r="R3" s="97" t="s">
        <v>2372</v>
      </c>
      <c r="S3" s="97" t="s">
        <v>2373</v>
      </c>
    </row>
    <row r="4" spans="1:19" s="118" customFormat="1" ht="19.5" customHeight="1">
      <c r="A4" s="3612"/>
      <c r="B4" s="125" t="s">
        <v>2374</v>
      </c>
      <c r="C4" s="125" t="s">
        <v>2375</v>
      </c>
      <c r="D4" s="125" t="s">
        <v>2375</v>
      </c>
      <c r="E4" s="125" t="s">
        <v>2375</v>
      </c>
      <c r="F4" s="126" t="s">
        <v>2375</v>
      </c>
      <c r="G4" s="124"/>
      <c r="H4" s="121" t="s">
        <v>2376</v>
      </c>
      <c r="I4" s="97" t="s">
        <v>403</v>
      </c>
      <c r="J4" s="97" t="s">
        <v>2377</v>
      </c>
      <c r="K4" s="97" t="s">
        <v>2378</v>
      </c>
      <c r="L4" s="97" t="s">
        <v>2379</v>
      </c>
      <c r="M4" s="97" t="s">
        <v>2380</v>
      </c>
      <c r="N4" s="97" t="s">
        <v>2381</v>
      </c>
      <c r="O4" s="97" t="s">
        <v>2382</v>
      </c>
      <c r="P4" s="97" t="s">
        <v>2383</v>
      </c>
      <c r="Q4" s="97" t="s">
        <v>2384</v>
      </c>
      <c r="R4" s="97" t="s">
        <v>2385</v>
      </c>
      <c r="S4" s="97" t="s">
        <v>2386</v>
      </c>
    </row>
    <row r="5" spans="1:19" ht="14.25" customHeight="1">
      <c r="A5" s="93" t="s">
        <v>230</v>
      </c>
      <c r="B5" s="94" t="s">
        <v>2349</v>
      </c>
      <c r="C5" s="94">
        <v>29530</v>
      </c>
      <c r="D5" s="94">
        <v>28130</v>
      </c>
      <c r="E5" s="94">
        <v>27930</v>
      </c>
      <c r="F5" s="127">
        <v>11300</v>
      </c>
      <c r="G5" s="124"/>
      <c r="H5" s="121" t="s">
        <v>2387</v>
      </c>
      <c r="I5" s="97" t="s">
        <v>2388</v>
      </c>
      <c r="J5" s="97" t="s">
        <v>2389</v>
      </c>
      <c r="K5" s="97" t="s">
        <v>2390</v>
      </c>
      <c r="L5" s="97" t="s">
        <v>2391</v>
      </c>
      <c r="M5" s="97" t="s">
        <v>2392</v>
      </c>
      <c r="N5" s="97" t="s">
        <v>2393</v>
      </c>
      <c r="O5" s="97" t="s">
        <v>2394</v>
      </c>
      <c r="P5" s="97" t="s">
        <v>2395</v>
      </c>
      <c r="Q5" s="97" t="s">
        <v>2396</v>
      </c>
      <c r="R5" s="97" t="s">
        <v>2397</v>
      </c>
      <c r="S5" s="97" t="s">
        <v>2398</v>
      </c>
    </row>
    <row r="6" spans="1:19" ht="14.25" customHeight="1">
      <c r="A6" s="93" t="s">
        <v>230</v>
      </c>
      <c r="B6" s="97" t="s">
        <v>2362</v>
      </c>
      <c r="C6" s="97">
        <v>30290</v>
      </c>
      <c r="D6" s="97">
        <v>29210</v>
      </c>
      <c r="E6" s="97">
        <v>28860</v>
      </c>
      <c r="F6" s="128">
        <v>12600</v>
      </c>
      <c r="G6" s="124"/>
      <c r="H6" s="121" t="s">
        <v>2399</v>
      </c>
      <c r="I6" s="97" t="s">
        <v>2400</v>
      </c>
      <c r="J6" s="97" t="s">
        <v>2401</v>
      </c>
      <c r="K6" s="97" t="s">
        <v>2402</v>
      </c>
      <c r="L6" s="97" t="s">
        <v>2403</v>
      </c>
      <c r="M6" s="97" t="s">
        <v>2404</v>
      </c>
      <c r="N6" s="97" t="s">
        <v>2405</v>
      </c>
      <c r="O6" s="97" t="s">
        <v>2406</v>
      </c>
      <c r="P6" s="97" t="s">
        <v>2407</v>
      </c>
      <c r="Q6" s="97" t="s">
        <v>2408</v>
      </c>
      <c r="R6" s="97" t="s">
        <v>2409</v>
      </c>
      <c r="S6" s="97" t="s">
        <v>2410</v>
      </c>
    </row>
    <row r="7" spans="1:19" ht="14.25" customHeight="1">
      <c r="A7" s="93" t="s">
        <v>230</v>
      </c>
      <c r="B7" s="100" t="s">
        <v>2376</v>
      </c>
      <c r="C7" s="97">
        <v>29350</v>
      </c>
      <c r="D7" s="97">
        <v>28410</v>
      </c>
      <c r="E7" s="97">
        <v>27990</v>
      </c>
      <c r="F7" s="128">
        <v>12300</v>
      </c>
      <c r="G7" s="124"/>
      <c r="I7" s="97" t="s">
        <v>2411</v>
      </c>
      <c r="J7" s="97" t="s">
        <v>2412</v>
      </c>
      <c r="K7" s="97" t="s">
        <v>2413</v>
      </c>
      <c r="L7" s="97" t="s">
        <v>2414</v>
      </c>
      <c r="M7" s="97" t="s">
        <v>2415</v>
      </c>
      <c r="N7" s="97" t="s">
        <v>2416</v>
      </c>
      <c r="O7" s="97" t="s">
        <v>2417</v>
      </c>
      <c r="P7" s="97" t="s">
        <v>2418</v>
      </c>
      <c r="Q7" s="97" t="s">
        <v>2419</v>
      </c>
      <c r="R7" s="97" t="s">
        <v>2420</v>
      </c>
      <c r="S7" s="100" t="s">
        <v>2421</v>
      </c>
    </row>
    <row r="8" spans="1:19" ht="14.25" customHeight="1">
      <c r="A8" s="93" t="s">
        <v>230</v>
      </c>
      <c r="B8" s="97" t="s">
        <v>2387</v>
      </c>
      <c r="C8" s="97">
        <v>30890</v>
      </c>
      <c r="D8" s="97">
        <v>29780</v>
      </c>
      <c r="E8" s="97">
        <v>29270</v>
      </c>
      <c r="F8" s="128">
        <v>11600</v>
      </c>
      <c r="G8" s="124"/>
      <c r="I8" s="97" t="s">
        <v>2422</v>
      </c>
      <c r="J8" s="97" t="s">
        <v>2423</v>
      </c>
      <c r="K8" s="97" t="s">
        <v>2424</v>
      </c>
      <c r="L8" s="97" t="s">
        <v>2425</v>
      </c>
      <c r="M8" s="97" t="s">
        <v>2426</v>
      </c>
      <c r="N8" s="97" t="s">
        <v>2427</v>
      </c>
      <c r="O8" s="97" t="s">
        <v>2428</v>
      </c>
      <c r="P8" s="97" t="s">
        <v>2429</v>
      </c>
      <c r="Q8" s="97" t="s">
        <v>2430</v>
      </c>
      <c r="R8" s="97" t="s">
        <v>2431</v>
      </c>
      <c r="S8" s="97" t="s">
        <v>2432</v>
      </c>
    </row>
    <row r="9" spans="1:19" ht="14.25" customHeight="1">
      <c r="A9" s="93" t="s">
        <v>230</v>
      </c>
      <c r="B9" s="102" t="s">
        <v>2399</v>
      </c>
      <c r="C9" s="108">
        <v>28140</v>
      </c>
      <c r="D9" s="108"/>
      <c r="E9" s="108"/>
      <c r="F9" s="129"/>
      <c r="G9" s="124"/>
      <c r="I9" s="97" t="s">
        <v>2433</v>
      </c>
      <c r="J9" s="97" t="s">
        <v>2434</v>
      </c>
      <c r="K9" s="97" t="s">
        <v>2435</v>
      </c>
      <c r="L9" s="97" t="s">
        <v>2436</v>
      </c>
      <c r="M9" s="97" t="s">
        <v>2437</v>
      </c>
      <c r="N9" s="97" t="s">
        <v>2438</v>
      </c>
      <c r="O9" s="97" t="s">
        <v>2439</v>
      </c>
      <c r="P9" s="97" t="s">
        <v>2440</v>
      </c>
      <c r="Q9" s="97" t="s">
        <v>2441</v>
      </c>
      <c r="R9" s="97" t="s">
        <v>2442</v>
      </c>
    </row>
    <row r="10" spans="1:19" ht="14.25" customHeight="1">
      <c r="A10" s="93" t="s">
        <v>241</v>
      </c>
      <c r="B10" s="94" t="s">
        <v>2350</v>
      </c>
      <c r="C10" s="94">
        <v>27450</v>
      </c>
      <c r="D10" s="94">
        <v>26180</v>
      </c>
      <c r="E10" s="94">
        <v>25980</v>
      </c>
      <c r="F10" s="127">
        <v>8910</v>
      </c>
      <c r="G10" s="124"/>
      <c r="I10" s="97" t="s">
        <v>2443</v>
      </c>
      <c r="J10" s="97" t="s">
        <v>2444</v>
      </c>
      <c r="K10" s="97" t="s">
        <v>2445</v>
      </c>
      <c r="L10" s="97" t="s">
        <v>2446</v>
      </c>
      <c r="M10" s="97" t="s">
        <v>2447</v>
      </c>
      <c r="N10" s="97" t="s">
        <v>2448</v>
      </c>
      <c r="O10" s="97" t="s">
        <v>2449</v>
      </c>
      <c r="P10" s="97" t="s">
        <v>2450</v>
      </c>
      <c r="Q10" s="97" t="s">
        <v>2451</v>
      </c>
      <c r="R10" s="97" t="s">
        <v>2452</v>
      </c>
    </row>
    <row r="11" spans="1:19" ht="14.25" customHeight="1">
      <c r="A11" s="93" t="s">
        <v>241</v>
      </c>
      <c r="B11" s="100" t="s">
        <v>2363</v>
      </c>
      <c r="C11" s="97">
        <v>22950</v>
      </c>
      <c r="D11" s="97">
        <v>22630</v>
      </c>
      <c r="E11" s="97">
        <v>22030</v>
      </c>
      <c r="F11" s="130">
        <v>8330</v>
      </c>
      <c r="G11" s="124"/>
      <c r="I11" s="97" t="s">
        <v>2453</v>
      </c>
      <c r="J11" s="97" t="s">
        <v>2454</v>
      </c>
      <c r="K11" s="97" t="s">
        <v>2455</v>
      </c>
      <c r="L11" s="97" t="s">
        <v>2456</v>
      </c>
      <c r="M11" s="97" t="s">
        <v>2457</v>
      </c>
      <c r="N11" s="97" t="s">
        <v>2458</v>
      </c>
      <c r="O11" s="97" t="s">
        <v>2459</v>
      </c>
      <c r="P11" s="97" t="s">
        <v>2460</v>
      </c>
      <c r="Q11" s="97" t="s">
        <v>2461</v>
      </c>
      <c r="R11" s="97" t="s">
        <v>2462</v>
      </c>
    </row>
    <row r="12" spans="1:19" ht="14.25" customHeight="1">
      <c r="A12" s="93" t="s">
        <v>241</v>
      </c>
      <c r="B12" s="100" t="s">
        <v>403</v>
      </c>
      <c r="C12" s="97">
        <v>24940</v>
      </c>
      <c r="D12" s="97">
        <v>23180</v>
      </c>
      <c r="E12" s="97">
        <v>22910</v>
      </c>
      <c r="F12" s="130">
        <v>7180</v>
      </c>
      <c r="G12" s="124"/>
      <c r="I12" s="97" t="s">
        <v>2463</v>
      </c>
      <c r="J12" s="97" t="s">
        <v>2464</v>
      </c>
      <c r="K12" s="97" t="s">
        <v>2465</v>
      </c>
      <c r="L12" s="97" t="s">
        <v>2466</v>
      </c>
      <c r="M12" s="97" t="s">
        <v>2467</v>
      </c>
      <c r="N12" s="97" t="s">
        <v>2468</v>
      </c>
      <c r="O12" s="97" t="s">
        <v>2469</v>
      </c>
      <c r="P12" s="97" t="s">
        <v>2470</v>
      </c>
      <c r="Q12" s="97" t="s">
        <v>2471</v>
      </c>
      <c r="R12" s="97" t="s">
        <v>2472</v>
      </c>
    </row>
    <row r="13" spans="1:19" ht="14.25" customHeight="1">
      <c r="A13" s="93" t="s">
        <v>241</v>
      </c>
      <c r="B13" s="100" t="s">
        <v>2388</v>
      </c>
      <c r="C13" s="97">
        <v>24140</v>
      </c>
      <c r="D13" s="97">
        <v>22270</v>
      </c>
      <c r="E13" s="97">
        <v>21950</v>
      </c>
      <c r="F13" s="130">
        <v>7600</v>
      </c>
      <c r="G13" s="124"/>
      <c r="I13" s="97" t="s">
        <v>2473</v>
      </c>
      <c r="J13" s="97" t="s">
        <v>2474</v>
      </c>
      <c r="K13" s="97" t="s">
        <v>2475</v>
      </c>
      <c r="L13" s="97" t="s">
        <v>2476</v>
      </c>
      <c r="M13" s="97" t="s">
        <v>2477</v>
      </c>
      <c r="N13" s="97" t="s">
        <v>2478</v>
      </c>
      <c r="O13" s="97" t="s">
        <v>2479</v>
      </c>
      <c r="P13" s="97" t="s">
        <v>2480</v>
      </c>
      <c r="Q13" s="97" t="s">
        <v>2481</v>
      </c>
      <c r="R13" s="97" t="s">
        <v>2482</v>
      </c>
    </row>
    <row r="14" spans="1:19" ht="14.25" customHeight="1">
      <c r="A14" s="93" t="s">
        <v>241</v>
      </c>
      <c r="B14" s="100" t="s">
        <v>2400</v>
      </c>
      <c r="C14" s="97">
        <v>25600</v>
      </c>
      <c r="D14" s="97">
        <v>22260</v>
      </c>
      <c r="E14" s="97">
        <v>22110</v>
      </c>
      <c r="F14" s="130">
        <v>7630</v>
      </c>
      <c r="G14" s="124"/>
      <c r="I14" s="97" t="s">
        <v>2483</v>
      </c>
      <c r="J14" s="97" t="s">
        <v>2484</v>
      </c>
      <c r="K14" s="97" t="s">
        <v>2485</v>
      </c>
      <c r="L14" s="97" t="s">
        <v>2486</v>
      </c>
      <c r="M14" s="97" t="s">
        <v>2487</v>
      </c>
      <c r="N14" s="97" t="s">
        <v>2488</v>
      </c>
      <c r="O14" s="97" t="s">
        <v>2489</v>
      </c>
      <c r="P14" s="97" t="s">
        <v>2490</v>
      </c>
      <c r="Q14" s="97" t="s">
        <v>2491</v>
      </c>
      <c r="R14" s="97" t="s">
        <v>2492</v>
      </c>
    </row>
    <row r="15" spans="1:19" ht="14.25" customHeight="1">
      <c r="A15" s="93" t="s">
        <v>241</v>
      </c>
      <c r="B15" s="100" t="s">
        <v>2411</v>
      </c>
      <c r="C15" s="97">
        <v>24760</v>
      </c>
      <c r="D15" s="97">
        <v>24440</v>
      </c>
      <c r="E15" s="97">
        <v>24130</v>
      </c>
      <c r="F15" s="130">
        <v>9480</v>
      </c>
      <c r="G15" s="124"/>
      <c r="I15" s="97" t="s">
        <v>2493</v>
      </c>
      <c r="J15" s="97" t="s">
        <v>2494</v>
      </c>
      <c r="K15" s="97" t="s">
        <v>2495</v>
      </c>
      <c r="L15" s="97" t="s">
        <v>2496</v>
      </c>
      <c r="M15" s="97" t="s">
        <v>2497</v>
      </c>
      <c r="N15" s="97" t="s">
        <v>2498</v>
      </c>
      <c r="O15" s="97" t="s">
        <v>2499</v>
      </c>
      <c r="P15" s="97" t="s">
        <v>2500</v>
      </c>
      <c r="Q15" s="97" t="s">
        <v>2501</v>
      </c>
      <c r="R15" s="97" t="s">
        <v>2502</v>
      </c>
    </row>
    <row r="16" spans="1:19" ht="14.25" customHeight="1">
      <c r="A16" s="93" t="s">
        <v>241</v>
      </c>
      <c r="B16" s="100" t="s">
        <v>2422</v>
      </c>
      <c r="C16" s="97">
        <v>22220</v>
      </c>
      <c r="D16" s="97">
        <v>22310</v>
      </c>
      <c r="E16" s="97">
        <v>22000</v>
      </c>
      <c r="F16" s="130">
        <v>8900</v>
      </c>
      <c r="G16" s="124"/>
      <c r="I16" s="97" t="s">
        <v>2503</v>
      </c>
      <c r="J16" s="97" t="s">
        <v>2504</v>
      </c>
      <c r="K16" s="97" t="s">
        <v>2505</v>
      </c>
      <c r="L16" s="97" t="s">
        <v>2506</v>
      </c>
      <c r="M16" s="97" t="s">
        <v>2507</v>
      </c>
      <c r="N16" s="97" t="s">
        <v>2508</v>
      </c>
      <c r="O16" s="97" t="s">
        <v>2509</v>
      </c>
      <c r="P16" s="97" t="s">
        <v>2510</v>
      </c>
      <c r="Q16" s="97" t="s">
        <v>2511</v>
      </c>
      <c r="R16" s="97" t="s">
        <v>2512</v>
      </c>
    </row>
    <row r="17" spans="1:18" ht="14.25" customHeight="1">
      <c r="A17" s="93" t="s">
        <v>241</v>
      </c>
      <c r="B17" s="100" t="s">
        <v>2433</v>
      </c>
      <c r="C17" s="97">
        <v>24700</v>
      </c>
      <c r="D17" s="97">
        <v>25150</v>
      </c>
      <c r="E17" s="97">
        <v>24700</v>
      </c>
      <c r="F17" s="131"/>
      <c r="G17" s="124"/>
      <c r="I17" s="97" t="s">
        <v>2513</v>
      </c>
      <c r="J17" s="97" t="s">
        <v>2514</v>
      </c>
      <c r="K17" s="97" t="s">
        <v>2515</v>
      </c>
      <c r="L17" s="97" t="s">
        <v>2516</v>
      </c>
      <c r="M17" s="97" t="s">
        <v>2517</v>
      </c>
      <c r="N17" s="97" t="s">
        <v>2518</v>
      </c>
      <c r="O17" s="97" t="s">
        <v>2519</v>
      </c>
      <c r="P17" s="97" t="s">
        <v>2520</v>
      </c>
      <c r="Q17" s="97" t="s">
        <v>2521</v>
      </c>
      <c r="R17" s="97" t="s">
        <v>2522</v>
      </c>
    </row>
    <row r="18" spans="1:18" ht="14.25" customHeight="1">
      <c r="A18" s="93" t="s">
        <v>241</v>
      </c>
      <c r="B18" s="100" t="s">
        <v>2443</v>
      </c>
      <c r="C18" s="97">
        <v>22350</v>
      </c>
      <c r="D18" s="97">
        <v>24340</v>
      </c>
      <c r="E18" s="97">
        <v>24100</v>
      </c>
      <c r="F18" s="131"/>
      <c r="G18" s="124"/>
      <c r="I18" s="97" t="s">
        <v>2523</v>
      </c>
      <c r="J18" s="97" t="s">
        <v>2524</v>
      </c>
      <c r="K18" s="97" t="s">
        <v>2525</v>
      </c>
      <c r="L18" s="97" t="s">
        <v>2526</v>
      </c>
      <c r="M18" s="97" t="s">
        <v>2527</v>
      </c>
      <c r="N18" s="97" t="s">
        <v>2528</v>
      </c>
      <c r="O18" s="97" t="s">
        <v>2529</v>
      </c>
      <c r="P18" s="97" t="s">
        <v>2530</v>
      </c>
      <c r="Q18" s="97" t="s">
        <v>2531</v>
      </c>
      <c r="R18" s="97" t="s">
        <v>2532</v>
      </c>
    </row>
    <row r="19" spans="1:18" ht="14.25" customHeight="1">
      <c r="A19" s="93" t="s">
        <v>241</v>
      </c>
      <c r="B19" s="100" t="s">
        <v>2453</v>
      </c>
      <c r="C19" s="97">
        <v>23430</v>
      </c>
      <c r="D19" s="97">
        <v>21580</v>
      </c>
      <c r="E19" s="97">
        <v>21350</v>
      </c>
      <c r="F19" s="131"/>
      <c r="G19" s="124"/>
      <c r="I19" s="97" t="s">
        <v>2533</v>
      </c>
      <c r="J19" s="97" t="s">
        <v>2534</v>
      </c>
      <c r="K19" s="97" t="s">
        <v>2535</v>
      </c>
      <c r="L19" s="97" t="s">
        <v>2536</v>
      </c>
      <c r="M19" s="97" t="s">
        <v>2537</v>
      </c>
      <c r="N19" s="97" t="s">
        <v>2538</v>
      </c>
      <c r="O19" s="97" t="s">
        <v>2539</v>
      </c>
      <c r="P19" s="97" t="s">
        <v>2540</v>
      </c>
      <c r="Q19" s="97" t="s">
        <v>2541</v>
      </c>
      <c r="R19" s="97" t="s">
        <v>2542</v>
      </c>
    </row>
    <row r="20" spans="1:18" ht="14.25" customHeight="1">
      <c r="A20" s="93" t="s">
        <v>241</v>
      </c>
      <c r="B20" s="100" t="s">
        <v>2463</v>
      </c>
      <c r="C20" s="97">
        <v>27660</v>
      </c>
      <c r="D20" s="97">
        <v>24240</v>
      </c>
      <c r="E20" s="97">
        <v>24020</v>
      </c>
      <c r="F20" s="131"/>
      <c r="I20" s="97" t="s">
        <v>2543</v>
      </c>
      <c r="J20" s="97" t="s">
        <v>2544</v>
      </c>
      <c r="K20" s="97" t="s">
        <v>2545</v>
      </c>
      <c r="L20" s="97" t="s">
        <v>2546</v>
      </c>
      <c r="M20" s="97" t="s">
        <v>2547</v>
      </c>
      <c r="N20" s="97" t="s">
        <v>2548</v>
      </c>
      <c r="O20" s="97" t="s">
        <v>2549</v>
      </c>
      <c r="P20" s="97" t="s">
        <v>2550</v>
      </c>
      <c r="Q20" s="97" t="s">
        <v>2551</v>
      </c>
      <c r="R20" s="97" t="s">
        <v>2552</v>
      </c>
    </row>
    <row r="21" spans="1:18" ht="14.25" customHeight="1">
      <c r="A21" s="93" t="s">
        <v>241</v>
      </c>
      <c r="B21" s="100" t="s">
        <v>2473</v>
      </c>
      <c r="C21" s="97">
        <v>24720</v>
      </c>
      <c r="D21" s="97">
        <v>21670</v>
      </c>
      <c r="E21" s="97">
        <v>21510</v>
      </c>
      <c r="F21" s="131"/>
      <c r="J21" s="97" t="s">
        <v>2553</v>
      </c>
      <c r="K21" s="97" t="s">
        <v>2554</v>
      </c>
      <c r="L21" s="97" t="s">
        <v>2555</v>
      </c>
      <c r="M21" s="97" t="s">
        <v>2556</v>
      </c>
      <c r="N21" s="97" t="s">
        <v>2557</v>
      </c>
      <c r="O21" s="97" t="s">
        <v>2558</v>
      </c>
      <c r="P21" s="97" t="s">
        <v>2559</v>
      </c>
      <c r="Q21" s="97" t="s">
        <v>2560</v>
      </c>
      <c r="R21" s="97" t="s">
        <v>2561</v>
      </c>
    </row>
    <row r="22" spans="1:18" ht="14.25" customHeight="1">
      <c r="A22" s="93" t="s">
        <v>241</v>
      </c>
      <c r="B22" s="100" t="s">
        <v>2483</v>
      </c>
      <c r="C22" s="97">
        <v>26530</v>
      </c>
      <c r="D22" s="97">
        <v>22980</v>
      </c>
      <c r="E22" s="97">
        <v>22650</v>
      </c>
      <c r="F22" s="131"/>
      <c r="K22" s="97" t="s">
        <v>2562</v>
      </c>
      <c r="L22" s="97" t="s">
        <v>2563</v>
      </c>
      <c r="M22" s="97" t="s">
        <v>2564</v>
      </c>
      <c r="N22" s="97" t="s">
        <v>2565</v>
      </c>
      <c r="O22" s="97" t="s">
        <v>2566</v>
      </c>
      <c r="P22" s="97" t="s">
        <v>2567</v>
      </c>
      <c r="Q22" s="97" t="s">
        <v>2568</v>
      </c>
      <c r="R22" s="100" t="s">
        <v>2569</v>
      </c>
    </row>
    <row r="23" spans="1:18" ht="14.25" customHeight="1">
      <c r="A23" s="93" t="s">
        <v>241</v>
      </c>
      <c r="B23" s="100" t="s">
        <v>2493</v>
      </c>
      <c r="C23" s="97">
        <v>24700</v>
      </c>
      <c r="D23" s="97">
        <v>27290</v>
      </c>
      <c r="E23" s="97">
        <v>26710</v>
      </c>
      <c r="F23" s="131"/>
      <c r="K23" s="97" t="s">
        <v>2570</v>
      </c>
      <c r="L23" s="97" t="s">
        <v>2571</v>
      </c>
      <c r="M23" s="97" t="s">
        <v>2572</v>
      </c>
      <c r="N23" s="97" t="s">
        <v>2573</v>
      </c>
      <c r="O23" s="97" t="s">
        <v>2574</v>
      </c>
      <c r="P23" s="97" t="s">
        <v>2575</v>
      </c>
      <c r="Q23" s="97" t="s">
        <v>2576</v>
      </c>
    </row>
    <row r="24" spans="1:18" ht="14.25" customHeight="1">
      <c r="A24" s="93" t="s">
        <v>241</v>
      </c>
      <c r="B24" s="100" t="s">
        <v>2503</v>
      </c>
      <c r="C24" s="97">
        <v>23070</v>
      </c>
      <c r="D24" s="97">
        <v>24130</v>
      </c>
      <c r="E24" s="97">
        <v>23860</v>
      </c>
      <c r="F24" s="131"/>
      <c r="K24" s="97" t="s">
        <v>2577</v>
      </c>
      <c r="L24" s="97" t="s">
        <v>2578</v>
      </c>
      <c r="M24" s="97" t="s">
        <v>2579</v>
      </c>
      <c r="N24" s="97" t="s">
        <v>2580</v>
      </c>
      <c r="O24" s="97" t="s">
        <v>2581</v>
      </c>
      <c r="P24" s="97" t="s">
        <v>2582</v>
      </c>
      <c r="Q24" s="97" t="s">
        <v>2583</v>
      </c>
    </row>
    <row r="25" spans="1:18" ht="14.25" customHeight="1">
      <c r="A25" s="93" t="s">
        <v>241</v>
      </c>
      <c r="B25" s="100" t="s">
        <v>2513</v>
      </c>
      <c r="C25" s="97">
        <v>27550</v>
      </c>
      <c r="D25" s="97">
        <v>25850</v>
      </c>
      <c r="E25" s="97">
        <v>25340</v>
      </c>
      <c r="F25" s="131"/>
      <c r="K25" s="97" t="s">
        <v>2584</v>
      </c>
      <c r="L25" s="97" t="s">
        <v>2585</v>
      </c>
      <c r="M25" s="97" t="s">
        <v>2586</v>
      </c>
      <c r="N25" s="97" t="s">
        <v>2587</v>
      </c>
      <c r="O25" s="97" t="s">
        <v>2588</v>
      </c>
      <c r="P25" s="97" t="s">
        <v>2589</v>
      </c>
      <c r="Q25" s="97" t="s">
        <v>2590</v>
      </c>
    </row>
    <row r="26" spans="1:18" ht="14.25" customHeight="1">
      <c r="A26" s="93" t="s">
        <v>241</v>
      </c>
      <c r="B26" s="100" t="s">
        <v>2523</v>
      </c>
      <c r="C26" s="97"/>
      <c r="D26" s="97">
        <v>23900</v>
      </c>
      <c r="E26" s="97">
        <v>23590</v>
      </c>
      <c r="F26" s="131"/>
      <c r="K26" s="97" t="s">
        <v>2591</v>
      </c>
      <c r="L26" s="97" t="s">
        <v>2592</v>
      </c>
      <c r="M26" s="97" t="s">
        <v>2593</v>
      </c>
      <c r="N26" s="97" t="s">
        <v>2594</v>
      </c>
      <c r="O26" s="97" t="s">
        <v>2595</v>
      </c>
      <c r="P26" s="97" t="s">
        <v>2596</v>
      </c>
      <c r="Q26" s="97" t="s">
        <v>2597</v>
      </c>
    </row>
    <row r="27" spans="1:18" ht="14.25" customHeight="1">
      <c r="A27" s="93" t="s">
        <v>241</v>
      </c>
      <c r="B27" s="100" t="s">
        <v>2533</v>
      </c>
      <c r="C27" s="97"/>
      <c r="D27" s="97">
        <v>22850</v>
      </c>
      <c r="E27" s="97">
        <v>21920</v>
      </c>
      <c r="F27" s="131"/>
      <c r="K27" s="97" t="s">
        <v>2598</v>
      </c>
      <c r="L27" s="97" t="s">
        <v>2599</v>
      </c>
      <c r="M27" s="97" t="s">
        <v>2600</v>
      </c>
      <c r="N27" s="97" t="s">
        <v>2601</v>
      </c>
      <c r="O27" s="97" t="s">
        <v>2602</v>
      </c>
      <c r="P27" s="97" t="s">
        <v>2603</v>
      </c>
      <c r="Q27" s="97" t="s">
        <v>2604</v>
      </c>
    </row>
    <row r="28" spans="1:18" ht="14.25" customHeight="1">
      <c r="A28" s="101" t="s">
        <v>241</v>
      </c>
      <c r="B28" s="102" t="s">
        <v>2543</v>
      </c>
      <c r="C28" s="108"/>
      <c r="D28" s="108">
        <v>26610</v>
      </c>
      <c r="E28" s="108">
        <v>26370</v>
      </c>
      <c r="F28" s="129"/>
      <c r="K28" s="97" t="s">
        <v>2605</v>
      </c>
      <c r="L28" s="97" t="s">
        <v>2606</v>
      </c>
      <c r="M28" s="97" t="s">
        <v>2607</v>
      </c>
      <c r="N28" s="97" t="s">
        <v>2608</v>
      </c>
      <c r="O28" s="97" t="s">
        <v>2609</v>
      </c>
      <c r="P28" s="97" t="s">
        <v>2610</v>
      </c>
    </row>
    <row r="29" spans="1:18" ht="14.25" customHeight="1">
      <c r="A29" s="93" t="s">
        <v>251</v>
      </c>
      <c r="B29" s="94" t="s">
        <v>2351</v>
      </c>
      <c r="C29" s="94">
        <v>22090</v>
      </c>
      <c r="D29" s="94">
        <v>21860</v>
      </c>
      <c r="E29" s="94">
        <v>19380</v>
      </c>
      <c r="F29" s="127">
        <v>6610</v>
      </c>
      <c r="L29" s="97" t="s">
        <v>2611</v>
      </c>
      <c r="M29" s="97" t="s">
        <v>2612</v>
      </c>
      <c r="N29" s="97" t="s">
        <v>2613</v>
      </c>
      <c r="O29" s="97" t="s">
        <v>2614</v>
      </c>
      <c r="P29" s="97" t="s">
        <v>2615</v>
      </c>
    </row>
    <row r="30" spans="1:18" ht="14.25" customHeight="1">
      <c r="A30" s="93" t="s">
        <v>251</v>
      </c>
      <c r="B30" s="100" t="s">
        <v>2364</v>
      </c>
      <c r="C30" s="97">
        <v>21380</v>
      </c>
      <c r="D30" s="97">
        <v>19930</v>
      </c>
      <c r="E30" s="97">
        <v>19860</v>
      </c>
      <c r="F30" s="130">
        <v>6010</v>
      </c>
      <c r="L30" s="97" t="s">
        <v>2616</v>
      </c>
      <c r="M30" s="97" t="s">
        <v>2617</v>
      </c>
      <c r="N30" s="97" t="s">
        <v>2618</v>
      </c>
      <c r="O30" s="97" t="s">
        <v>2619</v>
      </c>
      <c r="P30" s="97" t="s">
        <v>2620</v>
      </c>
    </row>
    <row r="31" spans="1:18" ht="14.25" customHeight="1">
      <c r="A31" s="93" t="s">
        <v>251</v>
      </c>
      <c r="B31" s="100" t="s">
        <v>2377</v>
      </c>
      <c r="C31" s="97">
        <v>21670</v>
      </c>
      <c r="D31" s="97">
        <v>20660</v>
      </c>
      <c r="E31" s="97">
        <v>20290</v>
      </c>
      <c r="F31" s="130">
        <v>5840</v>
      </c>
      <c r="L31" s="97" t="s">
        <v>2621</v>
      </c>
      <c r="M31" s="97" t="s">
        <v>2622</v>
      </c>
      <c r="N31" s="97" t="s">
        <v>2623</v>
      </c>
      <c r="O31" s="97" t="s">
        <v>2624</v>
      </c>
      <c r="P31" s="97" t="s">
        <v>2625</v>
      </c>
    </row>
    <row r="32" spans="1:18" ht="14.25" customHeight="1">
      <c r="A32" s="93" t="s">
        <v>251</v>
      </c>
      <c r="B32" s="100" t="s">
        <v>2389</v>
      </c>
      <c r="C32" s="97">
        <v>22280</v>
      </c>
      <c r="D32" s="97">
        <v>21800</v>
      </c>
      <c r="E32" s="97">
        <v>17650</v>
      </c>
      <c r="F32" s="130">
        <v>4690</v>
      </c>
      <c r="L32" s="97" t="s">
        <v>2626</v>
      </c>
      <c r="M32" s="97" t="s">
        <v>2627</v>
      </c>
      <c r="N32" s="97" t="s">
        <v>2628</v>
      </c>
      <c r="O32" s="97" t="s">
        <v>2629</v>
      </c>
      <c r="P32" s="97" t="s">
        <v>2630</v>
      </c>
    </row>
    <row r="33" spans="1:16" ht="14.25" customHeight="1">
      <c r="A33" s="93" t="s">
        <v>251</v>
      </c>
      <c r="B33" s="100" t="s">
        <v>2401</v>
      </c>
      <c r="C33" s="97">
        <v>22130</v>
      </c>
      <c r="D33" s="97">
        <v>20460</v>
      </c>
      <c r="E33" s="97">
        <v>18500</v>
      </c>
      <c r="F33" s="130">
        <v>5340</v>
      </c>
      <c r="L33" s="97" t="s">
        <v>2631</v>
      </c>
      <c r="M33" s="97" t="s">
        <v>2632</v>
      </c>
      <c r="N33" s="97" t="s">
        <v>2633</v>
      </c>
      <c r="O33" s="97" t="s">
        <v>2634</v>
      </c>
      <c r="P33" s="97" t="s">
        <v>2635</v>
      </c>
    </row>
    <row r="34" spans="1:16" ht="14.25" customHeight="1">
      <c r="A34" s="93" t="s">
        <v>251</v>
      </c>
      <c r="B34" s="100" t="s">
        <v>2412</v>
      </c>
      <c r="C34" s="97">
        <v>22070</v>
      </c>
      <c r="D34" s="97">
        <v>20110</v>
      </c>
      <c r="E34" s="97">
        <v>18830</v>
      </c>
      <c r="F34" s="130">
        <v>5190</v>
      </c>
      <c r="L34" s="97" t="s">
        <v>2636</v>
      </c>
      <c r="M34" s="97" t="s">
        <v>2637</v>
      </c>
      <c r="N34" s="97" t="s">
        <v>2638</v>
      </c>
      <c r="O34" s="97" t="s">
        <v>2639</v>
      </c>
      <c r="P34" s="97" t="s">
        <v>2640</v>
      </c>
    </row>
    <row r="35" spans="1:16" ht="14.25" customHeight="1">
      <c r="A35" s="93" t="s">
        <v>251</v>
      </c>
      <c r="B35" s="100" t="s">
        <v>2423</v>
      </c>
      <c r="C35" s="97">
        <v>22240</v>
      </c>
      <c r="D35" s="97">
        <v>19550</v>
      </c>
      <c r="E35" s="97">
        <v>19220</v>
      </c>
      <c r="F35" s="130">
        <v>5800</v>
      </c>
      <c r="L35" s="97" t="s">
        <v>2641</v>
      </c>
      <c r="M35" s="97" t="s">
        <v>2642</v>
      </c>
      <c r="N35" s="97" t="s">
        <v>2643</v>
      </c>
      <c r="O35" s="97" t="s">
        <v>2644</v>
      </c>
      <c r="P35" s="97" t="s">
        <v>2645</v>
      </c>
    </row>
    <row r="36" spans="1:16" ht="14.25" customHeight="1">
      <c r="A36" s="93" t="s">
        <v>251</v>
      </c>
      <c r="B36" s="100" t="s">
        <v>2434</v>
      </c>
      <c r="C36" s="97">
        <v>19750</v>
      </c>
      <c r="D36" s="97">
        <v>19790</v>
      </c>
      <c r="E36" s="97">
        <v>18510</v>
      </c>
      <c r="F36" s="130">
        <v>6520</v>
      </c>
      <c r="M36" s="97" t="s">
        <v>2646</v>
      </c>
      <c r="N36" s="97" t="s">
        <v>2647</v>
      </c>
      <c r="O36" s="97" t="s">
        <v>2648</v>
      </c>
      <c r="P36" s="97" t="s">
        <v>2649</v>
      </c>
    </row>
    <row r="37" spans="1:16" ht="14.25" customHeight="1">
      <c r="A37" s="93" t="s">
        <v>251</v>
      </c>
      <c r="B37" s="100" t="s">
        <v>2444</v>
      </c>
      <c r="C37" s="97">
        <v>22380</v>
      </c>
      <c r="D37" s="97">
        <v>18530</v>
      </c>
      <c r="E37" s="97">
        <v>17930</v>
      </c>
      <c r="F37" s="130">
        <v>6270</v>
      </c>
      <c r="M37" s="97" t="s">
        <v>2650</v>
      </c>
      <c r="N37" s="97" t="s">
        <v>2651</v>
      </c>
      <c r="O37" s="97" t="s">
        <v>2652</v>
      </c>
      <c r="P37" s="97" t="s">
        <v>2653</v>
      </c>
    </row>
    <row r="38" spans="1:16" ht="14.25" customHeight="1">
      <c r="A38" s="93" t="s">
        <v>251</v>
      </c>
      <c r="B38" s="100" t="s">
        <v>2454</v>
      </c>
      <c r="C38" s="97">
        <v>20200</v>
      </c>
      <c r="D38" s="97">
        <v>20070</v>
      </c>
      <c r="E38" s="97">
        <v>19950</v>
      </c>
      <c r="F38" s="130"/>
      <c r="M38" s="97" t="s">
        <v>2654</v>
      </c>
      <c r="N38" s="97" t="s">
        <v>2655</v>
      </c>
      <c r="O38" s="97" t="s">
        <v>2656</v>
      </c>
      <c r="P38" s="97" t="s">
        <v>2657</v>
      </c>
    </row>
    <row r="39" spans="1:16" ht="14.25" customHeight="1">
      <c r="A39" s="93" t="s">
        <v>251</v>
      </c>
      <c r="B39" s="100" t="s">
        <v>2464</v>
      </c>
      <c r="C39" s="97">
        <v>19300</v>
      </c>
      <c r="D39" s="97">
        <v>20360</v>
      </c>
      <c r="E39" s="97">
        <v>20230</v>
      </c>
      <c r="F39" s="130"/>
      <c r="M39" s="97" t="s">
        <v>2658</v>
      </c>
      <c r="N39" s="97" t="s">
        <v>2659</v>
      </c>
      <c r="O39" s="97" t="s">
        <v>2660</v>
      </c>
      <c r="P39" s="97" t="s">
        <v>2661</v>
      </c>
    </row>
    <row r="40" spans="1:16" ht="14.25" customHeight="1">
      <c r="A40" s="93" t="s">
        <v>251</v>
      </c>
      <c r="B40" s="100" t="s">
        <v>2474</v>
      </c>
      <c r="C40" s="97">
        <v>20210</v>
      </c>
      <c r="D40" s="97">
        <v>19060</v>
      </c>
      <c r="E40" s="97">
        <v>18890</v>
      </c>
      <c r="F40" s="130"/>
      <c r="M40" s="97" t="s">
        <v>2662</v>
      </c>
      <c r="N40" s="97" t="s">
        <v>2663</v>
      </c>
      <c r="O40" s="97" t="s">
        <v>2664</v>
      </c>
      <c r="P40" s="97" t="s">
        <v>2665</v>
      </c>
    </row>
    <row r="41" spans="1:16" ht="14.25" customHeight="1">
      <c r="A41" s="93" t="s">
        <v>251</v>
      </c>
      <c r="B41" s="100" t="s">
        <v>2484</v>
      </c>
      <c r="C41" s="97">
        <v>20560</v>
      </c>
      <c r="D41" s="97">
        <v>21040</v>
      </c>
      <c r="E41" s="97">
        <v>20740</v>
      </c>
      <c r="F41" s="130"/>
      <c r="M41" s="100" t="s">
        <v>2666</v>
      </c>
      <c r="N41" s="100" t="s">
        <v>2667</v>
      </c>
      <c r="P41" s="100" t="s">
        <v>2668</v>
      </c>
    </row>
    <row r="42" spans="1:16" ht="14.25" customHeight="1">
      <c r="A42" s="93" t="s">
        <v>251</v>
      </c>
      <c r="B42" s="100" t="s">
        <v>2494</v>
      </c>
      <c r="C42" s="97">
        <v>19280</v>
      </c>
      <c r="D42" s="97">
        <v>22940</v>
      </c>
      <c r="E42" s="97">
        <v>22500</v>
      </c>
      <c r="F42" s="130"/>
      <c r="M42" s="97" t="s">
        <v>2669</v>
      </c>
      <c r="N42" s="97" t="s">
        <v>2670</v>
      </c>
      <c r="P42" s="97" t="s">
        <v>2671</v>
      </c>
    </row>
    <row r="43" spans="1:16" ht="14.25" customHeight="1">
      <c r="A43" s="93" t="s">
        <v>251</v>
      </c>
      <c r="B43" s="100" t="s">
        <v>2504</v>
      </c>
      <c r="C43" s="97">
        <v>21520</v>
      </c>
      <c r="D43" s="97">
        <v>19230</v>
      </c>
      <c r="E43" s="97">
        <v>18540</v>
      </c>
      <c r="F43" s="130"/>
      <c r="M43" s="97" t="s">
        <v>2672</v>
      </c>
      <c r="N43" s="97" t="s">
        <v>2673</v>
      </c>
      <c r="P43" s="97" t="s">
        <v>2674</v>
      </c>
    </row>
    <row r="44" spans="1:16" ht="14.25" customHeight="1">
      <c r="A44" s="93" t="s">
        <v>251</v>
      </c>
      <c r="B44" s="100" t="s">
        <v>2514</v>
      </c>
      <c r="C44" s="97">
        <v>23260</v>
      </c>
      <c r="D44" s="97">
        <v>21180</v>
      </c>
      <c r="E44" s="97">
        <v>20730</v>
      </c>
      <c r="F44" s="130"/>
      <c r="M44" s="97" t="s">
        <v>2675</v>
      </c>
      <c r="N44" s="97" t="s">
        <v>2676</v>
      </c>
      <c r="P44" s="97" t="s">
        <v>2677</v>
      </c>
    </row>
    <row r="45" spans="1:16" ht="14.25" customHeight="1">
      <c r="A45" s="93" t="s">
        <v>251</v>
      </c>
      <c r="B45" s="100" t="s">
        <v>2524</v>
      </c>
      <c r="C45" s="97">
        <v>19610</v>
      </c>
      <c r="D45" s="97">
        <v>18090</v>
      </c>
      <c r="E45" s="97">
        <v>17970</v>
      </c>
      <c r="F45" s="130"/>
      <c r="M45" s="97" t="s">
        <v>2678</v>
      </c>
      <c r="N45" s="97" t="s">
        <v>2679</v>
      </c>
      <c r="P45" s="97" t="s">
        <v>2680</v>
      </c>
    </row>
    <row r="46" spans="1:16" ht="14.25" customHeight="1">
      <c r="A46" s="93" t="s">
        <v>251</v>
      </c>
      <c r="B46" s="100" t="s">
        <v>2534</v>
      </c>
      <c r="C46" s="97">
        <v>21660</v>
      </c>
      <c r="D46" s="97">
        <v>19190</v>
      </c>
      <c r="E46" s="97">
        <v>19790</v>
      </c>
      <c r="F46" s="130"/>
      <c r="M46" s="97" t="s">
        <v>2681</v>
      </c>
      <c r="N46" s="97" t="s">
        <v>2682</v>
      </c>
      <c r="P46" s="97" t="s">
        <v>2683</v>
      </c>
    </row>
    <row r="47" spans="1:16" ht="14.25" customHeight="1">
      <c r="A47" s="93" t="s">
        <v>251</v>
      </c>
      <c r="B47" s="100" t="s">
        <v>2544</v>
      </c>
      <c r="C47" s="97">
        <v>18220</v>
      </c>
      <c r="D47" s="97"/>
      <c r="E47" s="97">
        <v>17220</v>
      </c>
      <c r="F47" s="130"/>
      <c r="M47" s="97" t="s">
        <v>2684</v>
      </c>
      <c r="N47" s="97" t="s">
        <v>2685</v>
      </c>
    </row>
    <row r="48" spans="1:16" ht="14.25" customHeight="1">
      <c r="A48" s="93" t="s">
        <v>251</v>
      </c>
      <c r="B48" s="102" t="s">
        <v>2553</v>
      </c>
      <c r="C48" s="108">
        <v>19430</v>
      </c>
      <c r="D48" s="108"/>
      <c r="E48" s="108">
        <v>17830</v>
      </c>
      <c r="F48" s="132"/>
      <c r="M48" s="97" t="s">
        <v>2686</v>
      </c>
      <c r="N48" s="97" t="s">
        <v>2687</v>
      </c>
    </row>
    <row r="49" spans="1:14" ht="14.25" customHeight="1">
      <c r="A49" s="93" t="s">
        <v>259</v>
      </c>
      <c r="B49" s="94" t="s">
        <v>2352</v>
      </c>
      <c r="C49" s="94">
        <v>17090</v>
      </c>
      <c r="D49" s="94">
        <v>16950</v>
      </c>
      <c r="E49" s="94">
        <v>16310</v>
      </c>
      <c r="F49" s="127">
        <v>4540</v>
      </c>
      <c r="M49" s="97" t="s">
        <v>2688</v>
      </c>
      <c r="N49" s="97" t="s">
        <v>2689</v>
      </c>
    </row>
    <row r="50" spans="1:14" ht="14.25" customHeight="1">
      <c r="A50" s="93" t="s">
        <v>259</v>
      </c>
      <c r="B50" s="97" t="s">
        <v>2365</v>
      </c>
      <c r="C50" s="97">
        <v>19040</v>
      </c>
      <c r="D50" s="97">
        <v>16960</v>
      </c>
      <c r="E50" s="97">
        <v>14800</v>
      </c>
      <c r="F50" s="130">
        <v>3940</v>
      </c>
    </row>
    <row r="51" spans="1:14" ht="14.25" customHeight="1">
      <c r="A51" s="93" t="s">
        <v>259</v>
      </c>
      <c r="B51" s="97" t="s">
        <v>2378</v>
      </c>
      <c r="C51" s="97">
        <v>17040</v>
      </c>
      <c r="D51" s="97">
        <v>16930</v>
      </c>
      <c r="E51" s="97">
        <v>15030</v>
      </c>
      <c r="F51" s="130">
        <v>4120</v>
      </c>
    </row>
    <row r="52" spans="1:14" ht="14.25" customHeight="1">
      <c r="A52" s="93" t="s">
        <v>259</v>
      </c>
      <c r="B52" s="97" t="s">
        <v>2390</v>
      </c>
      <c r="C52" s="97">
        <v>17110</v>
      </c>
      <c r="D52" s="97">
        <v>17750</v>
      </c>
      <c r="E52" s="97">
        <v>17310</v>
      </c>
      <c r="F52" s="130">
        <v>3220</v>
      </c>
    </row>
    <row r="53" spans="1:14" ht="14.25" customHeight="1">
      <c r="A53" s="93" t="s">
        <v>259</v>
      </c>
      <c r="B53" s="97" t="s">
        <v>2402</v>
      </c>
      <c r="C53" s="97">
        <v>17810</v>
      </c>
      <c r="D53" s="97">
        <v>17260</v>
      </c>
      <c r="E53" s="97">
        <v>17090</v>
      </c>
      <c r="F53" s="130">
        <v>3520</v>
      </c>
    </row>
    <row r="54" spans="1:14" ht="14.25" customHeight="1">
      <c r="A54" s="93" t="s">
        <v>259</v>
      </c>
      <c r="B54" s="97" t="s">
        <v>2413</v>
      </c>
      <c r="C54" s="97">
        <v>17410</v>
      </c>
      <c r="D54" s="97">
        <v>16780</v>
      </c>
      <c r="E54" s="97">
        <v>16370</v>
      </c>
      <c r="F54" s="130">
        <v>3410</v>
      </c>
    </row>
    <row r="55" spans="1:14" ht="14.25" customHeight="1">
      <c r="A55" s="93" t="s">
        <v>259</v>
      </c>
      <c r="B55" s="97" t="s">
        <v>2424</v>
      </c>
      <c r="C55" s="97">
        <v>16930</v>
      </c>
      <c r="D55" s="97">
        <v>14720</v>
      </c>
      <c r="E55" s="97">
        <v>15000</v>
      </c>
      <c r="F55" s="130">
        <v>3710</v>
      </c>
    </row>
    <row r="56" spans="1:14" ht="14.25" customHeight="1">
      <c r="A56" s="93" t="s">
        <v>259</v>
      </c>
      <c r="B56" s="97" t="s">
        <v>2435</v>
      </c>
      <c r="C56" s="97">
        <v>14930</v>
      </c>
      <c r="D56" s="97">
        <v>15850</v>
      </c>
      <c r="E56" s="97">
        <v>14320</v>
      </c>
      <c r="F56" s="130">
        <v>3960</v>
      </c>
    </row>
    <row r="57" spans="1:14" ht="14.25" customHeight="1">
      <c r="A57" s="93" t="s">
        <v>259</v>
      </c>
      <c r="B57" s="97" t="s">
        <v>2445</v>
      </c>
      <c r="C57" s="97">
        <v>16160</v>
      </c>
      <c r="D57" s="97">
        <v>16190</v>
      </c>
      <c r="E57" s="97">
        <v>15650</v>
      </c>
      <c r="F57" s="130">
        <v>4200</v>
      </c>
    </row>
    <row r="58" spans="1:14" ht="14.25" customHeight="1">
      <c r="A58" s="93" t="s">
        <v>259</v>
      </c>
      <c r="B58" s="97" t="s">
        <v>2455</v>
      </c>
      <c r="C58" s="97">
        <v>16360</v>
      </c>
      <c r="D58" s="97">
        <v>14050</v>
      </c>
      <c r="E58" s="97">
        <v>16070</v>
      </c>
      <c r="F58" s="130">
        <v>3990</v>
      </c>
    </row>
    <row r="59" spans="1:14" ht="14.25" customHeight="1">
      <c r="A59" s="93" t="s">
        <v>259</v>
      </c>
      <c r="B59" s="97" t="s">
        <v>2465</v>
      </c>
      <c r="C59" s="97">
        <v>14160</v>
      </c>
      <c r="D59" s="97">
        <v>16620</v>
      </c>
      <c r="E59" s="97">
        <v>13940</v>
      </c>
      <c r="F59" s="130">
        <v>4260</v>
      </c>
    </row>
    <row r="60" spans="1:14" ht="14.25" customHeight="1">
      <c r="A60" s="93" t="s">
        <v>259</v>
      </c>
      <c r="B60" s="97" t="s">
        <v>2475</v>
      </c>
      <c r="C60" s="97">
        <v>16750</v>
      </c>
      <c r="D60" s="97">
        <v>13910</v>
      </c>
      <c r="E60" s="97">
        <v>16550</v>
      </c>
      <c r="F60" s="130">
        <v>4550</v>
      </c>
    </row>
    <row r="61" spans="1:14" ht="14.25" customHeight="1">
      <c r="A61" s="93" t="s">
        <v>259</v>
      </c>
      <c r="B61" s="97" t="s">
        <v>2485</v>
      </c>
      <c r="C61" s="97">
        <v>14000</v>
      </c>
      <c r="D61" s="97">
        <v>14550</v>
      </c>
      <c r="E61" s="97">
        <v>13860</v>
      </c>
      <c r="F61" s="133"/>
    </row>
    <row r="62" spans="1:14" ht="14.25" customHeight="1">
      <c r="A62" s="93" t="s">
        <v>259</v>
      </c>
      <c r="B62" s="97" t="s">
        <v>2495</v>
      </c>
      <c r="C62" s="97">
        <v>14660</v>
      </c>
      <c r="D62" s="97">
        <v>17450</v>
      </c>
      <c r="E62" s="97">
        <v>14470</v>
      </c>
      <c r="F62" s="133"/>
    </row>
    <row r="63" spans="1:14" ht="14.25" customHeight="1">
      <c r="A63" s="93" t="s">
        <v>259</v>
      </c>
      <c r="B63" s="97" t="s">
        <v>2505</v>
      </c>
      <c r="C63" s="97">
        <v>17610</v>
      </c>
      <c r="D63" s="97">
        <v>16500</v>
      </c>
      <c r="E63" s="97">
        <v>17330</v>
      </c>
      <c r="F63" s="133"/>
    </row>
    <row r="64" spans="1:14" ht="14.25" customHeight="1">
      <c r="A64" s="93" t="s">
        <v>259</v>
      </c>
      <c r="B64" s="97" t="s">
        <v>2515</v>
      </c>
      <c r="C64" s="97">
        <v>16590</v>
      </c>
      <c r="D64" s="97">
        <v>15130</v>
      </c>
      <c r="E64" s="97">
        <v>16420</v>
      </c>
      <c r="F64" s="133"/>
    </row>
    <row r="65" spans="1:6" s="119" customFormat="1" ht="14.25" customHeight="1">
      <c r="A65" s="93" t="s">
        <v>259</v>
      </c>
      <c r="B65" s="97" t="s">
        <v>2525</v>
      </c>
      <c r="C65" s="97">
        <v>15220</v>
      </c>
      <c r="D65" s="97">
        <v>14660</v>
      </c>
      <c r="E65" s="97">
        <v>15060</v>
      </c>
      <c r="F65" s="130"/>
    </row>
    <row r="66" spans="1:6" s="119" customFormat="1" ht="14.25" customHeight="1">
      <c r="A66" s="93" t="s">
        <v>259</v>
      </c>
      <c r="B66" s="97" t="s">
        <v>2535</v>
      </c>
      <c r="C66" s="97">
        <v>14720</v>
      </c>
      <c r="D66" s="97">
        <v>15970</v>
      </c>
      <c r="E66" s="97">
        <v>14610</v>
      </c>
      <c r="F66" s="130"/>
    </row>
    <row r="67" spans="1:6" s="119" customFormat="1" ht="14.25" customHeight="1">
      <c r="A67" s="93" t="s">
        <v>259</v>
      </c>
      <c r="B67" s="97" t="s">
        <v>2545</v>
      </c>
      <c r="C67" s="97">
        <v>16080</v>
      </c>
      <c r="D67" s="97">
        <v>14840</v>
      </c>
      <c r="E67" s="97">
        <v>15630</v>
      </c>
      <c r="F67" s="130"/>
    </row>
    <row r="68" spans="1:6" s="119" customFormat="1" ht="14.25" customHeight="1">
      <c r="A68" s="93" t="s">
        <v>259</v>
      </c>
      <c r="B68" s="97" t="s">
        <v>2554</v>
      </c>
      <c r="C68" s="97">
        <v>14940</v>
      </c>
      <c r="D68" s="97">
        <v>18000</v>
      </c>
      <c r="E68" s="97">
        <v>14040</v>
      </c>
      <c r="F68" s="130"/>
    </row>
    <row r="69" spans="1:6" s="119" customFormat="1" ht="14.25" customHeight="1">
      <c r="A69" s="93" t="s">
        <v>259</v>
      </c>
      <c r="B69" s="97" t="s">
        <v>2562</v>
      </c>
      <c r="C69" s="97">
        <v>18810</v>
      </c>
      <c r="D69" s="97">
        <v>15100</v>
      </c>
      <c r="E69" s="97">
        <v>14710</v>
      </c>
      <c r="F69" s="130"/>
    </row>
    <row r="70" spans="1:6" s="119" customFormat="1" ht="14.25" customHeight="1">
      <c r="A70" s="93" t="s">
        <v>259</v>
      </c>
      <c r="B70" s="97" t="s">
        <v>2570</v>
      </c>
      <c r="C70" s="97">
        <v>18270</v>
      </c>
      <c r="D70" s="97"/>
      <c r="E70" s="97"/>
      <c r="F70" s="130"/>
    </row>
    <row r="71" spans="1:6" s="119" customFormat="1" ht="14.25" customHeight="1">
      <c r="A71" s="93" t="s">
        <v>259</v>
      </c>
      <c r="B71" s="97" t="s">
        <v>2577</v>
      </c>
      <c r="C71" s="97">
        <v>15230</v>
      </c>
      <c r="D71" s="97"/>
      <c r="E71" s="97"/>
      <c r="F71" s="130"/>
    </row>
    <row r="72" spans="1:6" s="119" customFormat="1" ht="14.25" customHeight="1">
      <c r="A72" s="93" t="s">
        <v>259</v>
      </c>
      <c r="B72" s="97" t="s">
        <v>2584</v>
      </c>
      <c r="C72" s="97"/>
      <c r="D72" s="97"/>
      <c r="E72" s="97"/>
      <c r="F72" s="130">
        <v>4120</v>
      </c>
    </row>
    <row r="73" spans="1:6" s="119" customFormat="1" ht="14.25" customHeight="1">
      <c r="A73" s="93" t="s">
        <v>259</v>
      </c>
      <c r="B73" s="97" t="s">
        <v>2591</v>
      </c>
      <c r="C73" s="97"/>
      <c r="D73" s="97"/>
      <c r="E73" s="97"/>
      <c r="F73" s="130">
        <v>3930</v>
      </c>
    </row>
    <row r="74" spans="1:6" s="119" customFormat="1" ht="14.25" customHeight="1">
      <c r="A74" s="93" t="s">
        <v>259</v>
      </c>
      <c r="B74" s="97" t="s">
        <v>2598</v>
      </c>
      <c r="C74" s="97"/>
      <c r="D74" s="97"/>
      <c r="E74" s="97"/>
      <c r="F74" s="130">
        <v>4060</v>
      </c>
    </row>
    <row r="75" spans="1:6" s="119" customFormat="1" ht="14.25" customHeight="1">
      <c r="A75" s="93" t="s">
        <v>259</v>
      </c>
      <c r="B75" s="108" t="s">
        <v>2605</v>
      </c>
      <c r="C75" s="108"/>
      <c r="D75" s="108"/>
      <c r="E75" s="108"/>
      <c r="F75" s="132">
        <v>3750</v>
      </c>
    </row>
    <row r="76" spans="1:6" s="119" customFormat="1" ht="14.25" customHeight="1">
      <c r="A76" s="93" t="s">
        <v>267</v>
      </c>
      <c r="B76" s="94" t="s">
        <v>2353</v>
      </c>
      <c r="C76" s="94">
        <v>14690</v>
      </c>
      <c r="D76" s="94">
        <v>14640</v>
      </c>
      <c r="E76" s="94">
        <v>14590</v>
      </c>
      <c r="F76" s="127">
        <v>3060</v>
      </c>
    </row>
    <row r="77" spans="1:6" s="119" customFormat="1" ht="14.25" customHeight="1">
      <c r="A77" s="93" t="s">
        <v>267</v>
      </c>
      <c r="B77" s="97" t="s">
        <v>2366</v>
      </c>
      <c r="C77" s="97">
        <v>12550</v>
      </c>
      <c r="D77" s="97">
        <v>12480</v>
      </c>
      <c r="E77" s="97">
        <v>12450</v>
      </c>
      <c r="F77" s="130">
        <v>2590</v>
      </c>
    </row>
    <row r="78" spans="1:6" s="119" customFormat="1" ht="14.25" customHeight="1">
      <c r="A78" s="93" t="s">
        <v>267</v>
      </c>
      <c r="B78" s="97" t="s">
        <v>2379</v>
      </c>
      <c r="C78" s="97">
        <v>14360</v>
      </c>
      <c r="D78" s="97">
        <v>14320</v>
      </c>
      <c r="E78" s="97">
        <v>12510</v>
      </c>
      <c r="F78" s="130">
        <v>2700</v>
      </c>
    </row>
    <row r="79" spans="1:6" s="119" customFormat="1" ht="14.25" customHeight="1">
      <c r="A79" s="93" t="s">
        <v>267</v>
      </c>
      <c r="B79" s="97" t="s">
        <v>2391</v>
      </c>
      <c r="C79" s="97">
        <v>12590</v>
      </c>
      <c r="D79" s="97">
        <v>12540</v>
      </c>
      <c r="E79" s="97">
        <v>12350</v>
      </c>
      <c r="F79" s="130">
        <v>2740</v>
      </c>
    </row>
    <row r="80" spans="1:6" s="119" customFormat="1" ht="14.25" customHeight="1">
      <c r="A80" s="93" t="s">
        <v>267</v>
      </c>
      <c r="B80" s="97" t="s">
        <v>2403</v>
      </c>
      <c r="C80" s="97">
        <v>12450</v>
      </c>
      <c r="D80" s="97">
        <v>12370</v>
      </c>
      <c r="E80" s="97">
        <v>10790</v>
      </c>
      <c r="F80" s="130">
        <v>2290</v>
      </c>
    </row>
    <row r="81" spans="1:6" s="119" customFormat="1" ht="14.25" customHeight="1">
      <c r="A81" s="93" t="s">
        <v>267</v>
      </c>
      <c r="B81" s="97" t="s">
        <v>2414</v>
      </c>
      <c r="C81" s="97">
        <v>14210</v>
      </c>
      <c r="D81" s="97">
        <v>14150</v>
      </c>
      <c r="E81" s="97">
        <v>12730</v>
      </c>
      <c r="F81" s="130">
        <v>2240</v>
      </c>
    </row>
    <row r="82" spans="1:6" s="119" customFormat="1" ht="14.25" customHeight="1">
      <c r="A82" s="93" t="s">
        <v>267</v>
      </c>
      <c r="B82" s="97" t="s">
        <v>2425</v>
      </c>
      <c r="C82" s="97">
        <v>10860</v>
      </c>
      <c r="D82" s="97">
        <v>10820</v>
      </c>
      <c r="E82" s="97">
        <v>14720</v>
      </c>
      <c r="F82" s="130">
        <v>2490</v>
      </c>
    </row>
    <row r="83" spans="1:6" s="119" customFormat="1" ht="14.25" customHeight="1">
      <c r="A83" s="93" t="s">
        <v>267</v>
      </c>
      <c r="B83" s="97" t="s">
        <v>2436</v>
      </c>
      <c r="C83" s="97">
        <v>12810</v>
      </c>
      <c r="D83" s="97">
        <v>12760</v>
      </c>
      <c r="E83" s="97">
        <v>14830</v>
      </c>
      <c r="F83" s="130">
        <v>2450</v>
      </c>
    </row>
    <row r="84" spans="1:6" s="119" customFormat="1" ht="14.25" customHeight="1">
      <c r="A84" s="93" t="s">
        <v>267</v>
      </c>
      <c r="B84" s="97" t="s">
        <v>2446</v>
      </c>
      <c r="C84" s="97">
        <v>14950</v>
      </c>
      <c r="D84" s="97">
        <v>14810</v>
      </c>
      <c r="E84" s="97">
        <v>12590</v>
      </c>
      <c r="F84" s="130">
        <v>2540</v>
      </c>
    </row>
    <row r="85" spans="1:6" s="119" customFormat="1" ht="14.25" customHeight="1">
      <c r="A85" s="93" t="s">
        <v>267</v>
      </c>
      <c r="B85" s="97" t="s">
        <v>2456</v>
      </c>
      <c r="C85" s="97">
        <v>14960</v>
      </c>
      <c r="D85" s="97">
        <v>14890</v>
      </c>
      <c r="E85" s="97">
        <v>12840</v>
      </c>
      <c r="F85" s="130">
        <v>2840</v>
      </c>
    </row>
    <row r="86" spans="1:6" s="119" customFormat="1" ht="14.25" customHeight="1">
      <c r="A86" s="93" t="s">
        <v>267</v>
      </c>
      <c r="B86" s="97" t="s">
        <v>2466</v>
      </c>
      <c r="C86" s="97">
        <v>12730</v>
      </c>
      <c r="D86" s="97">
        <v>12660</v>
      </c>
      <c r="E86" s="97">
        <v>13310</v>
      </c>
      <c r="F86" s="130">
        <v>3140</v>
      </c>
    </row>
    <row r="87" spans="1:6" s="119" customFormat="1" ht="14.25" customHeight="1">
      <c r="A87" s="93" t="s">
        <v>267</v>
      </c>
      <c r="B87" s="97" t="s">
        <v>2476</v>
      </c>
      <c r="C87" s="97">
        <v>12940</v>
      </c>
      <c r="D87" s="97">
        <v>12890</v>
      </c>
      <c r="E87" s="97">
        <v>11580</v>
      </c>
      <c r="F87" s="133"/>
    </row>
    <row r="88" spans="1:6" s="119" customFormat="1" ht="14.25" customHeight="1">
      <c r="A88" s="93" t="s">
        <v>267</v>
      </c>
      <c r="B88" s="97" t="s">
        <v>2486</v>
      </c>
      <c r="C88" s="97">
        <v>13430</v>
      </c>
      <c r="D88" s="97">
        <v>13360</v>
      </c>
      <c r="E88" s="97">
        <v>12790</v>
      </c>
      <c r="F88" s="133"/>
    </row>
    <row r="89" spans="1:6" s="119" customFormat="1" ht="14.25" customHeight="1">
      <c r="A89" s="93" t="s">
        <v>267</v>
      </c>
      <c r="B89" s="97" t="s">
        <v>2496</v>
      </c>
      <c r="C89" s="97">
        <v>11680</v>
      </c>
      <c r="D89" s="97">
        <v>11630</v>
      </c>
      <c r="E89" s="97">
        <v>11320</v>
      </c>
      <c r="F89" s="133"/>
    </row>
    <row r="90" spans="1:6" s="119" customFormat="1" ht="14.25" customHeight="1">
      <c r="A90" s="93" t="s">
        <v>267</v>
      </c>
      <c r="B90" s="97" t="s">
        <v>2506</v>
      </c>
      <c r="C90" s="97">
        <v>12890</v>
      </c>
      <c r="D90" s="97">
        <v>12820</v>
      </c>
      <c r="E90" s="97">
        <v>12710</v>
      </c>
      <c r="F90" s="133"/>
    </row>
    <row r="91" spans="1:6" s="119" customFormat="1" ht="14.25" customHeight="1">
      <c r="A91" s="93" t="s">
        <v>267</v>
      </c>
      <c r="B91" s="97" t="s">
        <v>2516</v>
      </c>
      <c r="C91" s="97">
        <v>11410</v>
      </c>
      <c r="D91" s="97">
        <v>11360</v>
      </c>
      <c r="E91" s="97">
        <v>12670</v>
      </c>
      <c r="F91" s="133"/>
    </row>
    <row r="92" spans="1:6" s="119" customFormat="1" ht="14.25" customHeight="1">
      <c r="A92" s="93" t="s">
        <v>267</v>
      </c>
      <c r="B92" s="97" t="s">
        <v>2526</v>
      </c>
      <c r="C92" s="97">
        <v>12770</v>
      </c>
      <c r="D92" s="97">
        <v>12740</v>
      </c>
      <c r="E92" s="97">
        <v>11970</v>
      </c>
      <c r="F92" s="133"/>
    </row>
    <row r="93" spans="1:6" s="119" customFormat="1" ht="14.25" customHeight="1">
      <c r="A93" s="93" t="s">
        <v>267</v>
      </c>
      <c r="B93" s="97" t="s">
        <v>2536</v>
      </c>
      <c r="C93" s="97">
        <v>12740</v>
      </c>
      <c r="D93" s="97">
        <v>12700</v>
      </c>
      <c r="E93" s="97">
        <v>12540</v>
      </c>
      <c r="F93" s="133"/>
    </row>
    <row r="94" spans="1:6" s="119" customFormat="1" ht="14.25" customHeight="1">
      <c r="A94" s="93" t="s">
        <v>267</v>
      </c>
      <c r="B94" s="97" t="s">
        <v>2546</v>
      </c>
      <c r="C94" s="97">
        <v>12020</v>
      </c>
      <c r="D94" s="97">
        <v>11990</v>
      </c>
      <c r="E94" s="97">
        <v>13110</v>
      </c>
      <c r="F94" s="133"/>
    </row>
    <row r="95" spans="1:6" s="119" customFormat="1" ht="14.25" customHeight="1">
      <c r="A95" s="93" t="s">
        <v>267</v>
      </c>
      <c r="B95" s="97" t="s">
        <v>2555</v>
      </c>
      <c r="C95" s="97">
        <v>12620</v>
      </c>
      <c r="D95" s="97">
        <v>12580</v>
      </c>
      <c r="E95" s="97">
        <v>13160</v>
      </c>
      <c r="F95" s="130"/>
    </row>
    <row r="96" spans="1:6" s="119" customFormat="1" ht="14.25" customHeight="1">
      <c r="A96" s="93" t="s">
        <v>267</v>
      </c>
      <c r="B96" s="97" t="s">
        <v>2563</v>
      </c>
      <c r="C96" s="97">
        <v>13200</v>
      </c>
      <c r="D96" s="97">
        <v>13150</v>
      </c>
      <c r="E96" s="97">
        <v>12900</v>
      </c>
      <c r="F96" s="130"/>
    </row>
    <row r="97" spans="1:6" s="119" customFormat="1" ht="14.25" customHeight="1">
      <c r="A97" s="93" t="s">
        <v>267</v>
      </c>
      <c r="B97" s="97" t="s">
        <v>2571</v>
      </c>
      <c r="C97" s="97">
        <v>13270</v>
      </c>
      <c r="D97" s="97">
        <v>13210</v>
      </c>
      <c r="E97" s="97">
        <v>11080</v>
      </c>
      <c r="F97" s="130"/>
    </row>
    <row r="98" spans="1:6" s="119" customFormat="1" ht="14.25" customHeight="1">
      <c r="A98" s="93" t="s">
        <v>267</v>
      </c>
      <c r="B98" s="97" t="s">
        <v>2578</v>
      </c>
      <c r="C98" s="97">
        <v>13010</v>
      </c>
      <c r="D98" s="97">
        <v>12930</v>
      </c>
      <c r="E98" s="97">
        <v>12840</v>
      </c>
      <c r="F98" s="130"/>
    </row>
    <row r="99" spans="1:6" s="119" customFormat="1" ht="14.25" customHeight="1">
      <c r="A99" s="93" t="s">
        <v>267</v>
      </c>
      <c r="B99" s="97" t="s">
        <v>2585</v>
      </c>
      <c r="C99" s="97">
        <v>11190</v>
      </c>
      <c r="D99" s="97">
        <v>11130</v>
      </c>
      <c r="E99" s="97"/>
      <c r="F99" s="130"/>
    </row>
    <row r="100" spans="1:6" s="119" customFormat="1" ht="14.25" customHeight="1">
      <c r="A100" s="93" t="s">
        <v>267</v>
      </c>
      <c r="B100" s="97" t="s">
        <v>2592</v>
      </c>
      <c r="C100" s="97">
        <v>14280</v>
      </c>
      <c r="D100" s="97">
        <v>14180</v>
      </c>
      <c r="E100" s="97"/>
      <c r="F100" s="130"/>
    </row>
    <row r="101" spans="1:6" s="119" customFormat="1" ht="14.25" customHeight="1">
      <c r="A101" s="93" t="s">
        <v>267</v>
      </c>
      <c r="B101" s="97" t="s">
        <v>2599</v>
      </c>
      <c r="C101" s="97">
        <v>12960</v>
      </c>
      <c r="D101" s="97">
        <v>12890</v>
      </c>
      <c r="E101" s="97"/>
      <c r="F101" s="130"/>
    </row>
    <row r="102" spans="1:6" s="119" customFormat="1" ht="14.25" customHeight="1">
      <c r="A102" s="93" t="s">
        <v>267</v>
      </c>
      <c r="B102" s="97" t="s">
        <v>2606</v>
      </c>
      <c r="C102" s="97"/>
      <c r="D102" s="97"/>
      <c r="E102" s="97"/>
      <c r="F102" s="130">
        <v>3100</v>
      </c>
    </row>
    <row r="103" spans="1:6" s="119" customFormat="1" ht="14.25" customHeight="1">
      <c r="A103" s="93" t="s">
        <v>267</v>
      </c>
      <c r="B103" s="97" t="s">
        <v>2611</v>
      </c>
      <c r="C103" s="97"/>
      <c r="D103" s="97"/>
      <c r="E103" s="97"/>
      <c r="F103" s="130">
        <v>2320</v>
      </c>
    </row>
    <row r="104" spans="1:6" s="119" customFormat="1" ht="14.25" customHeight="1">
      <c r="A104" s="93" t="s">
        <v>267</v>
      </c>
      <c r="B104" s="97" t="s">
        <v>2616</v>
      </c>
      <c r="C104" s="97"/>
      <c r="D104" s="97"/>
      <c r="E104" s="97"/>
      <c r="F104" s="130">
        <v>2320</v>
      </c>
    </row>
    <row r="105" spans="1:6" s="119" customFormat="1" ht="14.25" customHeight="1">
      <c r="A105" s="93" t="s">
        <v>267</v>
      </c>
      <c r="B105" s="97" t="s">
        <v>2621</v>
      </c>
      <c r="C105" s="97"/>
      <c r="D105" s="97"/>
      <c r="E105" s="97"/>
      <c r="F105" s="130">
        <v>2320</v>
      </c>
    </row>
    <row r="106" spans="1:6" s="119" customFormat="1" ht="14.25" customHeight="1">
      <c r="A106" s="93" t="s">
        <v>267</v>
      </c>
      <c r="B106" s="97" t="s">
        <v>2626</v>
      </c>
      <c r="C106" s="97"/>
      <c r="D106" s="97"/>
      <c r="E106" s="97"/>
      <c r="F106" s="130">
        <v>2320</v>
      </c>
    </row>
    <row r="107" spans="1:6" s="119" customFormat="1" ht="14.25" customHeight="1">
      <c r="A107" s="93" t="s">
        <v>267</v>
      </c>
      <c r="B107" s="97" t="s">
        <v>2631</v>
      </c>
      <c r="C107" s="97"/>
      <c r="D107" s="97"/>
      <c r="E107" s="97"/>
      <c r="F107" s="130">
        <v>2280</v>
      </c>
    </row>
    <row r="108" spans="1:6" s="119" customFormat="1" ht="14.25" customHeight="1">
      <c r="A108" s="93" t="s">
        <v>267</v>
      </c>
      <c r="B108" s="97" t="s">
        <v>2636</v>
      </c>
      <c r="C108" s="97"/>
      <c r="D108" s="97"/>
      <c r="E108" s="97"/>
      <c r="F108" s="130">
        <v>2280</v>
      </c>
    </row>
    <row r="109" spans="1:6" s="119" customFormat="1" ht="14.25" customHeight="1">
      <c r="A109" s="93" t="s">
        <v>267</v>
      </c>
      <c r="B109" s="108" t="s">
        <v>2641</v>
      </c>
      <c r="C109" s="108"/>
      <c r="D109" s="108"/>
      <c r="E109" s="108"/>
      <c r="F109" s="132">
        <v>2280</v>
      </c>
    </row>
    <row r="110" spans="1:6" s="119" customFormat="1" ht="14.25" customHeight="1">
      <c r="A110" s="93" t="s">
        <v>273</v>
      </c>
      <c r="B110" s="94" t="s">
        <v>2354</v>
      </c>
      <c r="C110" s="94">
        <v>10520</v>
      </c>
      <c r="D110" s="94">
        <v>10490</v>
      </c>
      <c r="E110" s="94">
        <v>10760</v>
      </c>
      <c r="F110" s="127">
        <v>2160</v>
      </c>
    </row>
    <row r="111" spans="1:6" s="119" customFormat="1" ht="14.25" customHeight="1">
      <c r="A111" s="93" t="s">
        <v>273</v>
      </c>
      <c r="B111" s="97" t="s">
        <v>2367</v>
      </c>
      <c r="C111" s="97">
        <v>10090</v>
      </c>
      <c r="D111" s="97">
        <v>10060</v>
      </c>
      <c r="E111" s="97">
        <v>10300</v>
      </c>
      <c r="F111" s="130">
        <v>2010</v>
      </c>
    </row>
    <row r="112" spans="1:6" s="119" customFormat="1" ht="14.25" customHeight="1">
      <c r="A112" s="93" t="s">
        <v>273</v>
      </c>
      <c r="B112" s="97" t="s">
        <v>2380</v>
      </c>
      <c r="C112" s="97">
        <v>9910</v>
      </c>
      <c r="D112" s="97">
        <v>9850</v>
      </c>
      <c r="E112" s="97">
        <v>9960</v>
      </c>
      <c r="F112" s="130">
        <v>2090</v>
      </c>
    </row>
    <row r="113" spans="1:6" s="119" customFormat="1" ht="14.25" customHeight="1">
      <c r="A113" s="93" t="s">
        <v>273</v>
      </c>
      <c r="B113" s="97" t="s">
        <v>2392</v>
      </c>
      <c r="C113" s="97">
        <v>11430</v>
      </c>
      <c r="D113" s="97">
        <v>11400</v>
      </c>
      <c r="E113" s="97">
        <v>11710</v>
      </c>
      <c r="F113" s="130">
        <v>2050</v>
      </c>
    </row>
    <row r="114" spans="1:6" s="119" customFormat="1" ht="14.25" customHeight="1">
      <c r="A114" s="93" t="s">
        <v>273</v>
      </c>
      <c r="B114" s="97" t="s">
        <v>2404</v>
      </c>
      <c r="C114" s="97">
        <v>11390</v>
      </c>
      <c r="D114" s="97">
        <v>11350</v>
      </c>
      <c r="E114" s="97">
        <v>11640</v>
      </c>
      <c r="F114" s="130">
        <v>1620</v>
      </c>
    </row>
    <row r="115" spans="1:6" s="119" customFormat="1" ht="14.25" customHeight="1">
      <c r="A115" s="93" t="s">
        <v>273</v>
      </c>
      <c r="B115" s="97" t="s">
        <v>2415</v>
      </c>
      <c r="C115" s="97">
        <v>9930</v>
      </c>
      <c r="D115" s="97">
        <v>9900</v>
      </c>
      <c r="E115" s="97">
        <v>10160</v>
      </c>
      <c r="F115" s="130">
        <v>1580</v>
      </c>
    </row>
    <row r="116" spans="1:6" s="119" customFormat="1" ht="14.25" customHeight="1">
      <c r="A116" s="93" t="s">
        <v>273</v>
      </c>
      <c r="B116" s="97" t="s">
        <v>2426</v>
      </c>
      <c r="C116" s="97">
        <v>9150</v>
      </c>
      <c r="D116" s="97">
        <v>9120</v>
      </c>
      <c r="E116" s="97">
        <v>9380</v>
      </c>
      <c r="F116" s="130">
        <v>1750</v>
      </c>
    </row>
    <row r="117" spans="1:6" s="119" customFormat="1" ht="14.25" customHeight="1">
      <c r="A117" s="93" t="s">
        <v>273</v>
      </c>
      <c r="B117" s="97" t="s">
        <v>2437</v>
      </c>
      <c r="C117" s="97">
        <v>10680</v>
      </c>
      <c r="D117" s="97">
        <v>10650</v>
      </c>
      <c r="E117" s="97">
        <v>10970</v>
      </c>
      <c r="F117" s="130">
        <v>1730</v>
      </c>
    </row>
    <row r="118" spans="1:6" s="119" customFormat="1" ht="14.25" customHeight="1">
      <c r="A118" s="93" t="s">
        <v>273</v>
      </c>
      <c r="B118" s="97" t="s">
        <v>2447</v>
      </c>
      <c r="C118" s="97">
        <v>10080</v>
      </c>
      <c r="D118" s="97">
        <v>10050</v>
      </c>
      <c r="E118" s="97">
        <v>10350</v>
      </c>
      <c r="F118" s="130">
        <v>1920</v>
      </c>
    </row>
    <row r="119" spans="1:6" s="119" customFormat="1" ht="14.25" customHeight="1">
      <c r="A119" s="93" t="s">
        <v>273</v>
      </c>
      <c r="B119" s="97" t="s">
        <v>2457</v>
      </c>
      <c r="C119" s="97">
        <v>9450</v>
      </c>
      <c r="D119" s="97">
        <v>9410</v>
      </c>
      <c r="E119" s="97">
        <v>9680</v>
      </c>
      <c r="F119" s="130">
        <v>1880</v>
      </c>
    </row>
    <row r="120" spans="1:6" s="119" customFormat="1" ht="14.25" customHeight="1">
      <c r="A120" s="93" t="s">
        <v>273</v>
      </c>
      <c r="B120" s="97" t="s">
        <v>2467</v>
      </c>
      <c r="C120" s="97">
        <v>8730</v>
      </c>
      <c r="D120" s="97">
        <v>8700</v>
      </c>
      <c r="E120" s="97">
        <v>8950</v>
      </c>
      <c r="F120" s="130">
        <v>1830</v>
      </c>
    </row>
    <row r="121" spans="1:6" s="119" customFormat="1" ht="14.25" customHeight="1">
      <c r="A121" s="93" t="s">
        <v>273</v>
      </c>
      <c r="B121" s="97" t="s">
        <v>2477</v>
      </c>
      <c r="C121" s="97">
        <v>10070</v>
      </c>
      <c r="D121" s="97">
        <v>10040</v>
      </c>
      <c r="E121" s="97">
        <v>10270</v>
      </c>
      <c r="F121" s="130">
        <v>1960</v>
      </c>
    </row>
    <row r="122" spans="1:6" s="119" customFormat="1" ht="14.25" customHeight="1">
      <c r="A122" s="93" t="s">
        <v>273</v>
      </c>
      <c r="B122" s="97" t="s">
        <v>2487</v>
      </c>
      <c r="C122" s="97">
        <v>10500</v>
      </c>
      <c r="D122" s="97">
        <v>10470</v>
      </c>
      <c r="E122" s="97">
        <v>10780</v>
      </c>
      <c r="F122" s="130">
        <v>2180</v>
      </c>
    </row>
    <row r="123" spans="1:6" s="119" customFormat="1" ht="14.25" customHeight="1">
      <c r="A123" s="93" t="s">
        <v>273</v>
      </c>
      <c r="B123" s="97" t="s">
        <v>2497</v>
      </c>
      <c r="C123" s="97">
        <v>10390</v>
      </c>
      <c r="D123" s="97">
        <v>10360</v>
      </c>
      <c r="E123" s="97">
        <v>10660</v>
      </c>
      <c r="F123" s="130">
        <v>2040</v>
      </c>
    </row>
    <row r="124" spans="1:6" s="119" customFormat="1" ht="14.25" customHeight="1">
      <c r="A124" s="93" t="s">
        <v>273</v>
      </c>
      <c r="B124" s="97" t="s">
        <v>2507</v>
      </c>
      <c r="C124" s="97">
        <v>10390</v>
      </c>
      <c r="D124" s="97">
        <v>10360</v>
      </c>
      <c r="E124" s="97">
        <v>10680</v>
      </c>
      <c r="F124" s="133"/>
    </row>
    <row r="125" spans="1:6" s="119" customFormat="1" ht="14.25" customHeight="1">
      <c r="A125" s="93" t="s">
        <v>273</v>
      </c>
      <c r="B125" s="97" t="s">
        <v>2517</v>
      </c>
      <c r="C125" s="97">
        <v>10440</v>
      </c>
      <c r="D125" s="97">
        <v>10410</v>
      </c>
      <c r="E125" s="97">
        <v>10710</v>
      </c>
      <c r="F125" s="133"/>
    </row>
    <row r="126" spans="1:6" s="119" customFormat="1" ht="14.25" customHeight="1">
      <c r="A126" s="93" t="s">
        <v>273</v>
      </c>
      <c r="B126" s="97" t="s">
        <v>2527</v>
      </c>
      <c r="C126" s="97">
        <v>10780</v>
      </c>
      <c r="D126" s="97">
        <v>10750</v>
      </c>
      <c r="E126" s="97">
        <v>11080</v>
      </c>
      <c r="F126" s="133"/>
    </row>
    <row r="127" spans="1:6" s="119" customFormat="1" ht="14.25" customHeight="1">
      <c r="A127" s="93" t="s">
        <v>273</v>
      </c>
      <c r="B127" s="97" t="s">
        <v>2537</v>
      </c>
      <c r="C127" s="97">
        <v>10100</v>
      </c>
      <c r="D127" s="97">
        <v>10070</v>
      </c>
      <c r="E127" s="97">
        <v>10350</v>
      </c>
      <c r="F127" s="133"/>
    </row>
    <row r="128" spans="1:6" s="119" customFormat="1" ht="14.25" customHeight="1">
      <c r="A128" s="93" t="s">
        <v>273</v>
      </c>
      <c r="B128" s="97" t="s">
        <v>2547</v>
      </c>
      <c r="C128" s="97">
        <v>9200</v>
      </c>
      <c r="D128" s="97">
        <v>9160</v>
      </c>
      <c r="E128" s="97">
        <v>9660</v>
      </c>
      <c r="F128" s="133"/>
    </row>
    <row r="129" spans="1:6" s="119" customFormat="1" ht="14.25" customHeight="1">
      <c r="A129" s="93" t="s">
        <v>273</v>
      </c>
      <c r="B129" s="97" t="s">
        <v>2556</v>
      </c>
      <c r="C129" s="97">
        <v>10340</v>
      </c>
      <c r="D129" s="97">
        <v>10310</v>
      </c>
      <c r="E129" s="97">
        <v>10580</v>
      </c>
      <c r="F129" s="133"/>
    </row>
    <row r="130" spans="1:6" s="119" customFormat="1" ht="14.25" customHeight="1">
      <c r="A130" s="93" t="s">
        <v>273</v>
      </c>
      <c r="B130" s="97" t="s">
        <v>2564</v>
      </c>
      <c r="C130" s="97">
        <v>9680</v>
      </c>
      <c r="D130" s="97">
        <v>9660</v>
      </c>
      <c r="E130" s="97">
        <v>9950</v>
      </c>
      <c r="F130" s="133"/>
    </row>
    <row r="131" spans="1:6" s="119" customFormat="1" ht="14.25" customHeight="1">
      <c r="A131" s="93" t="s">
        <v>273</v>
      </c>
      <c r="B131" s="97" t="s">
        <v>2572</v>
      </c>
      <c r="C131" s="97">
        <v>9540</v>
      </c>
      <c r="D131" s="97">
        <v>9510</v>
      </c>
      <c r="E131" s="97">
        <v>9790</v>
      </c>
      <c r="F131" s="133"/>
    </row>
    <row r="132" spans="1:6" s="119" customFormat="1" ht="14.25" customHeight="1">
      <c r="A132" s="93" t="s">
        <v>273</v>
      </c>
      <c r="B132" s="97" t="s">
        <v>2579</v>
      </c>
      <c r="C132" s="97">
        <v>9320</v>
      </c>
      <c r="D132" s="97">
        <v>9290</v>
      </c>
      <c r="E132" s="97">
        <v>9570</v>
      </c>
      <c r="F132" s="133"/>
    </row>
    <row r="133" spans="1:6" s="119" customFormat="1" ht="14.25" customHeight="1">
      <c r="A133" s="93" t="s">
        <v>273</v>
      </c>
      <c r="B133" s="97" t="s">
        <v>2586</v>
      </c>
      <c r="C133" s="97">
        <v>10310</v>
      </c>
      <c r="D133" s="97">
        <v>10280</v>
      </c>
      <c r="E133" s="97">
        <v>10530</v>
      </c>
      <c r="F133" s="133"/>
    </row>
    <row r="134" spans="1:6" s="119" customFormat="1" ht="14.25" customHeight="1">
      <c r="A134" s="93" t="s">
        <v>273</v>
      </c>
      <c r="B134" s="97" t="s">
        <v>2593</v>
      </c>
      <c r="C134" s="97">
        <v>10370</v>
      </c>
      <c r="D134" s="97">
        <v>10310</v>
      </c>
      <c r="E134" s="97">
        <v>10240</v>
      </c>
      <c r="F134" s="130">
        <v>2060</v>
      </c>
    </row>
    <row r="135" spans="1:6" s="119" customFormat="1" ht="14.25" customHeight="1">
      <c r="A135" s="93" t="s">
        <v>273</v>
      </c>
      <c r="B135" s="97" t="s">
        <v>2600</v>
      </c>
      <c r="C135" s="97">
        <v>9300</v>
      </c>
      <c r="D135" s="97">
        <v>9270</v>
      </c>
      <c r="E135" s="97">
        <v>9350</v>
      </c>
      <c r="F135" s="133"/>
    </row>
    <row r="136" spans="1:6" s="119" customFormat="1" ht="14.25" customHeight="1">
      <c r="A136" s="93" t="s">
        <v>273</v>
      </c>
      <c r="B136" s="97" t="s">
        <v>2607</v>
      </c>
      <c r="C136" s="97">
        <v>10160</v>
      </c>
      <c r="D136" s="97">
        <v>10110</v>
      </c>
      <c r="E136" s="97">
        <v>10080</v>
      </c>
      <c r="F136" s="133"/>
    </row>
    <row r="137" spans="1:6" s="119" customFormat="1" ht="14.25" customHeight="1">
      <c r="A137" s="93" t="s">
        <v>273</v>
      </c>
      <c r="B137" s="97" t="s">
        <v>2612</v>
      </c>
      <c r="C137" s="97">
        <v>9200</v>
      </c>
      <c r="D137" s="97">
        <v>9170</v>
      </c>
      <c r="E137" s="97">
        <v>9450</v>
      </c>
      <c r="F137" s="133"/>
    </row>
    <row r="138" spans="1:6" s="119" customFormat="1" ht="14.25" customHeight="1">
      <c r="A138" s="93" t="s">
        <v>273</v>
      </c>
      <c r="B138" s="97" t="s">
        <v>2617</v>
      </c>
      <c r="C138" s="97">
        <v>9690</v>
      </c>
      <c r="D138" s="97">
        <v>9660</v>
      </c>
      <c r="E138" s="97">
        <v>9840</v>
      </c>
      <c r="F138" s="133"/>
    </row>
    <row r="139" spans="1:6" s="119" customFormat="1" ht="14.25" customHeight="1">
      <c r="A139" s="93" t="s">
        <v>273</v>
      </c>
      <c r="B139" s="97" t="s">
        <v>2622</v>
      </c>
      <c r="C139" s="97">
        <v>10290</v>
      </c>
      <c r="D139" s="97">
        <v>10260</v>
      </c>
      <c r="E139" s="97">
        <v>10550</v>
      </c>
      <c r="F139" s="130">
        <v>1700</v>
      </c>
    </row>
    <row r="140" spans="1:6" s="119" customFormat="1" ht="14.25" customHeight="1">
      <c r="A140" s="93" t="s">
        <v>273</v>
      </c>
      <c r="B140" s="97" t="s">
        <v>2627</v>
      </c>
      <c r="C140" s="97">
        <v>9740</v>
      </c>
      <c r="D140" s="97">
        <v>9710</v>
      </c>
      <c r="E140" s="97">
        <v>10000</v>
      </c>
      <c r="F140" s="130">
        <v>2000</v>
      </c>
    </row>
    <row r="141" spans="1:6" s="119" customFormat="1" ht="14.25" customHeight="1">
      <c r="A141" s="93" t="s">
        <v>273</v>
      </c>
      <c r="B141" s="97" t="s">
        <v>2632</v>
      </c>
      <c r="C141" s="97">
        <v>9810</v>
      </c>
      <c r="D141" s="97">
        <v>9770</v>
      </c>
      <c r="E141" s="97">
        <v>10060</v>
      </c>
      <c r="F141" s="133"/>
    </row>
    <row r="142" spans="1:6" s="119" customFormat="1" ht="14.25" customHeight="1">
      <c r="A142" s="93" t="s">
        <v>273</v>
      </c>
      <c r="B142" s="97" t="s">
        <v>2637</v>
      </c>
      <c r="C142" s="97">
        <v>9300</v>
      </c>
      <c r="D142" s="97">
        <v>9270</v>
      </c>
      <c r="E142" s="97">
        <v>9530</v>
      </c>
      <c r="F142" s="133"/>
    </row>
    <row r="143" spans="1:6" s="119" customFormat="1" ht="14.25" customHeight="1">
      <c r="A143" s="93" t="s">
        <v>273</v>
      </c>
      <c r="B143" s="97" t="s">
        <v>2642</v>
      </c>
      <c r="C143" s="97">
        <v>10080</v>
      </c>
      <c r="D143" s="97">
        <v>10050</v>
      </c>
      <c r="E143" s="97">
        <v>10340</v>
      </c>
      <c r="F143" s="133"/>
    </row>
    <row r="144" spans="1:6" s="119" customFormat="1" ht="14.25" customHeight="1">
      <c r="A144" s="93" t="s">
        <v>273</v>
      </c>
      <c r="B144" s="97" t="s">
        <v>2646</v>
      </c>
      <c r="C144" s="97">
        <v>9820</v>
      </c>
      <c r="D144" s="97">
        <v>9750</v>
      </c>
      <c r="E144" s="97">
        <v>9900</v>
      </c>
      <c r="F144" s="133"/>
    </row>
    <row r="145" spans="1:6" s="119" customFormat="1" ht="14.25" customHeight="1">
      <c r="A145" s="93" t="s">
        <v>273</v>
      </c>
      <c r="B145" s="97" t="s">
        <v>2650</v>
      </c>
      <c r="C145" s="97"/>
      <c r="D145" s="97"/>
      <c r="E145" s="97"/>
      <c r="F145" s="130">
        <v>1740</v>
      </c>
    </row>
    <row r="146" spans="1:6" s="119" customFormat="1" ht="14.25" customHeight="1">
      <c r="A146" s="93" t="s">
        <v>273</v>
      </c>
      <c r="B146" s="97" t="s">
        <v>2654</v>
      </c>
      <c r="C146" s="97"/>
      <c r="D146" s="97"/>
      <c r="E146" s="97"/>
      <c r="F146" s="130">
        <v>1740</v>
      </c>
    </row>
    <row r="147" spans="1:6" s="119" customFormat="1" ht="14.25" customHeight="1">
      <c r="A147" s="93" t="s">
        <v>273</v>
      </c>
      <c r="B147" s="97" t="s">
        <v>2658</v>
      </c>
      <c r="C147" s="97"/>
      <c r="D147" s="97"/>
      <c r="E147" s="97"/>
      <c r="F147" s="130">
        <v>1740</v>
      </c>
    </row>
    <row r="148" spans="1:6" s="119" customFormat="1" ht="14.25" customHeight="1">
      <c r="A148" s="93" t="s">
        <v>273</v>
      </c>
      <c r="B148" s="97" t="s">
        <v>2662</v>
      </c>
      <c r="C148" s="97"/>
      <c r="D148" s="97"/>
      <c r="E148" s="97"/>
      <c r="F148" s="130">
        <v>1740</v>
      </c>
    </row>
    <row r="149" spans="1:6" s="119" customFormat="1" ht="14.25" customHeight="1">
      <c r="A149" s="93" t="s">
        <v>273</v>
      </c>
      <c r="B149" s="97" t="s">
        <v>2666</v>
      </c>
      <c r="C149" s="97"/>
      <c r="D149" s="97"/>
      <c r="E149" s="97"/>
      <c r="F149" s="130">
        <v>1740</v>
      </c>
    </row>
    <row r="150" spans="1:6" s="119" customFormat="1" ht="14.25" customHeight="1">
      <c r="A150" s="93" t="s">
        <v>273</v>
      </c>
      <c r="B150" s="97" t="s">
        <v>2669</v>
      </c>
      <c r="C150" s="97"/>
      <c r="D150" s="97"/>
      <c r="E150" s="97"/>
      <c r="F150" s="130">
        <v>1610</v>
      </c>
    </row>
    <row r="151" spans="1:6" s="119" customFormat="1" ht="14.25" customHeight="1">
      <c r="A151" s="93" t="s">
        <v>273</v>
      </c>
      <c r="B151" s="97" t="s">
        <v>2672</v>
      </c>
      <c r="C151" s="97"/>
      <c r="D151" s="97"/>
      <c r="E151" s="97"/>
      <c r="F151" s="130">
        <v>1610</v>
      </c>
    </row>
    <row r="152" spans="1:6" s="119" customFormat="1" ht="14.25" customHeight="1">
      <c r="A152" s="93" t="s">
        <v>273</v>
      </c>
      <c r="B152" s="97" t="s">
        <v>2675</v>
      </c>
      <c r="C152" s="97"/>
      <c r="D152" s="97"/>
      <c r="E152" s="97"/>
      <c r="F152" s="130">
        <v>1610</v>
      </c>
    </row>
    <row r="153" spans="1:6" s="119" customFormat="1" ht="14.25" customHeight="1">
      <c r="A153" s="93" t="s">
        <v>273</v>
      </c>
      <c r="B153" s="97" t="s">
        <v>2678</v>
      </c>
      <c r="C153" s="97"/>
      <c r="D153" s="97"/>
      <c r="E153" s="97"/>
      <c r="F153" s="130">
        <v>1610</v>
      </c>
    </row>
    <row r="154" spans="1:6" s="119" customFormat="1" ht="14.25" customHeight="1">
      <c r="A154" s="93" t="s">
        <v>273</v>
      </c>
      <c r="B154" s="97" t="s">
        <v>2681</v>
      </c>
      <c r="C154" s="97"/>
      <c r="D154" s="97"/>
      <c r="E154" s="97"/>
      <c r="F154" s="130">
        <v>1610</v>
      </c>
    </row>
    <row r="155" spans="1:6" s="119" customFormat="1" ht="14.25" customHeight="1">
      <c r="A155" s="93" t="s">
        <v>273</v>
      </c>
      <c r="B155" s="97" t="s">
        <v>2684</v>
      </c>
      <c r="C155" s="97"/>
      <c r="D155" s="97"/>
      <c r="E155" s="97"/>
      <c r="F155" s="130">
        <v>1800</v>
      </c>
    </row>
    <row r="156" spans="1:6" s="119" customFormat="1" ht="14.25" customHeight="1">
      <c r="A156" s="93" t="s">
        <v>273</v>
      </c>
      <c r="B156" s="97" t="s">
        <v>2686</v>
      </c>
      <c r="C156" s="97"/>
      <c r="D156" s="97"/>
      <c r="E156" s="97"/>
      <c r="F156" s="130">
        <v>1910</v>
      </c>
    </row>
    <row r="157" spans="1:6" s="119" customFormat="1" ht="14.25" customHeight="1">
      <c r="A157" s="93" t="s">
        <v>273</v>
      </c>
      <c r="B157" s="108" t="s">
        <v>2688</v>
      </c>
      <c r="C157" s="108"/>
      <c r="D157" s="108"/>
      <c r="E157" s="108"/>
      <c r="F157" s="132">
        <v>1500</v>
      </c>
    </row>
    <row r="158" spans="1:6" s="119" customFormat="1" ht="14.25" customHeight="1">
      <c r="A158" s="93" t="s">
        <v>278</v>
      </c>
      <c r="B158" s="94" t="s">
        <v>2355</v>
      </c>
      <c r="C158" s="94">
        <v>8170</v>
      </c>
      <c r="D158" s="94">
        <v>8140</v>
      </c>
      <c r="E158" s="94">
        <v>8590</v>
      </c>
      <c r="F158" s="127">
        <v>1450</v>
      </c>
    </row>
    <row r="159" spans="1:6" s="119" customFormat="1" ht="14.25" customHeight="1">
      <c r="A159" s="93" t="s">
        <v>278</v>
      </c>
      <c r="B159" s="97" t="s">
        <v>2368</v>
      </c>
      <c r="C159" s="97">
        <v>7410</v>
      </c>
      <c r="D159" s="97">
        <v>7370</v>
      </c>
      <c r="E159" s="97">
        <v>8030</v>
      </c>
      <c r="F159" s="130">
        <v>1510</v>
      </c>
    </row>
    <row r="160" spans="1:6" s="119" customFormat="1" ht="14.25" customHeight="1">
      <c r="A160" s="93" t="s">
        <v>278</v>
      </c>
      <c r="B160" s="97" t="s">
        <v>2381</v>
      </c>
      <c r="C160" s="97">
        <v>7240</v>
      </c>
      <c r="D160" s="97">
        <v>7210</v>
      </c>
      <c r="E160" s="97">
        <v>7860</v>
      </c>
      <c r="F160" s="130">
        <v>1370</v>
      </c>
    </row>
    <row r="161" spans="1:6" s="119" customFormat="1" ht="14.25" customHeight="1">
      <c r="A161" s="93" t="s">
        <v>278</v>
      </c>
      <c r="B161" s="97" t="s">
        <v>2393</v>
      </c>
      <c r="C161" s="97">
        <v>7720</v>
      </c>
      <c r="D161" s="97">
        <v>7690</v>
      </c>
      <c r="E161" s="97">
        <v>8200</v>
      </c>
      <c r="F161" s="130">
        <v>1190</v>
      </c>
    </row>
    <row r="162" spans="1:6" s="119" customFormat="1" ht="14.25" customHeight="1">
      <c r="A162" s="93" t="s">
        <v>278</v>
      </c>
      <c r="B162" s="97" t="s">
        <v>2405</v>
      </c>
      <c r="C162" s="97">
        <v>6900</v>
      </c>
      <c r="D162" s="97">
        <v>6870</v>
      </c>
      <c r="E162" s="97">
        <v>7500</v>
      </c>
      <c r="F162" s="130">
        <v>1390</v>
      </c>
    </row>
    <row r="163" spans="1:6" s="119" customFormat="1" ht="14.25" customHeight="1">
      <c r="A163" s="93" t="s">
        <v>278</v>
      </c>
      <c r="B163" s="97" t="s">
        <v>2416</v>
      </c>
      <c r="C163" s="97">
        <v>7120</v>
      </c>
      <c r="D163" s="97">
        <v>7090</v>
      </c>
      <c r="E163" s="97">
        <v>7690</v>
      </c>
      <c r="F163" s="130">
        <v>1230</v>
      </c>
    </row>
    <row r="164" spans="1:6" s="119" customFormat="1" ht="14.25" customHeight="1">
      <c r="A164" s="93" t="s">
        <v>278</v>
      </c>
      <c r="B164" s="97" t="s">
        <v>2427</v>
      </c>
      <c r="C164" s="97">
        <v>6560</v>
      </c>
      <c r="D164" s="97">
        <v>6530</v>
      </c>
      <c r="E164" s="97">
        <v>7110</v>
      </c>
      <c r="F164" s="130">
        <v>1340</v>
      </c>
    </row>
    <row r="165" spans="1:6" s="119" customFormat="1" ht="14.25" customHeight="1">
      <c r="A165" s="93" t="s">
        <v>278</v>
      </c>
      <c r="B165" s="97" t="s">
        <v>2438</v>
      </c>
      <c r="C165" s="97">
        <v>7450</v>
      </c>
      <c r="D165" s="97">
        <v>7430</v>
      </c>
      <c r="E165" s="97">
        <v>8110</v>
      </c>
      <c r="F165" s="130">
        <v>1290</v>
      </c>
    </row>
    <row r="166" spans="1:6" s="119" customFormat="1" ht="14.25" customHeight="1">
      <c r="A166" s="93" t="s">
        <v>278</v>
      </c>
      <c r="B166" s="97" t="s">
        <v>2448</v>
      </c>
      <c r="C166" s="97">
        <v>7490</v>
      </c>
      <c r="D166" s="97">
        <v>7460</v>
      </c>
      <c r="E166" s="97">
        <v>8150</v>
      </c>
      <c r="F166" s="130">
        <v>1350</v>
      </c>
    </row>
    <row r="167" spans="1:6" s="119" customFormat="1" ht="14.25" customHeight="1">
      <c r="A167" s="93" t="s">
        <v>278</v>
      </c>
      <c r="B167" s="97" t="s">
        <v>2458</v>
      </c>
      <c r="C167" s="97">
        <v>7540</v>
      </c>
      <c r="D167" s="97">
        <v>7510</v>
      </c>
      <c r="E167" s="97">
        <v>8030</v>
      </c>
      <c r="F167" s="133"/>
    </row>
    <row r="168" spans="1:6" s="119" customFormat="1" ht="14.25" customHeight="1">
      <c r="A168" s="93" t="s">
        <v>278</v>
      </c>
      <c r="B168" s="97" t="s">
        <v>2468</v>
      </c>
      <c r="C168" s="97">
        <v>7210</v>
      </c>
      <c r="D168" s="97">
        <v>7180</v>
      </c>
      <c r="E168" s="97">
        <v>7830</v>
      </c>
      <c r="F168" s="133"/>
    </row>
    <row r="169" spans="1:6" s="119" customFormat="1" ht="14.25" customHeight="1">
      <c r="A169" s="93" t="s">
        <v>278</v>
      </c>
      <c r="B169" s="97" t="s">
        <v>2478</v>
      </c>
      <c r="C169" s="97">
        <v>7040</v>
      </c>
      <c r="D169" s="97">
        <v>7020</v>
      </c>
      <c r="E169" s="97">
        <v>7670</v>
      </c>
      <c r="F169" s="133"/>
    </row>
    <row r="170" spans="1:6" s="119" customFormat="1" ht="14.25" customHeight="1">
      <c r="A170" s="93" t="s">
        <v>278</v>
      </c>
      <c r="B170" s="97" t="s">
        <v>2488</v>
      </c>
      <c r="C170" s="97">
        <v>8040</v>
      </c>
      <c r="D170" s="97">
        <v>7190</v>
      </c>
      <c r="E170" s="97">
        <v>7850</v>
      </c>
      <c r="F170" s="133"/>
    </row>
    <row r="171" spans="1:6" s="119" customFormat="1" ht="14.25" customHeight="1">
      <c r="A171" s="93" t="s">
        <v>278</v>
      </c>
      <c r="B171" s="97" t="s">
        <v>2498</v>
      </c>
      <c r="C171" s="97">
        <v>7860</v>
      </c>
      <c r="D171" s="97">
        <v>7720</v>
      </c>
      <c r="E171" s="97">
        <v>8150</v>
      </c>
      <c r="F171" s="130">
        <v>1110</v>
      </c>
    </row>
    <row r="172" spans="1:6" s="119" customFormat="1" ht="14.25" customHeight="1">
      <c r="A172" s="93" t="s">
        <v>278</v>
      </c>
      <c r="B172" s="97" t="s">
        <v>2508</v>
      </c>
      <c r="C172" s="97">
        <v>7210</v>
      </c>
      <c r="D172" s="97">
        <v>7170</v>
      </c>
      <c r="E172" s="97">
        <v>7320</v>
      </c>
      <c r="F172" s="133"/>
    </row>
    <row r="173" spans="1:6" s="119" customFormat="1" ht="14.25" customHeight="1">
      <c r="A173" s="93" t="s">
        <v>278</v>
      </c>
      <c r="B173" s="97" t="s">
        <v>2518</v>
      </c>
      <c r="C173" s="97">
        <v>6860</v>
      </c>
      <c r="D173" s="97">
        <v>6810</v>
      </c>
      <c r="E173" s="97">
        <v>7440</v>
      </c>
      <c r="F173" s="133"/>
    </row>
    <row r="174" spans="1:6" s="119" customFormat="1" ht="14.25" customHeight="1">
      <c r="A174" s="93" t="s">
        <v>278</v>
      </c>
      <c r="B174" s="97" t="s">
        <v>2528</v>
      </c>
      <c r="C174" s="97">
        <v>7120</v>
      </c>
      <c r="D174" s="97">
        <v>7090</v>
      </c>
      <c r="E174" s="97">
        <v>7500</v>
      </c>
      <c r="F174" s="130">
        <v>1490</v>
      </c>
    </row>
    <row r="175" spans="1:6" s="119" customFormat="1" ht="14.25" customHeight="1">
      <c r="A175" s="93" t="s">
        <v>278</v>
      </c>
      <c r="B175" s="97" t="s">
        <v>2538</v>
      </c>
      <c r="C175" s="97">
        <v>7850</v>
      </c>
      <c r="D175" s="97">
        <v>7820</v>
      </c>
      <c r="E175" s="97">
        <v>8120</v>
      </c>
      <c r="F175" s="130">
        <v>1530</v>
      </c>
    </row>
    <row r="176" spans="1:6" s="119" customFormat="1" ht="14.25" customHeight="1">
      <c r="A176" s="93" t="s">
        <v>278</v>
      </c>
      <c r="B176" s="97" t="s">
        <v>2548</v>
      </c>
      <c r="C176" s="97">
        <v>7620</v>
      </c>
      <c r="D176" s="97">
        <v>7570</v>
      </c>
      <c r="E176" s="97">
        <v>7990</v>
      </c>
      <c r="F176" s="130">
        <v>1480</v>
      </c>
    </row>
    <row r="177" spans="1:6" s="119" customFormat="1" ht="14.25" customHeight="1">
      <c r="A177" s="93" t="s">
        <v>278</v>
      </c>
      <c r="B177" s="97" t="s">
        <v>2557</v>
      </c>
      <c r="C177" s="97">
        <v>8590</v>
      </c>
      <c r="D177" s="97">
        <v>8570</v>
      </c>
      <c r="E177" s="97">
        <v>8740</v>
      </c>
      <c r="F177" s="130">
        <v>1540</v>
      </c>
    </row>
    <row r="178" spans="1:6" s="119" customFormat="1" ht="14.25" customHeight="1">
      <c r="A178" s="93" t="s">
        <v>278</v>
      </c>
      <c r="B178" s="97" t="s">
        <v>2565</v>
      </c>
      <c r="C178" s="97">
        <v>7510</v>
      </c>
      <c r="D178" s="97">
        <v>7470</v>
      </c>
      <c r="E178" s="97">
        <v>8090</v>
      </c>
      <c r="F178" s="130">
        <v>1320</v>
      </c>
    </row>
    <row r="179" spans="1:6" s="119" customFormat="1" ht="14.25" customHeight="1">
      <c r="A179" s="93" t="s">
        <v>278</v>
      </c>
      <c r="B179" s="97" t="s">
        <v>2573</v>
      </c>
      <c r="C179" s="97">
        <v>6380</v>
      </c>
      <c r="D179" s="97">
        <v>6340</v>
      </c>
      <c r="E179" s="97">
        <v>6810</v>
      </c>
      <c r="F179" s="133"/>
    </row>
    <row r="180" spans="1:6" s="119" customFormat="1" ht="14.25" customHeight="1">
      <c r="A180" s="93" t="s">
        <v>278</v>
      </c>
      <c r="B180" s="97" t="s">
        <v>2580</v>
      </c>
      <c r="C180" s="97">
        <v>7830</v>
      </c>
      <c r="D180" s="97">
        <v>7800</v>
      </c>
      <c r="E180" s="97">
        <v>7780</v>
      </c>
      <c r="F180" s="130">
        <v>1440</v>
      </c>
    </row>
    <row r="181" spans="1:6" s="119" customFormat="1" ht="14.25" customHeight="1">
      <c r="A181" s="93" t="s">
        <v>278</v>
      </c>
      <c r="B181" s="97" t="s">
        <v>2587</v>
      </c>
      <c r="C181" s="97">
        <v>7110</v>
      </c>
      <c r="D181" s="97">
        <v>7080</v>
      </c>
      <c r="E181" s="97">
        <v>7730</v>
      </c>
      <c r="F181" s="130">
        <v>1350</v>
      </c>
    </row>
    <row r="182" spans="1:6" s="119" customFormat="1" ht="14.25" customHeight="1">
      <c r="A182" s="93" t="s">
        <v>278</v>
      </c>
      <c r="B182" s="97" t="s">
        <v>2594</v>
      </c>
      <c r="C182" s="97">
        <v>7310</v>
      </c>
      <c r="D182" s="97">
        <v>7280</v>
      </c>
      <c r="E182" s="97">
        <v>7950</v>
      </c>
      <c r="F182" s="130">
        <v>1220</v>
      </c>
    </row>
    <row r="183" spans="1:6" s="119" customFormat="1" ht="14.25" customHeight="1">
      <c r="A183" s="93" t="s">
        <v>278</v>
      </c>
      <c r="B183" s="97" t="s">
        <v>2601</v>
      </c>
      <c r="C183" s="97">
        <v>7470</v>
      </c>
      <c r="D183" s="97">
        <v>7440</v>
      </c>
      <c r="E183" s="97">
        <v>7880</v>
      </c>
      <c r="F183" s="133"/>
    </row>
    <row r="184" spans="1:6" s="119" customFormat="1" ht="14.25" customHeight="1">
      <c r="A184" s="93" t="s">
        <v>278</v>
      </c>
      <c r="B184" s="97" t="s">
        <v>2608</v>
      </c>
      <c r="C184" s="97">
        <v>6960</v>
      </c>
      <c r="D184" s="97">
        <v>6930</v>
      </c>
      <c r="E184" s="97">
        <v>7570</v>
      </c>
      <c r="F184" s="133"/>
    </row>
    <row r="185" spans="1:6" s="119" customFormat="1" ht="14.25" customHeight="1">
      <c r="A185" s="93" t="s">
        <v>278</v>
      </c>
      <c r="B185" s="97" t="s">
        <v>2613</v>
      </c>
      <c r="C185" s="97">
        <v>7260</v>
      </c>
      <c r="D185" s="97">
        <v>7230</v>
      </c>
      <c r="E185" s="97">
        <v>7710</v>
      </c>
      <c r="F185" s="130">
        <v>1360</v>
      </c>
    </row>
    <row r="186" spans="1:6" s="119" customFormat="1" ht="14.25" customHeight="1">
      <c r="A186" s="93" t="s">
        <v>278</v>
      </c>
      <c r="B186" s="97" t="s">
        <v>2618</v>
      </c>
      <c r="C186" s="97"/>
      <c r="D186" s="97"/>
      <c r="E186" s="97"/>
      <c r="F186" s="130">
        <v>1560</v>
      </c>
    </row>
    <row r="187" spans="1:6" s="119" customFormat="1" ht="14.25" customHeight="1">
      <c r="A187" s="93" t="s">
        <v>278</v>
      </c>
      <c r="B187" s="97" t="s">
        <v>2623</v>
      </c>
      <c r="C187" s="97"/>
      <c r="D187" s="97"/>
      <c r="E187" s="97"/>
      <c r="F187" s="130">
        <v>1560</v>
      </c>
    </row>
    <row r="188" spans="1:6" s="119" customFormat="1" ht="14.25" customHeight="1">
      <c r="A188" s="93" t="s">
        <v>278</v>
      </c>
      <c r="B188" s="97" t="s">
        <v>2628</v>
      </c>
      <c r="C188" s="97"/>
      <c r="D188" s="97"/>
      <c r="E188" s="97"/>
      <c r="F188" s="130">
        <v>1560</v>
      </c>
    </row>
    <row r="189" spans="1:6" s="119" customFormat="1" ht="14.25" customHeight="1">
      <c r="A189" s="93" t="s">
        <v>278</v>
      </c>
      <c r="B189" s="97" t="s">
        <v>2633</v>
      </c>
      <c r="C189" s="97"/>
      <c r="D189" s="97"/>
      <c r="E189" s="97"/>
      <c r="F189" s="130">
        <v>1320</v>
      </c>
    </row>
    <row r="190" spans="1:6" s="119" customFormat="1" ht="14.25" customHeight="1">
      <c r="A190" s="93" t="s">
        <v>278</v>
      </c>
      <c r="B190" s="97" t="s">
        <v>2638</v>
      </c>
      <c r="C190" s="97"/>
      <c r="D190" s="97"/>
      <c r="E190" s="97"/>
      <c r="F190" s="130">
        <v>1320</v>
      </c>
    </row>
    <row r="191" spans="1:6" s="119" customFormat="1" ht="14.25" customHeight="1">
      <c r="A191" s="93" t="s">
        <v>278</v>
      </c>
      <c r="B191" s="97" t="s">
        <v>2643</v>
      </c>
      <c r="C191" s="97"/>
      <c r="D191" s="97"/>
      <c r="E191" s="97"/>
      <c r="F191" s="130">
        <v>1320</v>
      </c>
    </row>
    <row r="192" spans="1:6" s="119" customFormat="1" ht="14.25" customHeight="1">
      <c r="A192" s="93" t="s">
        <v>278</v>
      </c>
      <c r="B192" s="97" t="s">
        <v>2647</v>
      </c>
      <c r="C192" s="97"/>
      <c r="D192" s="97"/>
      <c r="E192" s="97"/>
      <c r="F192" s="130">
        <v>1100</v>
      </c>
    </row>
    <row r="193" spans="1:6" s="119" customFormat="1" ht="14.25" customHeight="1">
      <c r="A193" s="93" t="s">
        <v>278</v>
      </c>
      <c r="B193" s="97" t="s">
        <v>2651</v>
      </c>
      <c r="C193" s="97"/>
      <c r="D193" s="97"/>
      <c r="E193" s="97"/>
      <c r="F193" s="130">
        <v>1100</v>
      </c>
    </row>
    <row r="194" spans="1:6" s="119" customFormat="1" ht="14.25" customHeight="1">
      <c r="A194" s="93" t="s">
        <v>278</v>
      </c>
      <c r="B194" s="97" t="s">
        <v>2655</v>
      </c>
      <c r="C194" s="97"/>
      <c r="D194" s="97"/>
      <c r="E194" s="97"/>
      <c r="F194" s="130">
        <v>1080</v>
      </c>
    </row>
    <row r="195" spans="1:6" s="119" customFormat="1" ht="14.25" customHeight="1">
      <c r="A195" s="93" t="s">
        <v>278</v>
      </c>
      <c r="B195" s="97" t="s">
        <v>2659</v>
      </c>
      <c r="C195" s="97"/>
      <c r="D195" s="97"/>
      <c r="E195" s="97"/>
      <c r="F195" s="130">
        <v>1270</v>
      </c>
    </row>
    <row r="196" spans="1:6" s="119" customFormat="1" ht="14.25" customHeight="1">
      <c r="A196" s="93" t="s">
        <v>278</v>
      </c>
      <c r="B196" s="97" t="s">
        <v>2663</v>
      </c>
      <c r="C196" s="97"/>
      <c r="D196" s="97"/>
      <c r="E196" s="97"/>
      <c r="F196" s="130">
        <v>1150</v>
      </c>
    </row>
    <row r="197" spans="1:6" s="119" customFormat="1" ht="14.25" customHeight="1">
      <c r="A197" s="93" t="s">
        <v>278</v>
      </c>
      <c r="B197" s="97" t="s">
        <v>2667</v>
      </c>
      <c r="C197" s="97"/>
      <c r="D197" s="97"/>
      <c r="E197" s="97"/>
      <c r="F197" s="130">
        <v>1330</v>
      </c>
    </row>
    <row r="198" spans="1:6" s="119" customFormat="1" ht="14.25" customHeight="1">
      <c r="A198" s="93" t="s">
        <v>278</v>
      </c>
      <c r="B198" s="97" t="s">
        <v>2670</v>
      </c>
      <c r="C198" s="97"/>
      <c r="D198" s="97"/>
      <c r="E198" s="97"/>
      <c r="F198" s="130">
        <v>1170</v>
      </c>
    </row>
    <row r="199" spans="1:6" s="119" customFormat="1" ht="14.25" customHeight="1">
      <c r="A199" s="93" t="s">
        <v>278</v>
      </c>
      <c r="B199" s="97" t="s">
        <v>2673</v>
      </c>
      <c r="C199" s="97"/>
      <c r="D199" s="97"/>
      <c r="E199" s="97"/>
      <c r="F199" s="130">
        <v>1120</v>
      </c>
    </row>
    <row r="200" spans="1:6" s="119" customFormat="1" ht="14.25" customHeight="1">
      <c r="A200" s="93" t="s">
        <v>278</v>
      </c>
      <c r="B200" s="97" t="s">
        <v>2676</v>
      </c>
      <c r="C200" s="97"/>
      <c r="D200" s="97"/>
      <c r="E200" s="97"/>
      <c r="F200" s="130">
        <v>1120</v>
      </c>
    </row>
    <row r="201" spans="1:6" s="119" customFormat="1" ht="14.25" customHeight="1">
      <c r="A201" s="93" t="s">
        <v>278</v>
      </c>
      <c r="B201" s="97" t="s">
        <v>2679</v>
      </c>
      <c r="C201" s="97"/>
      <c r="D201" s="97"/>
      <c r="E201" s="97"/>
      <c r="F201" s="130">
        <v>1540</v>
      </c>
    </row>
    <row r="202" spans="1:6" s="119" customFormat="1" ht="14.25" customHeight="1">
      <c r="A202" s="93" t="s">
        <v>278</v>
      </c>
      <c r="B202" s="97" t="s">
        <v>2682</v>
      </c>
      <c r="C202" s="97"/>
      <c r="D202" s="97"/>
      <c r="E202" s="97"/>
      <c r="F202" s="130">
        <v>1310</v>
      </c>
    </row>
    <row r="203" spans="1:6" s="119" customFormat="1" ht="14.25" customHeight="1">
      <c r="A203" s="93" t="s">
        <v>278</v>
      </c>
      <c r="B203" s="97" t="s">
        <v>2685</v>
      </c>
      <c r="C203" s="97"/>
      <c r="D203" s="97"/>
      <c r="E203" s="97"/>
      <c r="F203" s="130">
        <v>1310</v>
      </c>
    </row>
    <row r="204" spans="1:6" s="119" customFormat="1" ht="14.25" customHeight="1">
      <c r="A204" s="93" t="s">
        <v>278</v>
      </c>
      <c r="B204" s="97" t="s">
        <v>2687</v>
      </c>
      <c r="C204" s="97"/>
      <c r="D204" s="97"/>
      <c r="E204" s="97"/>
      <c r="F204" s="130">
        <v>1080</v>
      </c>
    </row>
    <row r="205" spans="1:6" s="119" customFormat="1" ht="14.25" customHeight="1">
      <c r="A205" s="93" t="s">
        <v>278</v>
      </c>
      <c r="B205" s="97" t="s">
        <v>2689</v>
      </c>
      <c r="C205" s="97"/>
      <c r="D205" s="97"/>
      <c r="E205" s="97"/>
      <c r="F205" s="130">
        <v>1080</v>
      </c>
    </row>
    <row r="206" spans="1:6" s="119" customFormat="1" ht="14.25" customHeight="1">
      <c r="A206" s="93" t="s">
        <v>283</v>
      </c>
      <c r="B206" s="94" t="s">
        <v>2356</v>
      </c>
      <c r="C206" s="94">
        <v>5450</v>
      </c>
      <c r="D206" s="94">
        <v>5430</v>
      </c>
      <c r="E206" s="94">
        <v>5700</v>
      </c>
      <c r="F206" s="127">
        <v>1020</v>
      </c>
    </row>
    <row r="207" spans="1:6" s="119" customFormat="1" ht="14.25" customHeight="1">
      <c r="A207" s="93" t="s">
        <v>283</v>
      </c>
      <c r="B207" s="97" t="s">
        <v>2369</v>
      </c>
      <c r="C207" s="97">
        <v>5860</v>
      </c>
      <c r="D207" s="97">
        <v>5820</v>
      </c>
      <c r="E207" s="97">
        <v>6050</v>
      </c>
      <c r="F207" s="130">
        <v>1080</v>
      </c>
    </row>
    <row r="208" spans="1:6" s="119" customFormat="1" ht="14.25" customHeight="1">
      <c r="A208" s="93" t="s">
        <v>283</v>
      </c>
      <c r="B208" s="97" t="s">
        <v>2382</v>
      </c>
      <c r="C208" s="97">
        <v>4630</v>
      </c>
      <c r="D208" s="97">
        <v>4600</v>
      </c>
      <c r="E208" s="97">
        <v>4840</v>
      </c>
      <c r="F208" s="130">
        <v>900</v>
      </c>
    </row>
    <row r="209" spans="1:6" s="119" customFormat="1" ht="14.25" customHeight="1">
      <c r="A209" s="93" t="s">
        <v>283</v>
      </c>
      <c r="B209" s="97" t="s">
        <v>2394</v>
      </c>
      <c r="C209" s="97">
        <v>5320</v>
      </c>
      <c r="D209" s="97">
        <v>5270</v>
      </c>
      <c r="E209" s="97">
        <v>5540</v>
      </c>
      <c r="F209" s="130">
        <v>980</v>
      </c>
    </row>
    <row r="210" spans="1:6" s="119" customFormat="1" ht="14.25" customHeight="1">
      <c r="A210" s="93" t="s">
        <v>283</v>
      </c>
      <c r="B210" s="97" t="s">
        <v>2406</v>
      </c>
      <c r="C210" s="97">
        <v>5760</v>
      </c>
      <c r="D210" s="97">
        <v>5710</v>
      </c>
      <c r="E210" s="97">
        <v>6010</v>
      </c>
      <c r="F210" s="130">
        <v>870</v>
      </c>
    </row>
    <row r="211" spans="1:6" s="119" customFormat="1" ht="14.25" customHeight="1">
      <c r="A211" s="93" t="s">
        <v>283</v>
      </c>
      <c r="B211" s="97" t="s">
        <v>2417</v>
      </c>
      <c r="C211" s="97">
        <v>4160</v>
      </c>
      <c r="D211" s="97">
        <v>4100</v>
      </c>
      <c r="E211" s="97">
        <v>4270</v>
      </c>
      <c r="F211" s="130">
        <v>790</v>
      </c>
    </row>
    <row r="212" spans="1:6" s="119" customFormat="1" ht="14.25" customHeight="1">
      <c r="A212" s="93" t="s">
        <v>283</v>
      </c>
      <c r="B212" s="97" t="s">
        <v>2428</v>
      </c>
      <c r="C212" s="97">
        <v>4880</v>
      </c>
      <c r="D212" s="97">
        <v>4850</v>
      </c>
      <c r="E212" s="97">
        <v>5110</v>
      </c>
      <c r="F212" s="130">
        <v>940</v>
      </c>
    </row>
    <row r="213" spans="1:6" s="119" customFormat="1" ht="14.25" customHeight="1">
      <c r="A213" s="93" t="s">
        <v>283</v>
      </c>
      <c r="B213" s="97" t="s">
        <v>2439</v>
      </c>
      <c r="C213" s="97">
        <v>4640</v>
      </c>
      <c r="D213" s="97">
        <v>4590</v>
      </c>
      <c r="E213" s="97">
        <v>4700</v>
      </c>
      <c r="F213" s="130">
        <v>1030</v>
      </c>
    </row>
    <row r="214" spans="1:6" s="119" customFormat="1" ht="14.25" customHeight="1">
      <c r="A214" s="93" t="s">
        <v>283</v>
      </c>
      <c r="B214" s="97" t="s">
        <v>2449</v>
      </c>
      <c r="C214" s="97">
        <v>4540</v>
      </c>
      <c r="D214" s="97">
        <v>4490</v>
      </c>
      <c r="E214" s="97">
        <v>4610</v>
      </c>
      <c r="F214" s="133"/>
    </row>
    <row r="215" spans="1:6" s="119" customFormat="1" ht="14.25" customHeight="1">
      <c r="A215" s="93" t="s">
        <v>283</v>
      </c>
      <c r="B215" s="97" t="s">
        <v>2459</v>
      </c>
      <c r="C215" s="97">
        <v>5280</v>
      </c>
      <c r="D215" s="97">
        <v>5250</v>
      </c>
      <c r="E215" s="97">
        <v>5520</v>
      </c>
      <c r="F215" s="130">
        <v>1000</v>
      </c>
    </row>
    <row r="216" spans="1:6" s="119" customFormat="1" ht="14.25" customHeight="1">
      <c r="A216" s="93" t="s">
        <v>283</v>
      </c>
      <c r="B216" s="97" t="s">
        <v>2469</v>
      </c>
      <c r="C216" s="97">
        <v>5100</v>
      </c>
      <c r="D216" s="97">
        <v>5050</v>
      </c>
      <c r="E216" s="97">
        <v>5300</v>
      </c>
      <c r="F216" s="130">
        <v>950</v>
      </c>
    </row>
    <row r="217" spans="1:6" s="119" customFormat="1" ht="14.25" customHeight="1">
      <c r="A217" s="93" t="s">
        <v>283</v>
      </c>
      <c r="B217" s="97" t="s">
        <v>2479</v>
      </c>
      <c r="C217" s="97">
        <v>5370</v>
      </c>
      <c r="D217" s="97">
        <v>5320</v>
      </c>
      <c r="E217" s="97">
        <v>5410</v>
      </c>
      <c r="F217" s="130">
        <v>950</v>
      </c>
    </row>
    <row r="218" spans="1:6" s="119" customFormat="1" ht="14.25" customHeight="1">
      <c r="A218" s="93" t="s">
        <v>283</v>
      </c>
      <c r="B218" s="97" t="s">
        <v>2489</v>
      </c>
      <c r="C218" s="97">
        <v>5540</v>
      </c>
      <c r="D218" s="97">
        <v>5480</v>
      </c>
      <c r="E218" s="97">
        <v>5740</v>
      </c>
      <c r="F218" s="130">
        <v>1020</v>
      </c>
    </row>
    <row r="219" spans="1:6" s="119" customFormat="1" ht="14.25" customHeight="1">
      <c r="A219" s="93" t="s">
        <v>283</v>
      </c>
      <c r="B219" s="97" t="s">
        <v>2499</v>
      </c>
      <c r="C219" s="97">
        <v>5140</v>
      </c>
      <c r="D219" s="97">
        <v>5100</v>
      </c>
      <c r="E219" s="97">
        <v>5350</v>
      </c>
      <c r="F219" s="130">
        <v>1120</v>
      </c>
    </row>
    <row r="220" spans="1:6" s="119" customFormat="1" ht="14.25" customHeight="1">
      <c r="A220" s="93" t="s">
        <v>283</v>
      </c>
      <c r="B220" s="97" t="s">
        <v>2509</v>
      </c>
      <c r="C220" s="97">
        <v>5040</v>
      </c>
      <c r="D220" s="97">
        <v>5000</v>
      </c>
      <c r="E220" s="97">
        <v>5240</v>
      </c>
      <c r="F220" s="130">
        <v>980</v>
      </c>
    </row>
    <row r="221" spans="1:6" s="119" customFormat="1" ht="14.25" customHeight="1">
      <c r="A221" s="93" t="s">
        <v>283</v>
      </c>
      <c r="B221" s="97" t="s">
        <v>2519</v>
      </c>
      <c r="C221" s="136"/>
      <c r="D221" s="136"/>
      <c r="E221" s="136"/>
      <c r="F221" s="130">
        <v>1070</v>
      </c>
    </row>
    <row r="222" spans="1:6" s="119" customFormat="1" ht="14.25" customHeight="1">
      <c r="A222" s="93" t="s">
        <v>283</v>
      </c>
      <c r="B222" s="97" t="s">
        <v>2529</v>
      </c>
      <c r="C222" s="136"/>
      <c r="D222" s="136"/>
      <c r="E222" s="136"/>
      <c r="F222" s="130">
        <v>870</v>
      </c>
    </row>
    <row r="223" spans="1:6" s="119" customFormat="1" ht="14.25" customHeight="1">
      <c r="A223" s="93" t="s">
        <v>283</v>
      </c>
      <c r="B223" s="97" t="s">
        <v>2539</v>
      </c>
      <c r="C223" s="136"/>
      <c r="D223" s="136"/>
      <c r="E223" s="136"/>
      <c r="F223" s="130">
        <v>940</v>
      </c>
    </row>
    <row r="224" spans="1:6" s="119" customFormat="1" ht="14.25" customHeight="1">
      <c r="A224" s="93" t="s">
        <v>283</v>
      </c>
      <c r="B224" s="97" t="s">
        <v>2549</v>
      </c>
      <c r="C224" s="136"/>
      <c r="D224" s="136"/>
      <c r="E224" s="136"/>
      <c r="F224" s="130">
        <v>990</v>
      </c>
    </row>
    <row r="225" spans="1:6" s="119" customFormat="1" ht="14.25" customHeight="1">
      <c r="A225" s="93" t="s">
        <v>283</v>
      </c>
      <c r="B225" s="97" t="s">
        <v>2558</v>
      </c>
      <c r="C225" s="97">
        <v>5730</v>
      </c>
      <c r="D225" s="97">
        <v>5680</v>
      </c>
      <c r="E225" s="97">
        <v>6020</v>
      </c>
      <c r="F225" s="130">
        <v>1000</v>
      </c>
    </row>
    <row r="226" spans="1:6" s="119" customFormat="1" ht="14.25" customHeight="1">
      <c r="A226" s="93" t="s">
        <v>283</v>
      </c>
      <c r="B226" s="97" t="s">
        <v>2566</v>
      </c>
      <c r="C226" s="97">
        <v>4970</v>
      </c>
      <c r="D226" s="97">
        <v>4940</v>
      </c>
      <c r="E226" s="97">
        <v>5180</v>
      </c>
      <c r="F226" s="130">
        <v>960</v>
      </c>
    </row>
    <row r="227" spans="1:6" s="119" customFormat="1" ht="14.25" customHeight="1">
      <c r="A227" s="93" t="s">
        <v>283</v>
      </c>
      <c r="B227" s="97" t="s">
        <v>2574</v>
      </c>
      <c r="C227" s="97">
        <v>5550</v>
      </c>
      <c r="D227" s="97">
        <v>5500</v>
      </c>
      <c r="E227" s="97">
        <v>5780</v>
      </c>
      <c r="F227" s="130">
        <v>940</v>
      </c>
    </row>
    <row r="228" spans="1:6" s="119" customFormat="1" ht="14.25" customHeight="1">
      <c r="A228" s="93" t="s">
        <v>283</v>
      </c>
      <c r="B228" s="97" t="s">
        <v>2581</v>
      </c>
      <c r="C228" s="97">
        <v>5460</v>
      </c>
      <c r="D228" s="97">
        <v>5420</v>
      </c>
      <c r="E228" s="97">
        <v>5690</v>
      </c>
      <c r="F228" s="130">
        <v>910</v>
      </c>
    </row>
    <row r="229" spans="1:6" s="119" customFormat="1" ht="14.25" customHeight="1">
      <c r="A229" s="93" t="s">
        <v>283</v>
      </c>
      <c r="B229" s="97" t="s">
        <v>2588</v>
      </c>
      <c r="C229" s="97">
        <v>5310</v>
      </c>
      <c r="D229" s="97">
        <v>5270</v>
      </c>
      <c r="E229" s="97">
        <v>5510</v>
      </c>
      <c r="F229" s="133"/>
    </row>
    <row r="230" spans="1:6" s="119" customFormat="1" ht="14.25" customHeight="1">
      <c r="A230" s="93" t="s">
        <v>283</v>
      </c>
      <c r="B230" s="97" t="s">
        <v>2595</v>
      </c>
      <c r="C230" s="97">
        <v>4540</v>
      </c>
      <c r="D230" s="97">
        <v>4500</v>
      </c>
      <c r="E230" s="97">
        <v>4730</v>
      </c>
      <c r="F230" s="133"/>
    </row>
    <row r="231" spans="1:6" s="119" customFormat="1" ht="14.25" customHeight="1">
      <c r="A231" s="93" t="s">
        <v>283</v>
      </c>
      <c r="B231" s="97" t="s">
        <v>2602</v>
      </c>
      <c r="C231" s="97">
        <v>4480</v>
      </c>
      <c r="D231" s="97">
        <v>4410</v>
      </c>
      <c r="E231" s="97">
        <v>4640</v>
      </c>
      <c r="F231" s="133"/>
    </row>
    <row r="232" spans="1:6" s="119" customFormat="1" ht="14.25" customHeight="1">
      <c r="A232" s="93" t="s">
        <v>283</v>
      </c>
      <c r="B232" s="97" t="s">
        <v>2609</v>
      </c>
      <c r="C232" s="97">
        <v>5670</v>
      </c>
      <c r="D232" s="97">
        <v>5600</v>
      </c>
      <c r="E232" s="97">
        <v>5890</v>
      </c>
      <c r="F232" s="130">
        <v>1150</v>
      </c>
    </row>
    <row r="233" spans="1:6" s="119" customFormat="1" ht="14.25" customHeight="1">
      <c r="A233" s="93" t="s">
        <v>283</v>
      </c>
      <c r="B233" s="97" t="s">
        <v>2614</v>
      </c>
      <c r="C233" s="97">
        <v>4590</v>
      </c>
      <c r="D233" s="97">
        <v>4500</v>
      </c>
      <c r="E233" s="97">
        <v>4600</v>
      </c>
      <c r="F233" s="133"/>
    </row>
    <row r="234" spans="1:6" s="119" customFormat="1" ht="14.25" customHeight="1">
      <c r="A234" s="93" t="s">
        <v>283</v>
      </c>
      <c r="B234" s="97" t="s">
        <v>2619</v>
      </c>
      <c r="C234" s="97">
        <v>3990</v>
      </c>
      <c r="D234" s="97">
        <v>3950</v>
      </c>
      <c r="E234" s="97">
        <v>4180</v>
      </c>
      <c r="F234" s="133"/>
    </row>
    <row r="235" spans="1:6" s="119" customFormat="1" ht="14.25" customHeight="1">
      <c r="A235" s="93" t="s">
        <v>283</v>
      </c>
      <c r="B235" s="97" t="s">
        <v>2624</v>
      </c>
      <c r="C235" s="97">
        <v>5590</v>
      </c>
      <c r="D235" s="97">
        <v>5540</v>
      </c>
      <c r="E235" s="97">
        <v>5810</v>
      </c>
      <c r="F235" s="130">
        <v>970</v>
      </c>
    </row>
    <row r="236" spans="1:6" s="119" customFormat="1" ht="14.25" customHeight="1">
      <c r="A236" s="93" t="s">
        <v>283</v>
      </c>
      <c r="B236" s="97" t="s">
        <v>2629</v>
      </c>
      <c r="C236" s="97"/>
      <c r="D236" s="97"/>
      <c r="E236" s="97"/>
      <c r="F236" s="130">
        <v>1020</v>
      </c>
    </row>
    <row r="237" spans="1:6" s="119" customFormat="1" ht="14.25" customHeight="1">
      <c r="A237" s="93" t="s">
        <v>283</v>
      </c>
      <c r="B237" s="97" t="s">
        <v>2634</v>
      </c>
      <c r="C237" s="97"/>
      <c r="D237" s="97"/>
      <c r="E237" s="97"/>
      <c r="F237" s="130">
        <v>960</v>
      </c>
    </row>
    <row r="238" spans="1:6" s="119" customFormat="1" ht="14.25" customHeight="1">
      <c r="A238" s="93" t="s">
        <v>283</v>
      </c>
      <c r="B238" s="97" t="s">
        <v>2639</v>
      </c>
      <c r="C238" s="97"/>
      <c r="D238" s="97"/>
      <c r="E238" s="97"/>
      <c r="F238" s="130">
        <v>960</v>
      </c>
    </row>
    <row r="239" spans="1:6" s="119" customFormat="1" ht="14.25" customHeight="1">
      <c r="A239" s="93" t="s">
        <v>283</v>
      </c>
      <c r="B239" s="97" t="s">
        <v>2644</v>
      </c>
      <c r="C239" s="97"/>
      <c r="D239" s="97"/>
      <c r="E239" s="97"/>
      <c r="F239" s="130">
        <v>960</v>
      </c>
    </row>
    <row r="240" spans="1:6" s="119" customFormat="1" ht="14.25" customHeight="1">
      <c r="A240" s="93" t="s">
        <v>283</v>
      </c>
      <c r="B240" s="97" t="s">
        <v>2648</v>
      </c>
      <c r="C240" s="97"/>
      <c r="D240" s="97"/>
      <c r="E240" s="97"/>
      <c r="F240" s="130">
        <v>990</v>
      </c>
    </row>
    <row r="241" spans="1:6" s="119" customFormat="1" ht="14.25" customHeight="1">
      <c r="A241" s="93" t="s">
        <v>283</v>
      </c>
      <c r="B241" s="97" t="s">
        <v>2652</v>
      </c>
      <c r="C241" s="97"/>
      <c r="D241" s="97"/>
      <c r="E241" s="97"/>
      <c r="F241" s="130">
        <v>1000</v>
      </c>
    </row>
    <row r="242" spans="1:6" s="119" customFormat="1" ht="14.25" customHeight="1">
      <c r="A242" s="93" t="s">
        <v>283</v>
      </c>
      <c r="B242" s="97" t="s">
        <v>2656</v>
      </c>
      <c r="C242" s="97"/>
      <c r="D242" s="97"/>
      <c r="E242" s="97"/>
      <c r="F242" s="130">
        <v>980</v>
      </c>
    </row>
    <row r="243" spans="1:6" s="119" customFormat="1" ht="14.25" customHeight="1">
      <c r="A243" s="93" t="s">
        <v>283</v>
      </c>
      <c r="B243" s="97" t="s">
        <v>2660</v>
      </c>
      <c r="C243" s="97"/>
      <c r="D243" s="97"/>
      <c r="E243" s="97"/>
      <c r="F243" s="130">
        <v>970</v>
      </c>
    </row>
    <row r="244" spans="1:6" s="119" customFormat="1" ht="14.25" customHeight="1">
      <c r="A244" s="93" t="s">
        <v>283</v>
      </c>
      <c r="B244" s="108" t="s">
        <v>2664</v>
      </c>
      <c r="C244" s="108"/>
      <c r="D244" s="108"/>
      <c r="E244" s="108"/>
      <c r="F244" s="132">
        <v>970</v>
      </c>
    </row>
    <row r="245" spans="1:6" s="119" customFormat="1" ht="14.25" customHeight="1">
      <c r="A245" s="93" t="s">
        <v>286</v>
      </c>
      <c r="B245" s="94" t="s">
        <v>2357</v>
      </c>
      <c r="C245" s="94">
        <v>4050</v>
      </c>
      <c r="D245" s="94">
        <v>4020</v>
      </c>
      <c r="E245" s="94">
        <v>4160</v>
      </c>
      <c r="F245" s="127">
        <v>840</v>
      </c>
    </row>
    <row r="246" spans="1:6" s="119" customFormat="1" ht="14.25" customHeight="1">
      <c r="A246" s="93" t="s">
        <v>286</v>
      </c>
      <c r="B246" s="97" t="s">
        <v>2370</v>
      </c>
      <c r="C246" s="97">
        <v>4010</v>
      </c>
      <c r="D246" s="97">
        <v>3960</v>
      </c>
      <c r="E246" s="97">
        <v>4130</v>
      </c>
      <c r="F246" s="130">
        <v>840</v>
      </c>
    </row>
    <row r="247" spans="1:6" s="119" customFormat="1" ht="14.25" customHeight="1">
      <c r="A247" s="93" t="s">
        <v>286</v>
      </c>
      <c r="B247" s="97" t="s">
        <v>2383</v>
      </c>
      <c r="C247" s="97">
        <v>3170</v>
      </c>
      <c r="D247" s="97">
        <v>3140</v>
      </c>
      <c r="E247" s="97">
        <v>3270</v>
      </c>
      <c r="F247" s="130">
        <v>640</v>
      </c>
    </row>
    <row r="248" spans="1:6" s="119" customFormat="1" ht="14.25" customHeight="1">
      <c r="A248" s="93" t="s">
        <v>286</v>
      </c>
      <c r="B248" s="97" t="s">
        <v>2395</v>
      </c>
      <c r="C248" s="97">
        <v>3140</v>
      </c>
      <c r="D248" s="97">
        <v>3120</v>
      </c>
      <c r="E248" s="97">
        <v>3240</v>
      </c>
      <c r="F248" s="130">
        <v>620</v>
      </c>
    </row>
    <row r="249" spans="1:6" s="119" customFormat="1" ht="14.25" customHeight="1">
      <c r="A249" s="93" t="s">
        <v>286</v>
      </c>
      <c r="B249" s="97" t="s">
        <v>2407</v>
      </c>
      <c r="C249" s="97">
        <v>3200</v>
      </c>
      <c r="D249" s="97">
        <v>3100</v>
      </c>
      <c r="E249" s="97">
        <v>3230</v>
      </c>
      <c r="F249" s="130">
        <v>750</v>
      </c>
    </row>
    <row r="250" spans="1:6" s="119" customFormat="1" ht="14.25" customHeight="1">
      <c r="A250" s="93" t="s">
        <v>286</v>
      </c>
      <c r="B250" s="97" t="s">
        <v>2418</v>
      </c>
      <c r="C250" s="97">
        <v>4060</v>
      </c>
      <c r="D250" s="97">
        <v>4000</v>
      </c>
      <c r="E250" s="97">
        <v>4140</v>
      </c>
      <c r="F250" s="130">
        <v>790</v>
      </c>
    </row>
    <row r="251" spans="1:6" s="119" customFormat="1" ht="14.25" customHeight="1">
      <c r="A251" s="93" t="s">
        <v>286</v>
      </c>
      <c r="B251" s="97" t="s">
        <v>2429</v>
      </c>
      <c r="C251" s="97">
        <v>3990</v>
      </c>
      <c r="D251" s="97">
        <v>3970</v>
      </c>
      <c r="E251" s="97">
        <v>4110</v>
      </c>
      <c r="F251" s="130">
        <v>730</v>
      </c>
    </row>
    <row r="252" spans="1:6" s="119" customFormat="1" ht="14.25" customHeight="1">
      <c r="A252" s="93" t="s">
        <v>286</v>
      </c>
      <c r="B252" s="97" t="s">
        <v>2440</v>
      </c>
      <c r="C252" s="97">
        <v>3560</v>
      </c>
      <c r="D252" s="97">
        <v>3530</v>
      </c>
      <c r="E252" s="97">
        <v>3650</v>
      </c>
      <c r="F252" s="130">
        <v>750</v>
      </c>
    </row>
    <row r="253" spans="1:6" s="119" customFormat="1" ht="14.25" customHeight="1">
      <c r="A253" s="93" t="s">
        <v>286</v>
      </c>
      <c r="B253" s="97" t="s">
        <v>2450</v>
      </c>
      <c r="C253" s="97">
        <v>3780</v>
      </c>
      <c r="D253" s="97">
        <v>3750</v>
      </c>
      <c r="E253" s="97">
        <v>3870</v>
      </c>
      <c r="F253" s="130">
        <v>770</v>
      </c>
    </row>
    <row r="254" spans="1:6" s="119" customFormat="1" ht="14.25" customHeight="1">
      <c r="A254" s="93" t="s">
        <v>286</v>
      </c>
      <c r="B254" s="97" t="s">
        <v>2460</v>
      </c>
      <c r="C254" s="136"/>
      <c r="D254" s="136"/>
      <c r="E254" s="136"/>
      <c r="F254" s="130">
        <v>740</v>
      </c>
    </row>
    <row r="255" spans="1:6" s="119" customFormat="1" ht="14.25" customHeight="1">
      <c r="A255" s="93" t="s">
        <v>286</v>
      </c>
      <c r="B255" s="97" t="s">
        <v>2470</v>
      </c>
      <c r="C255" s="136"/>
      <c r="D255" s="136"/>
      <c r="E255" s="136"/>
      <c r="F255" s="130">
        <v>760</v>
      </c>
    </row>
    <row r="256" spans="1:6" s="119" customFormat="1" ht="14.25" customHeight="1">
      <c r="A256" s="93" t="s">
        <v>286</v>
      </c>
      <c r="B256" s="97" t="s">
        <v>2480</v>
      </c>
      <c r="C256" s="97">
        <v>3760</v>
      </c>
      <c r="D256" s="97">
        <v>3730</v>
      </c>
      <c r="E256" s="97">
        <v>3870</v>
      </c>
      <c r="F256" s="130">
        <v>830</v>
      </c>
    </row>
    <row r="257" spans="1:6" s="119" customFormat="1" ht="14.25" customHeight="1">
      <c r="A257" s="93" t="s">
        <v>286</v>
      </c>
      <c r="B257" s="97" t="s">
        <v>2490</v>
      </c>
      <c r="C257" s="97">
        <v>3570</v>
      </c>
      <c r="D257" s="97">
        <v>3540</v>
      </c>
      <c r="E257" s="97">
        <v>3650</v>
      </c>
      <c r="F257" s="130">
        <v>790</v>
      </c>
    </row>
    <row r="258" spans="1:6" s="119" customFormat="1" ht="14.25" customHeight="1">
      <c r="A258" s="93" t="s">
        <v>286</v>
      </c>
      <c r="B258" s="97" t="s">
        <v>2500</v>
      </c>
      <c r="C258" s="97">
        <v>3410</v>
      </c>
      <c r="D258" s="97">
        <v>3380</v>
      </c>
      <c r="E258" s="97">
        <v>3500</v>
      </c>
      <c r="F258" s="130">
        <v>830</v>
      </c>
    </row>
    <row r="259" spans="1:6" s="119" customFormat="1" ht="14.25" customHeight="1">
      <c r="A259" s="93" t="s">
        <v>286</v>
      </c>
      <c r="B259" s="97" t="s">
        <v>2510</v>
      </c>
      <c r="C259" s="97">
        <v>3870</v>
      </c>
      <c r="D259" s="97">
        <v>3840</v>
      </c>
      <c r="E259" s="97">
        <v>3970</v>
      </c>
      <c r="F259" s="130">
        <v>830</v>
      </c>
    </row>
    <row r="260" spans="1:6" s="119" customFormat="1" ht="14.25" customHeight="1">
      <c r="A260" s="93" t="s">
        <v>286</v>
      </c>
      <c r="B260" s="97" t="s">
        <v>2520</v>
      </c>
      <c r="C260" s="97">
        <v>3700</v>
      </c>
      <c r="D260" s="97">
        <v>3660</v>
      </c>
      <c r="E260" s="97">
        <v>3810</v>
      </c>
      <c r="F260" s="130">
        <v>790</v>
      </c>
    </row>
    <row r="261" spans="1:6" s="119" customFormat="1" ht="14.25" customHeight="1">
      <c r="A261" s="93" t="s">
        <v>286</v>
      </c>
      <c r="B261" s="97" t="s">
        <v>2530</v>
      </c>
      <c r="C261" s="97">
        <v>3470</v>
      </c>
      <c r="D261" s="97">
        <v>3430</v>
      </c>
      <c r="E261" s="97">
        <v>3640</v>
      </c>
      <c r="F261" s="130">
        <v>760</v>
      </c>
    </row>
    <row r="262" spans="1:6" s="119" customFormat="1" ht="14.25" customHeight="1">
      <c r="A262" s="93" t="s">
        <v>286</v>
      </c>
      <c r="B262" s="97" t="s">
        <v>2540</v>
      </c>
      <c r="C262" s="97">
        <v>3510</v>
      </c>
      <c r="D262" s="97">
        <v>3470</v>
      </c>
      <c r="E262" s="97">
        <v>3680</v>
      </c>
      <c r="F262" s="133"/>
    </row>
    <row r="263" spans="1:6" s="119" customFormat="1" ht="14.25" customHeight="1">
      <c r="A263" s="93" t="s">
        <v>286</v>
      </c>
      <c r="B263" s="97" t="s">
        <v>2550</v>
      </c>
      <c r="C263" s="97">
        <v>3960</v>
      </c>
      <c r="D263" s="97">
        <v>3930</v>
      </c>
      <c r="E263" s="97">
        <v>4070</v>
      </c>
      <c r="F263" s="130">
        <v>830</v>
      </c>
    </row>
    <row r="264" spans="1:6" s="119" customFormat="1" ht="14.25" customHeight="1">
      <c r="A264" s="93" t="s">
        <v>286</v>
      </c>
      <c r="B264" s="97" t="s">
        <v>2559</v>
      </c>
      <c r="C264" s="97">
        <v>4010</v>
      </c>
      <c r="D264" s="97">
        <v>3980</v>
      </c>
      <c r="E264" s="97">
        <v>4150</v>
      </c>
      <c r="F264" s="130">
        <v>760</v>
      </c>
    </row>
    <row r="265" spans="1:6" s="119" customFormat="1" ht="14.25" customHeight="1">
      <c r="A265" s="93" t="s">
        <v>286</v>
      </c>
      <c r="B265" s="97" t="s">
        <v>2567</v>
      </c>
      <c r="C265" s="97">
        <v>3910</v>
      </c>
      <c r="D265" s="97">
        <v>3890</v>
      </c>
      <c r="E265" s="97">
        <v>4040</v>
      </c>
      <c r="F265" s="130">
        <v>780</v>
      </c>
    </row>
    <row r="266" spans="1:6" s="119" customFormat="1" ht="14.25" customHeight="1">
      <c r="A266" s="93" t="s">
        <v>286</v>
      </c>
      <c r="B266" s="97" t="s">
        <v>2575</v>
      </c>
      <c r="C266" s="97">
        <v>3930</v>
      </c>
      <c r="D266" s="97">
        <v>3900</v>
      </c>
      <c r="E266" s="97">
        <v>4080</v>
      </c>
      <c r="F266" s="130">
        <v>770</v>
      </c>
    </row>
    <row r="267" spans="1:6" s="119" customFormat="1" ht="14.25" customHeight="1">
      <c r="A267" s="93" t="s">
        <v>286</v>
      </c>
      <c r="B267" s="97" t="s">
        <v>2582</v>
      </c>
      <c r="C267" s="97">
        <v>3800</v>
      </c>
      <c r="D267" s="97">
        <v>3780</v>
      </c>
      <c r="E267" s="97">
        <v>3930</v>
      </c>
      <c r="F267" s="133"/>
    </row>
    <row r="268" spans="1:6" s="119" customFormat="1" ht="14.25" customHeight="1">
      <c r="A268" s="93" t="s">
        <v>286</v>
      </c>
      <c r="B268" s="97" t="s">
        <v>2589</v>
      </c>
      <c r="C268" s="97">
        <v>3460</v>
      </c>
      <c r="D268" s="97">
        <v>3430</v>
      </c>
      <c r="E268" s="97">
        <v>3560</v>
      </c>
      <c r="F268" s="130">
        <v>840</v>
      </c>
    </row>
    <row r="269" spans="1:6" s="119" customFormat="1" ht="14.25" customHeight="1">
      <c r="A269" s="93" t="s">
        <v>286</v>
      </c>
      <c r="B269" s="97" t="s">
        <v>2596</v>
      </c>
      <c r="C269" s="97">
        <v>3210</v>
      </c>
      <c r="D269" s="97">
        <v>3190</v>
      </c>
      <c r="E269" s="97">
        <v>3310</v>
      </c>
      <c r="F269" s="130">
        <v>730</v>
      </c>
    </row>
    <row r="270" spans="1:6" s="119" customFormat="1" ht="14.25" customHeight="1">
      <c r="A270" s="93" t="s">
        <v>286</v>
      </c>
      <c r="B270" s="97" t="s">
        <v>2603</v>
      </c>
      <c r="C270" s="97">
        <v>3240</v>
      </c>
      <c r="D270" s="97">
        <v>3210</v>
      </c>
      <c r="E270" s="97">
        <v>3390</v>
      </c>
      <c r="F270" s="130">
        <v>820</v>
      </c>
    </row>
    <row r="271" spans="1:6" s="119" customFormat="1" ht="14.25" customHeight="1">
      <c r="A271" s="93" t="s">
        <v>286</v>
      </c>
      <c r="B271" s="97" t="s">
        <v>2610</v>
      </c>
      <c r="C271" s="97">
        <v>3300</v>
      </c>
      <c r="D271" s="97">
        <v>3270</v>
      </c>
      <c r="E271" s="97">
        <v>3380</v>
      </c>
      <c r="F271" s="130">
        <v>750</v>
      </c>
    </row>
    <row r="272" spans="1:6" s="119" customFormat="1" ht="14.25" customHeight="1">
      <c r="A272" s="93" t="s">
        <v>286</v>
      </c>
      <c r="B272" s="97" t="s">
        <v>2615</v>
      </c>
      <c r="C272" s="136"/>
      <c r="D272" s="136"/>
      <c r="E272" s="136"/>
      <c r="F272" s="130">
        <v>740</v>
      </c>
    </row>
    <row r="273" spans="1:6" s="119" customFormat="1" ht="14.25" customHeight="1">
      <c r="A273" s="93" t="s">
        <v>286</v>
      </c>
      <c r="B273" s="97" t="s">
        <v>2620</v>
      </c>
      <c r="C273" s="97">
        <v>3130</v>
      </c>
      <c r="D273" s="97">
        <v>3100</v>
      </c>
      <c r="E273" s="97">
        <v>3230</v>
      </c>
      <c r="F273" s="130">
        <v>700</v>
      </c>
    </row>
    <row r="274" spans="1:6" s="119" customFormat="1" ht="14.25" customHeight="1">
      <c r="A274" s="93" t="s">
        <v>286</v>
      </c>
      <c r="B274" s="97" t="s">
        <v>2625</v>
      </c>
      <c r="C274" s="97">
        <v>3460</v>
      </c>
      <c r="D274" s="97">
        <v>3430</v>
      </c>
      <c r="E274" s="97">
        <v>3560</v>
      </c>
      <c r="F274" s="130">
        <v>690</v>
      </c>
    </row>
    <row r="275" spans="1:6" s="119" customFormat="1" ht="14.25" customHeight="1">
      <c r="A275" s="93" t="s">
        <v>286</v>
      </c>
      <c r="B275" s="97" t="s">
        <v>2630</v>
      </c>
      <c r="C275" s="97">
        <v>4040</v>
      </c>
      <c r="D275" s="97">
        <v>4020</v>
      </c>
      <c r="E275" s="97">
        <v>4160</v>
      </c>
      <c r="F275" s="130">
        <v>820</v>
      </c>
    </row>
    <row r="276" spans="1:6" s="119" customFormat="1" ht="14.25" customHeight="1">
      <c r="A276" s="93" t="s">
        <v>286</v>
      </c>
      <c r="B276" s="97" t="s">
        <v>2635</v>
      </c>
      <c r="C276" s="97">
        <v>3270</v>
      </c>
      <c r="D276" s="97">
        <v>3240</v>
      </c>
      <c r="E276" s="97">
        <v>3350</v>
      </c>
      <c r="F276" s="130">
        <v>680</v>
      </c>
    </row>
    <row r="277" spans="1:6" s="119" customFormat="1" ht="14.25" customHeight="1">
      <c r="A277" s="93" t="s">
        <v>286</v>
      </c>
      <c r="B277" s="97" t="s">
        <v>2640</v>
      </c>
      <c r="C277" s="97">
        <v>2930</v>
      </c>
      <c r="D277" s="97">
        <v>2900</v>
      </c>
      <c r="E277" s="97">
        <v>3000</v>
      </c>
      <c r="F277" s="130">
        <v>640</v>
      </c>
    </row>
    <row r="278" spans="1:6" s="119" customFormat="1" ht="14.25" customHeight="1">
      <c r="A278" s="93" t="s">
        <v>286</v>
      </c>
      <c r="B278" s="97" t="s">
        <v>2645</v>
      </c>
      <c r="C278" s="97">
        <v>4080</v>
      </c>
      <c r="D278" s="97">
        <v>4030</v>
      </c>
      <c r="E278" s="97">
        <v>4140</v>
      </c>
      <c r="F278" s="130">
        <v>850</v>
      </c>
    </row>
    <row r="279" spans="1:6" s="119" customFormat="1" ht="14.25" customHeight="1">
      <c r="A279" s="93" t="s">
        <v>286</v>
      </c>
      <c r="B279" s="97" t="s">
        <v>2649</v>
      </c>
      <c r="C279" s="97"/>
      <c r="D279" s="97"/>
      <c r="E279" s="97"/>
      <c r="F279" s="130">
        <v>760</v>
      </c>
    </row>
    <row r="280" spans="1:6" s="119" customFormat="1" ht="14.25" customHeight="1">
      <c r="A280" s="93" t="s">
        <v>286</v>
      </c>
      <c r="B280" s="97" t="s">
        <v>2653</v>
      </c>
      <c r="C280" s="97"/>
      <c r="D280" s="97"/>
      <c r="E280" s="97"/>
      <c r="F280" s="130">
        <v>760</v>
      </c>
    </row>
    <row r="281" spans="1:6" s="119" customFormat="1" ht="14.25" customHeight="1">
      <c r="A281" s="93" t="s">
        <v>286</v>
      </c>
      <c r="B281" s="97" t="s">
        <v>2657</v>
      </c>
      <c r="C281" s="97"/>
      <c r="D281" s="97"/>
      <c r="E281" s="97"/>
      <c r="F281" s="130">
        <v>780</v>
      </c>
    </row>
    <row r="282" spans="1:6" s="119" customFormat="1" ht="14.25" customHeight="1">
      <c r="A282" s="93" t="s">
        <v>286</v>
      </c>
      <c r="B282" s="97" t="s">
        <v>2661</v>
      </c>
      <c r="C282" s="97"/>
      <c r="D282" s="97"/>
      <c r="E282" s="97"/>
      <c r="F282" s="130">
        <v>730</v>
      </c>
    </row>
    <row r="283" spans="1:6" s="119" customFormat="1" ht="14.25" customHeight="1">
      <c r="A283" s="93" t="s">
        <v>286</v>
      </c>
      <c r="B283" s="97" t="s">
        <v>2665</v>
      </c>
      <c r="C283" s="97"/>
      <c r="D283" s="97"/>
      <c r="E283" s="97"/>
      <c r="F283" s="130">
        <v>770</v>
      </c>
    </row>
    <row r="284" spans="1:6" s="119" customFormat="1" ht="14.25" customHeight="1">
      <c r="A284" s="93" t="s">
        <v>286</v>
      </c>
      <c r="B284" s="97" t="s">
        <v>2668</v>
      </c>
      <c r="C284" s="97"/>
      <c r="D284" s="97"/>
      <c r="E284" s="97"/>
      <c r="F284" s="130">
        <v>640</v>
      </c>
    </row>
    <row r="285" spans="1:6" s="119" customFormat="1" ht="14.25" customHeight="1">
      <c r="A285" s="93" t="s">
        <v>286</v>
      </c>
      <c r="B285" s="97" t="s">
        <v>2671</v>
      </c>
      <c r="C285" s="97"/>
      <c r="D285" s="97"/>
      <c r="E285" s="97"/>
      <c r="F285" s="130">
        <v>640</v>
      </c>
    </row>
    <row r="286" spans="1:6" s="119" customFormat="1" ht="14.25" customHeight="1">
      <c r="A286" s="93" t="s">
        <v>286</v>
      </c>
      <c r="B286" s="97" t="s">
        <v>2674</v>
      </c>
      <c r="C286" s="97"/>
      <c r="D286" s="97"/>
      <c r="E286" s="97"/>
      <c r="F286" s="130">
        <v>850</v>
      </c>
    </row>
    <row r="287" spans="1:6" s="119" customFormat="1" ht="14.25" customHeight="1">
      <c r="A287" s="93" t="s">
        <v>286</v>
      </c>
      <c r="B287" s="97" t="s">
        <v>2677</v>
      </c>
      <c r="C287" s="97"/>
      <c r="D287" s="97"/>
      <c r="E287" s="97"/>
      <c r="F287" s="130">
        <v>760</v>
      </c>
    </row>
    <row r="288" spans="1:6" s="119" customFormat="1" ht="14.25" customHeight="1">
      <c r="A288" s="93" t="s">
        <v>286</v>
      </c>
      <c r="B288" s="97" t="s">
        <v>2680</v>
      </c>
      <c r="C288" s="97"/>
      <c r="D288" s="97"/>
      <c r="E288" s="97"/>
      <c r="F288" s="130">
        <v>830</v>
      </c>
    </row>
    <row r="289" spans="1:6" s="119" customFormat="1" ht="14.25" customHeight="1">
      <c r="A289" s="93" t="s">
        <v>286</v>
      </c>
      <c r="B289" s="108" t="s">
        <v>2683</v>
      </c>
      <c r="C289" s="108"/>
      <c r="D289" s="108"/>
      <c r="E289" s="108"/>
      <c r="F289" s="132">
        <v>680</v>
      </c>
    </row>
    <row r="290" spans="1:6" s="119" customFormat="1" ht="14.25" customHeight="1">
      <c r="A290" s="93" t="s">
        <v>289</v>
      </c>
      <c r="B290" s="94" t="s">
        <v>2358</v>
      </c>
      <c r="C290" s="94">
        <v>2770</v>
      </c>
      <c r="D290" s="94">
        <v>2740</v>
      </c>
      <c r="E290" s="94">
        <v>2720</v>
      </c>
      <c r="F290" s="137"/>
    </row>
    <row r="291" spans="1:6" s="119" customFormat="1" ht="14.25" customHeight="1">
      <c r="A291" s="93" t="s">
        <v>289</v>
      </c>
      <c r="B291" s="97" t="s">
        <v>2371</v>
      </c>
      <c r="C291" s="97">
        <v>2670</v>
      </c>
      <c r="D291" s="97">
        <v>2640</v>
      </c>
      <c r="E291" s="97">
        <v>2620</v>
      </c>
      <c r="F291" s="133"/>
    </row>
    <row r="292" spans="1:6" s="119" customFormat="1" ht="14.25" customHeight="1">
      <c r="A292" s="93" t="s">
        <v>289</v>
      </c>
      <c r="B292" s="97" t="s">
        <v>2384</v>
      </c>
      <c r="C292" s="97">
        <v>2180</v>
      </c>
      <c r="D292" s="97">
        <v>2140</v>
      </c>
      <c r="E292" s="97">
        <v>2120</v>
      </c>
      <c r="F292" s="130">
        <v>490</v>
      </c>
    </row>
    <row r="293" spans="1:6" s="119" customFormat="1" ht="14.25" customHeight="1">
      <c r="A293" s="93" t="s">
        <v>289</v>
      </c>
      <c r="B293" s="97" t="s">
        <v>2690</v>
      </c>
      <c r="C293" s="97"/>
      <c r="D293" s="97"/>
      <c r="E293" s="97"/>
      <c r="F293" s="130">
        <v>470</v>
      </c>
    </row>
    <row r="294" spans="1:6" s="119" customFormat="1" ht="14.25" customHeight="1">
      <c r="A294" s="93" t="s">
        <v>289</v>
      </c>
      <c r="B294" s="97" t="s">
        <v>2396</v>
      </c>
      <c r="C294" s="97">
        <v>2730</v>
      </c>
      <c r="D294" s="97">
        <v>2700</v>
      </c>
      <c r="E294" s="97">
        <v>2680</v>
      </c>
      <c r="F294" s="130">
        <v>490</v>
      </c>
    </row>
    <row r="295" spans="1:6" s="119" customFormat="1" ht="14.25" customHeight="1">
      <c r="A295" s="93" t="s">
        <v>289</v>
      </c>
      <c r="B295" s="97" t="s">
        <v>2408</v>
      </c>
      <c r="C295" s="97">
        <v>2380</v>
      </c>
      <c r="D295" s="97">
        <v>2350</v>
      </c>
      <c r="E295" s="97">
        <v>2330</v>
      </c>
      <c r="F295" s="130">
        <v>530</v>
      </c>
    </row>
    <row r="296" spans="1:6" s="119" customFormat="1" ht="14.25" customHeight="1">
      <c r="A296" s="93" t="s">
        <v>289</v>
      </c>
      <c r="B296" s="97" t="s">
        <v>2419</v>
      </c>
      <c r="C296" s="97">
        <v>2650</v>
      </c>
      <c r="D296" s="97">
        <v>2620</v>
      </c>
      <c r="E296" s="97">
        <v>2590</v>
      </c>
      <c r="F296" s="130">
        <v>590</v>
      </c>
    </row>
    <row r="297" spans="1:6" s="119" customFormat="1" ht="14.25" customHeight="1">
      <c r="A297" s="93" t="s">
        <v>289</v>
      </c>
      <c r="B297" s="97" t="s">
        <v>2430</v>
      </c>
      <c r="C297" s="97">
        <v>2700</v>
      </c>
      <c r="D297" s="97">
        <v>2670</v>
      </c>
      <c r="E297" s="97">
        <v>2650</v>
      </c>
      <c r="F297" s="130">
        <v>630</v>
      </c>
    </row>
    <row r="298" spans="1:6" s="119" customFormat="1" ht="14.25" customHeight="1">
      <c r="A298" s="93" t="s">
        <v>289</v>
      </c>
      <c r="B298" s="97" t="s">
        <v>2441</v>
      </c>
      <c r="C298" s="97">
        <v>2650</v>
      </c>
      <c r="D298" s="97">
        <v>2620</v>
      </c>
      <c r="E298" s="97">
        <v>2590</v>
      </c>
      <c r="F298" s="130">
        <v>640</v>
      </c>
    </row>
    <row r="299" spans="1:6" s="119" customFormat="1" ht="14.25" customHeight="1">
      <c r="A299" s="93" t="s">
        <v>289</v>
      </c>
      <c r="B299" s="97" t="s">
        <v>2451</v>
      </c>
      <c r="C299" s="97">
        <v>2500</v>
      </c>
      <c r="D299" s="97">
        <v>2480</v>
      </c>
      <c r="E299" s="97">
        <v>2460</v>
      </c>
      <c r="F299" s="133"/>
    </row>
    <row r="300" spans="1:6" s="119" customFormat="1" ht="14.25" customHeight="1">
      <c r="A300" s="93" t="s">
        <v>289</v>
      </c>
      <c r="B300" s="97" t="s">
        <v>2461</v>
      </c>
      <c r="C300" s="97">
        <v>2760</v>
      </c>
      <c r="D300" s="97">
        <v>2730</v>
      </c>
      <c r="E300" s="97">
        <v>2700</v>
      </c>
      <c r="F300" s="130">
        <v>630</v>
      </c>
    </row>
    <row r="301" spans="1:6" s="119" customFormat="1" ht="14.25" customHeight="1">
      <c r="A301" s="93" t="s">
        <v>289</v>
      </c>
      <c r="B301" s="97" t="s">
        <v>2471</v>
      </c>
      <c r="C301" s="97">
        <v>2510</v>
      </c>
      <c r="D301" s="97">
        <v>2480</v>
      </c>
      <c r="E301" s="97">
        <v>2460</v>
      </c>
      <c r="F301" s="133"/>
    </row>
    <row r="302" spans="1:6" s="119" customFormat="1" ht="14.25" customHeight="1">
      <c r="A302" s="93" t="s">
        <v>289</v>
      </c>
      <c r="B302" s="97" t="s">
        <v>2481</v>
      </c>
      <c r="C302" s="97">
        <v>2480</v>
      </c>
      <c r="D302" s="97">
        <v>2450</v>
      </c>
      <c r="E302" s="97">
        <v>2420</v>
      </c>
      <c r="F302" s="130">
        <v>600</v>
      </c>
    </row>
    <row r="303" spans="1:6" s="119" customFormat="1" ht="14.25" customHeight="1">
      <c r="A303" s="93" t="s">
        <v>289</v>
      </c>
      <c r="B303" s="97" t="s">
        <v>2491</v>
      </c>
      <c r="C303" s="97">
        <v>2270</v>
      </c>
      <c r="D303" s="97">
        <v>2240</v>
      </c>
      <c r="E303" s="97">
        <v>2210</v>
      </c>
      <c r="F303" s="130">
        <v>540</v>
      </c>
    </row>
    <row r="304" spans="1:6" s="119" customFormat="1" ht="14.25" customHeight="1">
      <c r="A304" s="93" t="s">
        <v>289</v>
      </c>
      <c r="B304" s="97" t="s">
        <v>2501</v>
      </c>
      <c r="C304" s="97">
        <v>2310</v>
      </c>
      <c r="D304" s="97">
        <v>2290</v>
      </c>
      <c r="E304" s="97">
        <v>2270</v>
      </c>
      <c r="F304" s="133"/>
    </row>
    <row r="305" spans="1:6" s="119" customFormat="1" ht="14.25" customHeight="1">
      <c r="A305" s="93" t="s">
        <v>289</v>
      </c>
      <c r="B305" s="97" t="s">
        <v>2511</v>
      </c>
      <c r="C305" s="97">
        <v>2490</v>
      </c>
      <c r="D305" s="97">
        <v>2470</v>
      </c>
      <c r="E305" s="97">
        <v>2440</v>
      </c>
      <c r="F305" s="130">
        <v>560</v>
      </c>
    </row>
    <row r="306" spans="1:6" s="119" customFormat="1" ht="14.25" customHeight="1">
      <c r="A306" s="93" t="s">
        <v>289</v>
      </c>
      <c r="B306" s="97" t="s">
        <v>2521</v>
      </c>
      <c r="C306" s="97">
        <v>2420</v>
      </c>
      <c r="D306" s="97">
        <v>2400</v>
      </c>
      <c r="E306" s="97">
        <v>2380</v>
      </c>
      <c r="F306" s="133"/>
    </row>
    <row r="307" spans="1:6" s="119" customFormat="1" ht="14.25" customHeight="1">
      <c r="A307" s="93" t="s">
        <v>289</v>
      </c>
      <c r="B307" s="97" t="s">
        <v>2531</v>
      </c>
      <c r="C307" s="97">
        <v>2770</v>
      </c>
      <c r="D307" s="97">
        <v>2740</v>
      </c>
      <c r="E307" s="97">
        <v>2710</v>
      </c>
      <c r="F307" s="130">
        <v>650</v>
      </c>
    </row>
    <row r="308" spans="1:6" s="119" customFormat="1" ht="14.25" customHeight="1">
      <c r="A308" s="93" t="s">
        <v>289</v>
      </c>
      <c r="B308" s="97" t="s">
        <v>2541</v>
      </c>
      <c r="C308" s="97">
        <v>2610</v>
      </c>
      <c r="D308" s="97">
        <v>2580</v>
      </c>
      <c r="E308" s="97">
        <v>2550</v>
      </c>
      <c r="F308" s="130">
        <v>580</v>
      </c>
    </row>
    <row r="309" spans="1:6" s="119" customFormat="1" ht="14.25" customHeight="1">
      <c r="A309" s="93" t="s">
        <v>289</v>
      </c>
      <c r="B309" s="97" t="s">
        <v>2551</v>
      </c>
      <c r="C309" s="97">
        <v>2690</v>
      </c>
      <c r="D309" s="97">
        <v>2670</v>
      </c>
      <c r="E309" s="97">
        <v>2650</v>
      </c>
      <c r="F309" s="133"/>
    </row>
    <row r="310" spans="1:6" s="119" customFormat="1" ht="14.25" customHeight="1">
      <c r="A310" s="93" t="s">
        <v>289</v>
      </c>
      <c r="B310" s="97" t="s">
        <v>2560</v>
      </c>
      <c r="C310" s="97">
        <v>2360</v>
      </c>
      <c r="D310" s="97">
        <v>2330</v>
      </c>
      <c r="E310" s="97">
        <v>2310</v>
      </c>
      <c r="F310" s="130">
        <v>560</v>
      </c>
    </row>
    <row r="311" spans="1:6" s="119" customFormat="1" ht="14.25" customHeight="1">
      <c r="A311" s="93" t="s">
        <v>289</v>
      </c>
      <c r="B311" s="97" t="s">
        <v>2568</v>
      </c>
      <c r="C311" s="97">
        <v>1970</v>
      </c>
      <c r="D311" s="97">
        <v>1950</v>
      </c>
      <c r="E311" s="97">
        <v>1920</v>
      </c>
      <c r="F311" s="130">
        <v>470</v>
      </c>
    </row>
    <row r="312" spans="1:6" s="119" customFormat="1" ht="14.25" customHeight="1">
      <c r="A312" s="93" t="s">
        <v>289</v>
      </c>
      <c r="B312" s="97" t="s">
        <v>2576</v>
      </c>
      <c r="C312" s="97">
        <v>2230</v>
      </c>
      <c r="D312" s="97">
        <v>2200</v>
      </c>
      <c r="E312" s="97">
        <v>2170</v>
      </c>
      <c r="F312" s="130">
        <v>460</v>
      </c>
    </row>
    <row r="313" spans="1:6" s="119" customFormat="1" ht="14.25" customHeight="1">
      <c r="A313" s="93" t="s">
        <v>289</v>
      </c>
      <c r="B313" s="97" t="s">
        <v>2583</v>
      </c>
      <c r="C313" s="97">
        <v>2770</v>
      </c>
      <c r="D313" s="97">
        <v>2740</v>
      </c>
      <c r="E313" s="97">
        <v>2710</v>
      </c>
      <c r="F313" s="130">
        <v>610</v>
      </c>
    </row>
    <row r="314" spans="1:6" s="119" customFormat="1" ht="14.25" customHeight="1">
      <c r="A314" s="93" t="s">
        <v>289</v>
      </c>
      <c r="B314" s="97" t="s">
        <v>2590</v>
      </c>
      <c r="C314" s="97"/>
      <c r="D314" s="97"/>
      <c r="E314" s="97"/>
      <c r="F314" s="130">
        <v>490</v>
      </c>
    </row>
    <row r="315" spans="1:6" s="119" customFormat="1" ht="14.25" customHeight="1">
      <c r="A315" s="93" t="s">
        <v>289</v>
      </c>
      <c r="B315" s="97" t="s">
        <v>2597</v>
      </c>
      <c r="C315" s="97"/>
      <c r="D315" s="97"/>
      <c r="E315" s="97"/>
      <c r="F315" s="130">
        <v>520</v>
      </c>
    </row>
    <row r="316" spans="1:6" s="119" customFormat="1" ht="14.25" customHeight="1">
      <c r="A316" s="93" t="s">
        <v>289</v>
      </c>
      <c r="B316" s="108" t="s">
        <v>2604</v>
      </c>
      <c r="C316" s="108"/>
      <c r="D316" s="108"/>
      <c r="E316" s="108"/>
      <c r="F316" s="132">
        <v>460</v>
      </c>
    </row>
    <row r="317" spans="1:6" s="119" customFormat="1" ht="14.25" customHeight="1">
      <c r="A317" s="93" t="s">
        <v>292</v>
      </c>
      <c r="B317" s="94" t="s">
        <v>2359</v>
      </c>
      <c r="C317" s="94">
        <v>1200</v>
      </c>
      <c r="D317" s="94">
        <v>1180</v>
      </c>
      <c r="E317" s="94">
        <v>1160</v>
      </c>
      <c r="F317" s="127">
        <v>370</v>
      </c>
    </row>
    <row r="318" spans="1:6" s="119" customFormat="1" ht="14.25" customHeight="1">
      <c r="A318" s="93" t="s">
        <v>292</v>
      </c>
      <c r="B318" s="97" t="s">
        <v>2372</v>
      </c>
      <c r="C318" s="97">
        <v>1090</v>
      </c>
      <c r="D318" s="97">
        <v>1060</v>
      </c>
      <c r="E318" s="97">
        <v>1040</v>
      </c>
      <c r="F318" s="133"/>
    </row>
    <row r="319" spans="1:6" s="119" customFormat="1" ht="14.25" customHeight="1">
      <c r="A319" s="93" t="s">
        <v>292</v>
      </c>
      <c r="B319" s="97" t="s">
        <v>2385</v>
      </c>
      <c r="C319" s="97">
        <v>1520</v>
      </c>
      <c r="D319" s="97">
        <v>1470</v>
      </c>
      <c r="E319" s="97">
        <v>1440</v>
      </c>
      <c r="F319" s="130">
        <v>370</v>
      </c>
    </row>
    <row r="320" spans="1:6" s="119" customFormat="1" ht="14.25" customHeight="1">
      <c r="A320" s="93" t="s">
        <v>292</v>
      </c>
      <c r="B320" s="97" t="s">
        <v>2397</v>
      </c>
      <c r="C320" s="97">
        <v>1360</v>
      </c>
      <c r="D320" s="97">
        <v>1300</v>
      </c>
      <c r="E320" s="97">
        <v>1270</v>
      </c>
      <c r="F320" s="133"/>
    </row>
    <row r="321" spans="1:6" s="119" customFormat="1" ht="14.25" customHeight="1">
      <c r="A321" s="93" t="s">
        <v>292</v>
      </c>
      <c r="B321" s="97" t="s">
        <v>2409</v>
      </c>
      <c r="C321" s="97">
        <v>1750</v>
      </c>
      <c r="D321" s="97">
        <v>1690</v>
      </c>
      <c r="E321" s="97">
        <v>1660</v>
      </c>
      <c r="F321" s="133"/>
    </row>
    <row r="322" spans="1:6" s="119" customFormat="1" ht="14.25" customHeight="1">
      <c r="A322" s="93" t="s">
        <v>292</v>
      </c>
      <c r="B322" s="97" t="s">
        <v>2420</v>
      </c>
      <c r="C322" s="97">
        <v>1650</v>
      </c>
      <c r="D322" s="97">
        <v>1610</v>
      </c>
      <c r="E322" s="97">
        <v>1580</v>
      </c>
      <c r="F322" s="130">
        <v>500</v>
      </c>
    </row>
    <row r="323" spans="1:6" s="119" customFormat="1" ht="14.25" customHeight="1">
      <c r="A323" s="93" t="s">
        <v>292</v>
      </c>
      <c r="B323" s="97" t="s">
        <v>2431</v>
      </c>
      <c r="C323" s="97">
        <v>1780</v>
      </c>
      <c r="D323" s="97">
        <v>1740</v>
      </c>
      <c r="E323" s="97">
        <v>1720</v>
      </c>
      <c r="F323" s="133"/>
    </row>
    <row r="324" spans="1:6" s="119" customFormat="1" ht="14.25" customHeight="1">
      <c r="A324" s="93" t="s">
        <v>292</v>
      </c>
      <c r="B324" s="97" t="s">
        <v>2442</v>
      </c>
      <c r="C324" s="97">
        <v>1650</v>
      </c>
      <c r="D324" s="97">
        <v>1610</v>
      </c>
      <c r="E324" s="97">
        <v>1580</v>
      </c>
      <c r="F324" s="133"/>
    </row>
    <row r="325" spans="1:6" s="119" customFormat="1" ht="14.25" customHeight="1">
      <c r="A325" s="93" t="s">
        <v>292</v>
      </c>
      <c r="B325" s="97" t="s">
        <v>2452</v>
      </c>
      <c r="C325" s="97">
        <v>1330</v>
      </c>
      <c r="D325" s="97">
        <v>1270</v>
      </c>
      <c r="E325" s="97">
        <v>1240</v>
      </c>
      <c r="F325" s="130">
        <v>430</v>
      </c>
    </row>
    <row r="326" spans="1:6" s="119" customFormat="1" ht="14.25" customHeight="1">
      <c r="A326" s="93" t="s">
        <v>292</v>
      </c>
      <c r="B326" s="97" t="s">
        <v>2462</v>
      </c>
      <c r="C326" s="97">
        <v>1470</v>
      </c>
      <c r="D326" s="97">
        <v>1430</v>
      </c>
      <c r="E326" s="97">
        <v>1400</v>
      </c>
      <c r="F326" s="133"/>
    </row>
    <row r="327" spans="1:6" s="119" customFormat="1" ht="14.25" customHeight="1">
      <c r="A327" s="93" t="s">
        <v>292</v>
      </c>
      <c r="B327" s="97" t="s">
        <v>2472</v>
      </c>
      <c r="C327" s="97">
        <v>1420</v>
      </c>
      <c r="D327" s="97">
        <v>1380</v>
      </c>
      <c r="E327" s="97">
        <v>1360</v>
      </c>
      <c r="F327" s="130">
        <v>420</v>
      </c>
    </row>
    <row r="328" spans="1:6" s="119" customFormat="1" ht="14.25" customHeight="1">
      <c r="A328" s="93" t="s">
        <v>292</v>
      </c>
      <c r="B328" s="97" t="s">
        <v>2482</v>
      </c>
      <c r="C328" s="97">
        <v>1400</v>
      </c>
      <c r="D328" s="97">
        <v>1360</v>
      </c>
      <c r="E328" s="97">
        <v>1330</v>
      </c>
      <c r="F328" s="130">
        <v>460</v>
      </c>
    </row>
    <row r="329" spans="1:6" s="119" customFormat="1" ht="14.25" customHeight="1">
      <c r="A329" s="93" t="s">
        <v>292</v>
      </c>
      <c r="B329" s="97" t="s">
        <v>2492</v>
      </c>
      <c r="C329" s="97">
        <v>1640</v>
      </c>
      <c r="D329" s="97">
        <v>1610</v>
      </c>
      <c r="E329" s="97">
        <v>1580</v>
      </c>
      <c r="F329" s="130">
        <v>410</v>
      </c>
    </row>
    <row r="330" spans="1:6" s="119" customFormat="1" ht="14.25" customHeight="1">
      <c r="A330" s="93" t="s">
        <v>292</v>
      </c>
      <c r="B330" s="97" t="s">
        <v>2502</v>
      </c>
      <c r="C330" s="97">
        <v>1260</v>
      </c>
      <c r="D330" s="97">
        <v>1220</v>
      </c>
      <c r="E330" s="97">
        <v>1200</v>
      </c>
      <c r="F330" s="133"/>
    </row>
    <row r="331" spans="1:6" s="119" customFormat="1" ht="14.25" customHeight="1">
      <c r="A331" s="93" t="s">
        <v>292</v>
      </c>
      <c r="B331" s="97" t="s">
        <v>2512</v>
      </c>
      <c r="C331" s="97">
        <v>1620</v>
      </c>
      <c r="D331" s="97">
        <v>1560</v>
      </c>
      <c r="E331" s="97">
        <v>1530</v>
      </c>
      <c r="F331" s="130">
        <v>490</v>
      </c>
    </row>
    <row r="332" spans="1:6" s="119" customFormat="1" ht="14.25" customHeight="1">
      <c r="A332" s="93" t="s">
        <v>292</v>
      </c>
      <c r="B332" s="97" t="s">
        <v>2522</v>
      </c>
      <c r="C332" s="97">
        <v>1520</v>
      </c>
      <c r="D332" s="97">
        <v>1470</v>
      </c>
      <c r="E332" s="97">
        <v>1440</v>
      </c>
      <c r="F332" s="130">
        <v>440</v>
      </c>
    </row>
    <row r="333" spans="1:6" s="119" customFormat="1" ht="14.25" customHeight="1">
      <c r="A333" s="93" t="s">
        <v>292</v>
      </c>
      <c r="B333" s="97" t="s">
        <v>2532</v>
      </c>
      <c r="C333" s="97">
        <v>1370</v>
      </c>
      <c r="D333" s="97">
        <v>1320</v>
      </c>
      <c r="E333" s="97">
        <v>1300</v>
      </c>
      <c r="F333" s="130">
        <v>460</v>
      </c>
    </row>
    <row r="334" spans="1:6" s="119" customFormat="1" ht="14.25" customHeight="1">
      <c r="A334" s="93" t="s">
        <v>292</v>
      </c>
      <c r="B334" s="97" t="s">
        <v>2542</v>
      </c>
      <c r="C334" s="97">
        <v>1410</v>
      </c>
      <c r="D334" s="97">
        <v>1340</v>
      </c>
      <c r="E334" s="97">
        <v>1310</v>
      </c>
      <c r="F334" s="130">
        <v>410</v>
      </c>
    </row>
    <row r="335" spans="1:6" s="119" customFormat="1" ht="14.25" customHeight="1">
      <c r="A335" s="93" t="s">
        <v>292</v>
      </c>
      <c r="B335" s="97" t="s">
        <v>2552</v>
      </c>
      <c r="C335" s="97">
        <v>1260</v>
      </c>
      <c r="D335" s="97">
        <v>1220</v>
      </c>
      <c r="E335" s="97">
        <v>1200</v>
      </c>
      <c r="F335" s="133"/>
    </row>
    <row r="336" spans="1:6" s="119" customFormat="1" ht="14.25" customHeight="1">
      <c r="A336" s="93" t="s">
        <v>292</v>
      </c>
      <c r="B336" s="97" t="s">
        <v>2561</v>
      </c>
      <c r="C336" s="97">
        <v>1160</v>
      </c>
      <c r="D336" s="97">
        <v>1140</v>
      </c>
      <c r="E336" s="97">
        <v>1120</v>
      </c>
      <c r="F336" s="130">
        <v>430</v>
      </c>
    </row>
    <row r="337" spans="1:6" s="119" customFormat="1" ht="14.25" customHeight="1">
      <c r="A337" s="93" t="s">
        <v>292</v>
      </c>
      <c r="B337" s="108" t="s">
        <v>2569</v>
      </c>
      <c r="C337" s="108"/>
      <c r="D337" s="108"/>
      <c r="E337" s="108"/>
      <c r="F337" s="132">
        <v>380</v>
      </c>
    </row>
    <row r="338" spans="1:6" s="119" customFormat="1" ht="14.25" customHeight="1">
      <c r="A338" s="93" t="s">
        <v>295</v>
      </c>
      <c r="B338" s="94" t="s">
        <v>2360</v>
      </c>
      <c r="C338" s="94">
        <v>880</v>
      </c>
      <c r="D338" s="94">
        <v>850</v>
      </c>
      <c r="E338" s="94">
        <v>830</v>
      </c>
      <c r="F338" s="137"/>
    </row>
    <row r="339" spans="1:6" s="119" customFormat="1" ht="14.25" customHeight="1">
      <c r="A339" s="93" t="s">
        <v>295</v>
      </c>
      <c r="B339" s="97" t="s">
        <v>2373</v>
      </c>
      <c r="C339" s="97">
        <v>830</v>
      </c>
      <c r="D339" s="97">
        <v>800</v>
      </c>
      <c r="E339" s="97">
        <v>780</v>
      </c>
      <c r="F339" s="133"/>
    </row>
    <row r="340" spans="1:6" s="119" customFormat="1" ht="14.25" customHeight="1">
      <c r="A340" s="93" t="s">
        <v>295</v>
      </c>
      <c r="B340" s="97" t="s">
        <v>2386</v>
      </c>
      <c r="C340" s="97">
        <v>980</v>
      </c>
      <c r="D340" s="97">
        <v>950</v>
      </c>
      <c r="E340" s="97">
        <v>920</v>
      </c>
      <c r="F340" s="133"/>
    </row>
    <row r="341" spans="1:6" s="119" customFormat="1" ht="14.25" customHeight="1">
      <c r="A341" s="93" t="s">
        <v>295</v>
      </c>
      <c r="B341" s="97" t="s">
        <v>2398</v>
      </c>
      <c r="C341" s="97">
        <v>760</v>
      </c>
      <c r="D341" s="97">
        <v>720</v>
      </c>
      <c r="E341" s="97">
        <v>690</v>
      </c>
      <c r="F341" s="130">
        <v>350</v>
      </c>
    </row>
    <row r="342" spans="1:6" s="119" customFormat="1" ht="14.25" customHeight="1">
      <c r="A342" s="93" t="s">
        <v>295</v>
      </c>
      <c r="B342" s="97" t="s">
        <v>2410</v>
      </c>
      <c r="C342" s="97">
        <v>910</v>
      </c>
      <c r="D342" s="97">
        <v>870</v>
      </c>
      <c r="E342" s="97">
        <v>850</v>
      </c>
      <c r="F342" s="130">
        <v>370</v>
      </c>
    </row>
    <row r="343" spans="1:6" s="119" customFormat="1" ht="14.25" customHeight="1">
      <c r="A343" s="93" t="s">
        <v>295</v>
      </c>
      <c r="B343" s="97" t="s">
        <v>2421</v>
      </c>
      <c r="C343" s="97">
        <v>800</v>
      </c>
      <c r="D343" s="97">
        <v>760</v>
      </c>
      <c r="E343" s="97">
        <v>730</v>
      </c>
      <c r="F343" s="130">
        <v>340</v>
      </c>
    </row>
    <row r="344" spans="1:6" s="119" customFormat="1" ht="14.25" customHeight="1">
      <c r="A344" s="93" t="s">
        <v>295</v>
      </c>
      <c r="B344" s="108" t="s">
        <v>2432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609" t="s">
        <v>2691</v>
      </c>
      <c r="B1" s="3609"/>
    </row>
    <row r="2" spans="1:6">
      <c r="A2" s="89"/>
      <c r="B2" s="89"/>
    </row>
    <row r="3" spans="1:6">
      <c r="A3" s="89"/>
      <c r="B3" s="89"/>
      <c r="C3" s="90" t="s">
        <v>1885</v>
      </c>
      <c r="D3" s="90" t="s">
        <v>452</v>
      </c>
      <c r="E3" s="90" t="s">
        <v>1886</v>
      </c>
      <c r="F3" s="90" t="s">
        <v>1887</v>
      </c>
    </row>
    <row r="4" spans="1:6">
      <c r="A4" s="91" t="s">
        <v>2361</v>
      </c>
      <c r="B4" s="92" t="s">
        <v>2374</v>
      </c>
      <c r="C4" s="90"/>
      <c r="D4" s="90"/>
      <c r="E4" s="90"/>
      <c r="F4" s="90"/>
    </row>
    <row r="5" spans="1:6">
      <c r="A5" s="93" t="s">
        <v>230</v>
      </c>
      <c r="B5" s="94" t="s">
        <v>2349</v>
      </c>
      <c r="C5" s="95">
        <v>8.8999999999999996E-2</v>
      </c>
      <c r="D5" s="95">
        <v>7.3999999999999996E-2</v>
      </c>
      <c r="E5" s="95">
        <v>7.4999999999999997E-2</v>
      </c>
      <c r="F5" s="96">
        <v>0.1</v>
      </c>
    </row>
    <row r="6" spans="1:6">
      <c r="A6" s="93" t="s">
        <v>230</v>
      </c>
      <c r="B6" s="97" t="s">
        <v>2362</v>
      </c>
      <c r="C6" s="98">
        <v>0.1</v>
      </c>
      <c r="D6" s="98">
        <v>9.0999999999999998E-2</v>
      </c>
      <c r="E6" s="98">
        <v>9.0999999999999998E-2</v>
      </c>
      <c r="F6" s="99">
        <v>0.1</v>
      </c>
    </row>
    <row r="7" spans="1:6">
      <c r="A7" s="93" t="s">
        <v>230</v>
      </c>
      <c r="B7" s="100" t="s">
        <v>2376</v>
      </c>
      <c r="C7" s="98">
        <v>8.5999999999999993E-2</v>
      </c>
      <c r="D7" s="98">
        <v>9.6000000000000002E-2</v>
      </c>
      <c r="E7" s="98">
        <v>7.5999999999999998E-2</v>
      </c>
      <c r="F7" s="99">
        <v>0.1</v>
      </c>
    </row>
    <row r="8" spans="1:6">
      <c r="A8" s="93" t="s">
        <v>230</v>
      </c>
      <c r="B8" s="97" t="s">
        <v>2387</v>
      </c>
      <c r="C8" s="98">
        <v>9.9000000000000005E-2</v>
      </c>
      <c r="D8" s="98">
        <v>9.8000000000000004E-2</v>
      </c>
      <c r="E8" s="98">
        <v>9.8000000000000004E-2</v>
      </c>
      <c r="F8" s="99">
        <v>0.1</v>
      </c>
    </row>
    <row r="9" spans="1:6">
      <c r="A9" s="101" t="s">
        <v>230</v>
      </c>
      <c r="B9" s="102" t="s">
        <v>2399</v>
      </c>
      <c r="C9" s="103">
        <v>0.05</v>
      </c>
      <c r="D9" s="104"/>
      <c r="E9" s="104"/>
      <c r="F9" s="105"/>
    </row>
    <row r="10" spans="1:6">
      <c r="A10" s="93" t="s">
        <v>241</v>
      </c>
      <c r="B10" s="94" t="s">
        <v>2350</v>
      </c>
      <c r="C10" s="95">
        <v>8.8999999999999996E-2</v>
      </c>
      <c r="D10" s="95">
        <v>7.2999999999999995E-2</v>
      </c>
      <c r="E10" s="95">
        <v>8.2000000000000003E-2</v>
      </c>
      <c r="F10" s="96">
        <v>0.1</v>
      </c>
    </row>
    <row r="11" spans="1:6">
      <c r="A11" s="93" t="s">
        <v>241</v>
      </c>
      <c r="B11" s="100" t="s">
        <v>2363</v>
      </c>
      <c r="C11" s="98">
        <v>8.8999999999999996E-2</v>
      </c>
      <c r="D11" s="98">
        <v>7.2999999999999995E-2</v>
      </c>
      <c r="E11" s="98">
        <v>8.2000000000000003E-2</v>
      </c>
      <c r="F11" s="99">
        <v>0.1</v>
      </c>
    </row>
    <row r="12" spans="1:6">
      <c r="A12" s="93" t="s">
        <v>241</v>
      </c>
      <c r="B12" s="100" t="s">
        <v>403</v>
      </c>
      <c r="C12" s="98">
        <v>6.0999999999999999E-2</v>
      </c>
      <c r="D12" s="98">
        <v>7.0999999999999994E-2</v>
      </c>
      <c r="E12" s="98">
        <v>9.6000000000000002E-2</v>
      </c>
      <c r="F12" s="99">
        <v>0.1</v>
      </c>
    </row>
    <row r="13" spans="1:6">
      <c r="A13" s="93" t="s">
        <v>241</v>
      </c>
      <c r="B13" s="100" t="s">
        <v>2388</v>
      </c>
      <c r="C13" s="98">
        <v>6.9000000000000006E-2</v>
      </c>
      <c r="D13" s="98">
        <v>6.5000000000000002E-2</v>
      </c>
      <c r="E13" s="98">
        <v>6.6000000000000003E-2</v>
      </c>
      <c r="F13" s="99">
        <v>0.1</v>
      </c>
    </row>
    <row r="14" spans="1:6">
      <c r="A14" s="93" t="s">
        <v>241</v>
      </c>
      <c r="B14" s="100" t="s">
        <v>2400</v>
      </c>
      <c r="C14" s="98">
        <v>0.1</v>
      </c>
      <c r="D14" s="98">
        <v>6.5000000000000002E-2</v>
      </c>
      <c r="E14" s="98">
        <v>7.0000000000000007E-2</v>
      </c>
      <c r="F14" s="99">
        <v>0.1</v>
      </c>
    </row>
    <row r="15" spans="1:6">
      <c r="A15" s="93" t="s">
        <v>241</v>
      </c>
      <c r="B15" s="100" t="s">
        <v>2411</v>
      </c>
      <c r="C15" s="98">
        <v>9.8000000000000004E-2</v>
      </c>
      <c r="D15" s="98">
        <v>8.8999999999999996E-2</v>
      </c>
      <c r="E15" s="98">
        <v>8.8999999999999996E-2</v>
      </c>
      <c r="F15" s="99">
        <v>0.1</v>
      </c>
    </row>
    <row r="16" spans="1:6">
      <c r="A16" s="93" t="s">
        <v>241</v>
      </c>
      <c r="B16" s="100" t="s">
        <v>2422</v>
      </c>
      <c r="C16" s="98">
        <v>7.0000000000000007E-2</v>
      </c>
      <c r="D16" s="98">
        <v>9.2999999999999999E-2</v>
      </c>
      <c r="E16" s="98">
        <v>9.6000000000000002E-2</v>
      </c>
      <c r="F16" s="99">
        <v>0.1</v>
      </c>
    </row>
    <row r="17" spans="1:6">
      <c r="A17" s="93" t="s">
        <v>241</v>
      </c>
      <c r="B17" s="100" t="s">
        <v>2433</v>
      </c>
      <c r="C17" s="98">
        <v>9.5000000000000001E-2</v>
      </c>
      <c r="D17" s="98">
        <v>0.1</v>
      </c>
      <c r="E17" s="98">
        <v>0.1</v>
      </c>
      <c r="F17" s="106"/>
    </row>
    <row r="18" spans="1:6">
      <c r="A18" s="93" t="s">
        <v>241</v>
      </c>
      <c r="B18" s="100" t="s">
        <v>2443</v>
      </c>
      <c r="C18" s="98">
        <v>7.3999999999999996E-2</v>
      </c>
      <c r="D18" s="98">
        <v>9.9000000000000005E-2</v>
      </c>
      <c r="E18" s="98">
        <v>0.1</v>
      </c>
      <c r="F18" s="106"/>
    </row>
    <row r="19" spans="1:6">
      <c r="A19" s="93" t="s">
        <v>241</v>
      </c>
      <c r="B19" s="100" t="s">
        <v>2453</v>
      </c>
      <c r="C19" s="98">
        <v>9.9000000000000005E-2</v>
      </c>
      <c r="D19" s="98">
        <v>7.5999999999999998E-2</v>
      </c>
      <c r="E19" s="98">
        <v>8.6999999999999994E-2</v>
      </c>
      <c r="F19" s="106"/>
    </row>
    <row r="20" spans="1:6">
      <c r="A20" s="93" t="s">
        <v>241</v>
      </c>
      <c r="B20" s="100" t="s">
        <v>2463</v>
      </c>
      <c r="C20" s="98">
        <v>9.8000000000000004E-2</v>
      </c>
      <c r="D20" s="98">
        <v>8.5000000000000006E-2</v>
      </c>
      <c r="E20" s="98">
        <v>8.2000000000000003E-2</v>
      </c>
      <c r="F20" s="106"/>
    </row>
    <row r="21" spans="1:6">
      <c r="A21" s="93" t="s">
        <v>241</v>
      </c>
      <c r="B21" s="100" t="s">
        <v>2473</v>
      </c>
      <c r="C21" s="98">
        <v>6.6000000000000003E-2</v>
      </c>
      <c r="D21" s="98">
        <v>6.4000000000000001E-2</v>
      </c>
      <c r="E21" s="98">
        <v>6.5000000000000002E-2</v>
      </c>
      <c r="F21" s="106"/>
    </row>
    <row r="22" spans="1:6">
      <c r="A22" s="93" t="s">
        <v>241</v>
      </c>
      <c r="B22" s="100" t="s">
        <v>2483</v>
      </c>
      <c r="C22" s="98">
        <v>0.08</v>
      </c>
      <c r="D22" s="98">
        <v>9.8000000000000004E-2</v>
      </c>
      <c r="E22" s="98">
        <v>9.8000000000000004E-2</v>
      </c>
      <c r="F22" s="106"/>
    </row>
    <row r="23" spans="1:6">
      <c r="A23" s="93" t="s">
        <v>241</v>
      </c>
      <c r="B23" s="100" t="s">
        <v>2493</v>
      </c>
      <c r="C23" s="98">
        <v>9.9000000000000005E-2</v>
      </c>
      <c r="D23" s="98">
        <v>9.8000000000000004E-2</v>
      </c>
      <c r="E23" s="98">
        <v>9.0999999999999998E-2</v>
      </c>
      <c r="F23" s="106"/>
    </row>
    <row r="24" spans="1:6">
      <c r="A24" s="93" t="s">
        <v>241</v>
      </c>
      <c r="B24" s="100" t="s">
        <v>2503</v>
      </c>
      <c r="C24" s="98">
        <v>8.8999999999999996E-2</v>
      </c>
      <c r="D24" s="98">
        <v>9.7000000000000003E-2</v>
      </c>
      <c r="E24" s="98">
        <v>7.0000000000000007E-2</v>
      </c>
      <c r="F24" s="106"/>
    </row>
    <row r="25" spans="1:6">
      <c r="A25" s="93" t="s">
        <v>241</v>
      </c>
      <c r="B25" s="100" t="s">
        <v>2513</v>
      </c>
      <c r="C25" s="98">
        <v>8.8999999999999996E-2</v>
      </c>
      <c r="D25" s="98">
        <v>0.1</v>
      </c>
      <c r="E25" s="98">
        <v>8.1000000000000003E-2</v>
      </c>
      <c r="F25" s="106"/>
    </row>
    <row r="26" spans="1:6">
      <c r="A26" s="93" t="s">
        <v>241</v>
      </c>
      <c r="B26" s="100" t="s">
        <v>2523</v>
      </c>
      <c r="C26" s="107"/>
      <c r="D26" s="98">
        <v>9.6000000000000002E-2</v>
      </c>
      <c r="E26" s="98">
        <v>9.2999999999999999E-2</v>
      </c>
      <c r="F26" s="106"/>
    </row>
    <row r="27" spans="1:6">
      <c r="A27" s="93" t="s">
        <v>241</v>
      </c>
      <c r="B27" s="100" t="s">
        <v>2533</v>
      </c>
      <c r="C27" s="107"/>
      <c r="D27" s="98">
        <v>7.5999999999999998E-2</v>
      </c>
      <c r="E27" s="98">
        <v>9.1999999999999998E-2</v>
      </c>
      <c r="F27" s="106"/>
    </row>
    <row r="28" spans="1:6">
      <c r="A28" s="101" t="s">
        <v>241</v>
      </c>
      <c r="B28" s="102" t="s">
        <v>2543</v>
      </c>
      <c r="C28" s="104"/>
      <c r="D28" s="103">
        <v>7.5999999999999998E-2</v>
      </c>
      <c r="E28" s="103">
        <v>9.1999999999999998E-2</v>
      </c>
      <c r="F28" s="105"/>
    </row>
    <row r="29" spans="1:6">
      <c r="A29" s="93" t="s">
        <v>251</v>
      </c>
      <c r="B29" s="94" t="s">
        <v>2351</v>
      </c>
      <c r="C29" s="95">
        <v>6.4000000000000001E-2</v>
      </c>
      <c r="D29" s="95">
        <v>6.5000000000000002E-2</v>
      </c>
      <c r="E29" s="95">
        <v>6.9000000000000006E-2</v>
      </c>
      <c r="F29" s="96">
        <v>0.1</v>
      </c>
    </row>
    <row r="30" spans="1:6">
      <c r="A30" s="93" t="s">
        <v>251</v>
      </c>
      <c r="B30" s="100" t="s">
        <v>2364</v>
      </c>
      <c r="C30" s="98">
        <v>6.4000000000000001E-2</v>
      </c>
      <c r="D30" s="98">
        <v>9.9000000000000005E-2</v>
      </c>
      <c r="E30" s="98">
        <v>0.1</v>
      </c>
      <c r="F30" s="99">
        <v>0.1</v>
      </c>
    </row>
    <row r="31" spans="1:6">
      <c r="A31" s="93" t="s">
        <v>251</v>
      </c>
      <c r="B31" s="100" t="s">
        <v>2377</v>
      </c>
      <c r="C31" s="98">
        <v>0.1</v>
      </c>
      <c r="D31" s="98">
        <v>9.5000000000000001E-2</v>
      </c>
      <c r="E31" s="98">
        <v>8.8999999999999996E-2</v>
      </c>
      <c r="F31" s="99">
        <v>0.1</v>
      </c>
    </row>
    <row r="32" spans="1:6">
      <c r="A32" s="93" t="s">
        <v>251</v>
      </c>
      <c r="B32" s="100" t="s">
        <v>2389</v>
      </c>
      <c r="C32" s="98">
        <v>0.05</v>
      </c>
      <c r="D32" s="98">
        <v>0.05</v>
      </c>
      <c r="E32" s="98">
        <v>8.7999999999999995E-2</v>
      </c>
      <c r="F32" s="99">
        <v>0.1</v>
      </c>
    </row>
    <row r="33" spans="1:6">
      <c r="A33" s="93" t="s">
        <v>251</v>
      </c>
      <c r="B33" s="100" t="s">
        <v>2401</v>
      </c>
      <c r="C33" s="98">
        <v>7.4999999999999997E-2</v>
      </c>
      <c r="D33" s="98">
        <v>9.4E-2</v>
      </c>
      <c r="E33" s="98">
        <v>9.7000000000000003E-2</v>
      </c>
      <c r="F33" s="99">
        <v>0.1</v>
      </c>
    </row>
    <row r="34" spans="1:6">
      <c r="A34" s="93" t="s">
        <v>251</v>
      </c>
      <c r="B34" s="100" t="s">
        <v>2412</v>
      </c>
      <c r="C34" s="98">
        <v>9.8000000000000004E-2</v>
      </c>
      <c r="D34" s="98">
        <v>8.5999999999999993E-2</v>
      </c>
      <c r="E34" s="98">
        <v>9.7000000000000003E-2</v>
      </c>
      <c r="F34" s="99">
        <v>0.1</v>
      </c>
    </row>
    <row r="35" spans="1:6">
      <c r="A35" s="93" t="s">
        <v>251</v>
      </c>
      <c r="B35" s="100" t="s">
        <v>2423</v>
      </c>
      <c r="C35" s="98">
        <v>5.8999999999999997E-2</v>
      </c>
      <c r="D35" s="98">
        <v>6.5000000000000002E-2</v>
      </c>
      <c r="E35" s="98">
        <v>7.0000000000000007E-2</v>
      </c>
      <c r="F35" s="99">
        <v>0.1</v>
      </c>
    </row>
    <row r="36" spans="1:6">
      <c r="A36" s="93" t="s">
        <v>251</v>
      </c>
      <c r="B36" s="100" t="s">
        <v>2434</v>
      </c>
      <c r="C36" s="98">
        <v>6.3E-2</v>
      </c>
      <c r="D36" s="98">
        <v>0.1</v>
      </c>
      <c r="E36" s="98">
        <v>0.1</v>
      </c>
      <c r="F36" s="99">
        <v>0.1</v>
      </c>
    </row>
    <row r="37" spans="1:6">
      <c r="A37" s="93" t="s">
        <v>251</v>
      </c>
      <c r="B37" s="100" t="s">
        <v>2444</v>
      </c>
      <c r="C37" s="98">
        <v>7.3999999999999996E-2</v>
      </c>
      <c r="D37" s="98">
        <v>0.1</v>
      </c>
      <c r="E37" s="98">
        <v>0.1</v>
      </c>
      <c r="F37" s="99">
        <v>0.1</v>
      </c>
    </row>
    <row r="38" spans="1:6">
      <c r="A38" s="93" t="s">
        <v>251</v>
      </c>
      <c r="B38" s="100" t="s">
        <v>2454</v>
      </c>
      <c r="C38" s="98">
        <v>0.1</v>
      </c>
      <c r="D38" s="98">
        <v>9.6000000000000002E-2</v>
      </c>
      <c r="E38" s="98">
        <v>9.6000000000000002E-2</v>
      </c>
      <c r="F38" s="106"/>
    </row>
    <row r="39" spans="1:6">
      <c r="A39" s="93" t="s">
        <v>251</v>
      </c>
      <c r="B39" s="100" t="s">
        <v>2464</v>
      </c>
      <c r="C39" s="98">
        <v>0.1</v>
      </c>
      <c r="D39" s="98">
        <v>9.6000000000000002E-2</v>
      </c>
      <c r="E39" s="98">
        <v>9.6000000000000002E-2</v>
      </c>
      <c r="F39" s="106"/>
    </row>
    <row r="40" spans="1:6">
      <c r="A40" s="93" t="s">
        <v>251</v>
      </c>
      <c r="B40" s="100" t="s">
        <v>2474</v>
      </c>
      <c r="C40" s="98">
        <v>9.6000000000000002E-2</v>
      </c>
      <c r="D40" s="98">
        <v>0.1</v>
      </c>
      <c r="E40" s="98">
        <v>9.9000000000000005E-2</v>
      </c>
      <c r="F40" s="106"/>
    </row>
    <row r="41" spans="1:6">
      <c r="A41" s="93" t="s">
        <v>251</v>
      </c>
      <c r="B41" s="100" t="s">
        <v>2484</v>
      </c>
      <c r="C41" s="98">
        <v>9.6000000000000002E-2</v>
      </c>
      <c r="D41" s="98">
        <v>9.8000000000000004E-2</v>
      </c>
      <c r="E41" s="98">
        <v>9.8000000000000004E-2</v>
      </c>
      <c r="F41" s="106"/>
    </row>
    <row r="42" spans="1:6">
      <c r="A42" s="93" t="s">
        <v>251</v>
      </c>
      <c r="B42" s="100" t="s">
        <v>2494</v>
      </c>
      <c r="C42" s="98">
        <v>0.1</v>
      </c>
      <c r="D42" s="98">
        <v>8.7999999999999995E-2</v>
      </c>
      <c r="E42" s="98">
        <v>0.1</v>
      </c>
      <c r="F42" s="106"/>
    </row>
    <row r="43" spans="1:6">
      <c r="A43" s="93" t="s">
        <v>251</v>
      </c>
      <c r="B43" s="100" t="s">
        <v>2504</v>
      </c>
      <c r="C43" s="98">
        <v>9.8000000000000004E-2</v>
      </c>
      <c r="D43" s="98">
        <v>9.7000000000000003E-2</v>
      </c>
      <c r="E43" s="98">
        <v>9.6000000000000002E-2</v>
      </c>
      <c r="F43" s="106"/>
    </row>
    <row r="44" spans="1:6">
      <c r="A44" s="93" t="s">
        <v>251</v>
      </c>
      <c r="B44" s="100" t="s">
        <v>2514</v>
      </c>
      <c r="C44" s="98">
        <v>8.5999999999999993E-2</v>
      </c>
      <c r="D44" s="98">
        <v>7.9000000000000001E-2</v>
      </c>
      <c r="E44" s="98">
        <v>7.0999999999999994E-2</v>
      </c>
      <c r="F44" s="106"/>
    </row>
    <row r="45" spans="1:6">
      <c r="A45" s="93" t="s">
        <v>251</v>
      </c>
      <c r="B45" s="100" t="s">
        <v>2524</v>
      </c>
      <c r="C45" s="98">
        <v>9.8000000000000004E-2</v>
      </c>
      <c r="D45" s="98">
        <v>9.6000000000000002E-2</v>
      </c>
      <c r="E45" s="98">
        <v>9.6000000000000002E-2</v>
      </c>
      <c r="F45" s="106"/>
    </row>
    <row r="46" spans="1:6">
      <c r="A46" s="93" t="s">
        <v>251</v>
      </c>
      <c r="B46" s="100" t="s">
        <v>2534</v>
      </c>
      <c r="C46" s="98">
        <v>8.5999999999999993E-2</v>
      </c>
      <c r="D46" s="98">
        <v>9.8000000000000004E-2</v>
      </c>
      <c r="E46" s="98">
        <v>8.7999999999999995E-2</v>
      </c>
      <c r="F46" s="106"/>
    </row>
    <row r="47" spans="1:6">
      <c r="A47" s="93" t="s">
        <v>251</v>
      </c>
      <c r="B47" s="100" t="s">
        <v>2544</v>
      </c>
      <c r="C47" s="98">
        <v>9.6000000000000002E-2</v>
      </c>
      <c r="D47" s="107"/>
      <c r="E47" s="98">
        <v>6.9000000000000006E-2</v>
      </c>
      <c r="F47" s="106"/>
    </row>
    <row r="48" spans="1:6">
      <c r="A48" s="101" t="s">
        <v>251</v>
      </c>
      <c r="B48" s="102" t="s">
        <v>2553</v>
      </c>
      <c r="C48" s="103">
        <v>9.8000000000000004E-2</v>
      </c>
      <c r="D48" s="104"/>
      <c r="E48" s="103">
        <v>9.5000000000000001E-2</v>
      </c>
      <c r="F48" s="105"/>
    </row>
    <row r="49" spans="1:6">
      <c r="A49" s="93" t="s">
        <v>259</v>
      </c>
      <c r="B49" s="94" t="s">
        <v>2352</v>
      </c>
      <c r="C49" s="95">
        <v>9.7000000000000003E-2</v>
      </c>
      <c r="D49" s="95">
        <v>9.5000000000000001E-2</v>
      </c>
      <c r="E49" s="95">
        <v>9.7000000000000003E-2</v>
      </c>
      <c r="F49" s="96">
        <v>0.1</v>
      </c>
    </row>
    <row r="50" spans="1:6">
      <c r="A50" s="93" t="s">
        <v>259</v>
      </c>
      <c r="B50" s="97" t="s">
        <v>2365</v>
      </c>
      <c r="C50" s="98">
        <v>7.4999999999999997E-2</v>
      </c>
      <c r="D50" s="98">
        <v>9.5000000000000001E-2</v>
      </c>
      <c r="E50" s="98">
        <v>0.1</v>
      </c>
      <c r="F50" s="99">
        <v>0.1</v>
      </c>
    </row>
    <row r="51" spans="1:6">
      <c r="A51" s="93" t="s">
        <v>259</v>
      </c>
      <c r="B51" s="97" t="s">
        <v>2378</v>
      </c>
      <c r="C51" s="98">
        <v>9.8000000000000004E-2</v>
      </c>
      <c r="D51" s="98">
        <v>8.8999999999999996E-2</v>
      </c>
      <c r="E51" s="98">
        <v>0.1</v>
      </c>
      <c r="F51" s="99">
        <v>0.1</v>
      </c>
    </row>
    <row r="52" spans="1:6">
      <c r="A52" s="93" t="s">
        <v>259</v>
      </c>
      <c r="B52" s="97" t="s">
        <v>2390</v>
      </c>
      <c r="C52" s="98">
        <v>9.8000000000000004E-2</v>
      </c>
      <c r="D52" s="98">
        <v>9.7000000000000003E-2</v>
      </c>
      <c r="E52" s="98">
        <v>8.1000000000000003E-2</v>
      </c>
      <c r="F52" s="99">
        <v>0.1</v>
      </c>
    </row>
    <row r="53" spans="1:6">
      <c r="A53" s="93" t="s">
        <v>259</v>
      </c>
      <c r="B53" s="97" t="s">
        <v>2402</v>
      </c>
      <c r="C53" s="98">
        <v>9.7000000000000003E-2</v>
      </c>
      <c r="D53" s="98">
        <v>7.5999999999999998E-2</v>
      </c>
      <c r="E53" s="98">
        <v>7.0999999999999994E-2</v>
      </c>
      <c r="F53" s="99">
        <v>0.1</v>
      </c>
    </row>
    <row r="54" spans="1:6">
      <c r="A54" s="93" t="s">
        <v>259</v>
      </c>
      <c r="B54" s="97" t="s">
        <v>2413</v>
      </c>
      <c r="C54" s="98">
        <v>7.5999999999999998E-2</v>
      </c>
      <c r="D54" s="98">
        <v>0.1</v>
      </c>
      <c r="E54" s="98">
        <v>9.9000000000000005E-2</v>
      </c>
      <c r="F54" s="99">
        <v>0.1</v>
      </c>
    </row>
    <row r="55" spans="1:6">
      <c r="A55" s="93" t="s">
        <v>259</v>
      </c>
      <c r="B55" s="97" t="s">
        <v>2424</v>
      </c>
      <c r="C55" s="98">
        <v>0.1</v>
      </c>
      <c r="D55" s="98">
        <v>0.1</v>
      </c>
      <c r="E55" s="98">
        <v>9.6000000000000002E-2</v>
      </c>
      <c r="F55" s="99">
        <v>0.1</v>
      </c>
    </row>
    <row r="56" spans="1:6">
      <c r="A56" s="93" t="s">
        <v>259</v>
      </c>
      <c r="B56" s="97" t="s">
        <v>2435</v>
      </c>
      <c r="C56" s="98">
        <v>0.1</v>
      </c>
      <c r="D56" s="98">
        <v>9.6000000000000002E-2</v>
      </c>
      <c r="E56" s="98">
        <v>5.1999999999999998E-2</v>
      </c>
      <c r="F56" s="99">
        <v>0.1</v>
      </c>
    </row>
    <row r="57" spans="1:6">
      <c r="A57" s="93" t="s">
        <v>259</v>
      </c>
      <c r="B57" s="97" t="s">
        <v>2445</v>
      </c>
      <c r="C57" s="98">
        <v>9.7000000000000003E-2</v>
      </c>
      <c r="D57" s="98">
        <v>9.6000000000000002E-2</v>
      </c>
      <c r="E57" s="98">
        <v>9.6000000000000002E-2</v>
      </c>
      <c r="F57" s="99">
        <v>0.1</v>
      </c>
    </row>
    <row r="58" spans="1:6">
      <c r="A58" s="93" t="s">
        <v>259</v>
      </c>
      <c r="B58" s="97" t="s">
        <v>2455</v>
      </c>
      <c r="C58" s="98">
        <v>9.6000000000000002E-2</v>
      </c>
      <c r="D58" s="98">
        <v>9.9000000000000005E-2</v>
      </c>
      <c r="E58" s="98">
        <v>9.6000000000000002E-2</v>
      </c>
      <c r="F58" s="99">
        <v>0.1</v>
      </c>
    </row>
    <row r="59" spans="1:6">
      <c r="A59" s="93" t="s">
        <v>259</v>
      </c>
      <c r="B59" s="97" t="s">
        <v>2465</v>
      </c>
      <c r="C59" s="98">
        <v>7.1999999999999995E-2</v>
      </c>
      <c r="D59" s="98">
        <v>9.6000000000000002E-2</v>
      </c>
      <c r="E59" s="98">
        <v>7.0999999999999994E-2</v>
      </c>
      <c r="F59" s="99">
        <v>0.1</v>
      </c>
    </row>
    <row r="60" spans="1:6">
      <c r="A60" s="93" t="s">
        <v>259</v>
      </c>
      <c r="B60" s="97" t="s">
        <v>2475</v>
      </c>
      <c r="C60" s="98">
        <v>9.6000000000000002E-2</v>
      </c>
      <c r="D60" s="98">
        <v>8.8999999999999996E-2</v>
      </c>
      <c r="E60" s="98">
        <v>9.6000000000000002E-2</v>
      </c>
      <c r="F60" s="99">
        <v>0.1</v>
      </c>
    </row>
    <row r="61" spans="1:6">
      <c r="A61" s="93" t="s">
        <v>259</v>
      </c>
      <c r="B61" s="97" t="s">
        <v>2485</v>
      </c>
      <c r="C61" s="98">
        <v>8.8999999999999996E-2</v>
      </c>
      <c r="D61" s="98">
        <v>9.8000000000000004E-2</v>
      </c>
      <c r="E61" s="98">
        <v>8.7999999999999995E-2</v>
      </c>
      <c r="F61" s="106"/>
    </row>
    <row r="62" spans="1:6">
      <c r="A62" s="93" t="s">
        <v>259</v>
      </c>
      <c r="B62" s="97" t="s">
        <v>2495</v>
      </c>
      <c r="C62" s="98">
        <v>9.8000000000000004E-2</v>
      </c>
      <c r="D62" s="98">
        <v>9.2999999999999999E-2</v>
      </c>
      <c r="E62" s="98">
        <v>9.7000000000000003E-2</v>
      </c>
      <c r="F62" s="106"/>
    </row>
    <row r="63" spans="1:6">
      <c r="A63" s="93" t="s">
        <v>259</v>
      </c>
      <c r="B63" s="97" t="s">
        <v>2505</v>
      </c>
      <c r="C63" s="98">
        <v>9.6000000000000002E-2</v>
      </c>
      <c r="D63" s="98">
        <v>9.8000000000000004E-2</v>
      </c>
      <c r="E63" s="98">
        <v>0.09</v>
      </c>
      <c r="F63" s="106"/>
    </row>
    <row r="64" spans="1:6">
      <c r="A64" s="93" t="s">
        <v>259</v>
      </c>
      <c r="B64" s="97" t="s">
        <v>2515</v>
      </c>
      <c r="C64" s="98">
        <v>9.9000000000000005E-2</v>
      </c>
      <c r="D64" s="98">
        <v>9.7000000000000003E-2</v>
      </c>
      <c r="E64" s="98">
        <v>9.9000000000000005E-2</v>
      </c>
      <c r="F64" s="106"/>
    </row>
    <row r="65" spans="1:6">
      <c r="A65" s="93" t="s">
        <v>259</v>
      </c>
      <c r="B65" s="97" t="s">
        <v>2525</v>
      </c>
      <c r="C65" s="98">
        <v>9.8000000000000004E-2</v>
      </c>
      <c r="D65" s="98">
        <v>9.6000000000000002E-2</v>
      </c>
      <c r="E65" s="98">
        <v>9.6000000000000002E-2</v>
      </c>
      <c r="F65" s="106"/>
    </row>
    <row r="66" spans="1:6">
      <c r="A66" s="93" t="s">
        <v>259</v>
      </c>
      <c r="B66" s="97" t="s">
        <v>2535</v>
      </c>
      <c r="C66" s="98">
        <v>9.6000000000000002E-2</v>
      </c>
      <c r="D66" s="98">
        <v>9.1999999999999998E-2</v>
      </c>
      <c r="E66" s="98">
        <v>9.6000000000000002E-2</v>
      </c>
      <c r="F66" s="106"/>
    </row>
    <row r="67" spans="1:6">
      <c r="A67" s="93" t="s">
        <v>259</v>
      </c>
      <c r="B67" s="97" t="s">
        <v>2545</v>
      </c>
      <c r="C67" s="98">
        <v>9.4E-2</v>
      </c>
      <c r="D67" s="98">
        <v>0.1</v>
      </c>
      <c r="E67" s="98">
        <v>8.7999999999999995E-2</v>
      </c>
      <c r="F67" s="106"/>
    </row>
    <row r="68" spans="1:6">
      <c r="A68" s="93" t="s">
        <v>259</v>
      </c>
      <c r="B68" s="97" t="s">
        <v>2554</v>
      </c>
      <c r="C68" s="98">
        <v>0.1</v>
      </c>
      <c r="D68" s="98">
        <v>8.7999999999999995E-2</v>
      </c>
      <c r="E68" s="98">
        <v>9.7000000000000003E-2</v>
      </c>
      <c r="F68" s="106"/>
    </row>
    <row r="69" spans="1:6">
      <c r="A69" s="93" t="s">
        <v>259</v>
      </c>
      <c r="B69" s="97" t="s">
        <v>2562</v>
      </c>
      <c r="C69" s="98">
        <v>6.4000000000000001E-2</v>
      </c>
      <c r="D69" s="98">
        <v>0.1</v>
      </c>
      <c r="E69" s="98">
        <v>0.1</v>
      </c>
      <c r="F69" s="106"/>
    </row>
    <row r="70" spans="1:6">
      <c r="A70" s="93" t="s">
        <v>259</v>
      </c>
      <c r="B70" s="97" t="s">
        <v>2570</v>
      </c>
      <c r="C70" s="98">
        <v>9.0999999999999998E-2</v>
      </c>
      <c r="D70" s="107"/>
      <c r="E70" s="107"/>
      <c r="F70" s="106"/>
    </row>
    <row r="71" spans="1:6">
      <c r="A71" s="93" t="s">
        <v>259</v>
      </c>
      <c r="B71" s="97" t="s">
        <v>2577</v>
      </c>
      <c r="C71" s="98">
        <v>0.1</v>
      </c>
      <c r="D71" s="107"/>
      <c r="E71" s="107"/>
      <c r="F71" s="106"/>
    </row>
    <row r="72" spans="1:6" ht="24">
      <c r="A72" s="93" t="s">
        <v>259</v>
      </c>
      <c r="B72" s="97" t="s">
        <v>2584</v>
      </c>
      <c r="C72" s="107"/>
      <c r="D72" s="107"/>
      <c r="E72" s="107"/>
      <c r="F72" s="99">
        <v>0.05</v>
      </c>
    </row>
    <row r="73" spans="1:6" ht="24">
      <c r="A73" s="93" t="s">
        <v>259</v>
      </c>
      <c r="B73" s="97" t="s">
        <v>2591</v>
      </c>
      <c r="C73" s="107"/>
      <c r="D73" s="107"/>
      <c r="E73" s="107"/>
      <c r="F73" s="99">
        <v>0.05</v>
      </c>
    </row>
    <row r="74" spans="1:6" ht="24">
      <c r="A74" s="93" t="s">
        <v>259</v>
      </c>
      <c r="B74" s="97" t="s">
        <v>2598</v>
      </c>
      <c r="C74" s="107"/>
      <c r="D74" s="107"/>
      <c r="E74" s="107"/>
      <c r="F74" s="99">
        <v>0.05</v>
      </c>
    </row>
    <row r="75" spans="1:6" ht="24">
      <c r="A75" s="101" t="s">
        <v>259</v>
      </c>
      <c r="B75" s="108" t="s">
        <v>2605</v>
      </c>
      <c r="C75" s="104"/>
      <c r="D75" s="104"/>
      <c r="E75" s="104"/>
      <c r="F75" s="109">
        <v>0.05</v>
      </c>
    </row>
    <row r="76" spans="1:6">
      <c r="A76" s="93" t="s">
        <v>267</v>
      </c>
      <c r="B76" s="94" t="s">
        <v>2353</v>
      </c>
      <c r="C76" s="95">
        <v>0.1</v>
      </c>
      <c r="D76" s="95">
        <v>0.1</v>
      </c>
      <c r="E76" s="95">
        <v>0.1</v>
      </c>
      <c r="F76" s="96">
        <v>0.1</v>
      </c>
    </row>
    <row r="77" spans="1:6">
      <c r="A77" s="93" t="s">
        <v>267</v>
      </c>
      <c r="B77" s="97" t="s">
        <v>2366</v>
      </c>
      <c r="C77" s="98">
        <v>8.7999999999999995E-2</v>
      </c>
      <c r="D77" s="98">
        <v>8.6999999999999994E-2</v>
      </c>
      <c r="E77" s="98">
        <v>7.9000000000000001E-2</v>
      </c>
      <c r="F77" s="99">
        <v>0.1</v>
      </c>
    </row>
    <row r="78" spans="1:6">
      <c r="A78" s="93" t="s">
        <v>267</v>
      </c>
      <c r="B78" s="97" t="s">
        <v>2379</v>
      </c>
      <c r="C78" s="98">
        <v>8.6999999999999994E-2</v>
      </c>
      <c r="D78" s="98">
        <v>8.4000000000000005E-2</v>
      </c>
      <c r="E78" s="98">
        <v>9.6000000000000002E-2</v>
      </c>
      <c r="F78" s="99">
        <v>0.1</v>
      </c>
    </row>
    <row r="79" spans="1:6">
      <c r="A79" s="93" t="s">
        <v>267</v>
      </c>
      <c r="B79" s="97" t="s">
        <v>2391</v>
      </c>
      <c r="C79" s="98">
        <v>9.8000000000000004E-2</v>
      </c>
      <c r="D79" s="98">
        <v>9.8000000000000004E-2</v>
      </c>
      <c r="E79" s="98">
        <v>9.0999999999999998E-2</v>
      </c>
      <c r="F79" s="99">
        <v>0.1</v>
      </c>
    </row>
    <row r="80" spans="1:6">
      <c r="A80" s="93" t="s">
        <v>267</v>
      </c>
      <c r="B80" s="97" t="s">
        <v>2403</v>
      </c>
      <c r="C80" s="98">
        <v>9.6000000000000002E-2</v>
      </c>
      <c r="D80" s="98">
        <v>9.6000000000000002E-2</v>
      </c>
      <c r="E80" s="98">
        <v>0.1</v>
      </c>
      <c r="F80" s="99">
        <v>0.1</v>
      </c>
    </row>
    <row r="81" spans="1:6">
      <c r="A81" s="93" t="s">
        <v>267</v>
      </c>
      <c r="B81" s="97" t="s">
        <v>2414</v>
      </c>
      <c r="C81" s="98">
        <v>9.9000000000000005E-2</v>
      </c>
      <c r="D81" s="98">
        <v>9.9000000000000005E-2</v>
      </c>
      <c r="E81" s="98">
        <v>9.8000000000000004E-2</v>
      </c>
      <c r="F81" s="99">
        <v>0.1</v>
      </c>
    </row>
    <row r="82" spans="1:6">
      <c r="A82" s="93" t="s">
        <v>267</v>
      </c>
      <c r="B82" s="97" t="s">
        <v>2425</v>
      </c>
      <c r="C82" s="98">
        <v>9.9000000000000005E-2</v>
      </c>
      <c r="D82" s="98">
        <v>9.9000000000000005E-2</v>
      </c>
      <c r="E82" s="98">
        <v>9.7000000000000003E-2</v>
      </c>
      <c r="F82" s="99">
        <v>0.1</v>
      </c>
    </row>
    <row r="83" spans="1:6">
      <c r="A83" s="93" t="s">
        <v>267</v>
      </c>
      <c r="B83" s="97" t="s">
        <v>2436</v>
      </c>
      <c r="C83" s="98">
        <v>9.8000000000000004E-2</v>
      </c>
      <c r="D83" s="98">
        <v>9.8000000000000004E-2</v>
      </c>
      <c r="E83" s="98">
        <v>9.8000000000000004E-2</v>
      </c>
      <c r="F83" s="99">
        <v>0.1</v>
      </c>
    </row>
    <row r="84" spans="1:6">
      <c r="A84" s="93" t="s">
        <v>267</v>
      </c>
      <c r="B84" s="97" t="s">
        <v>2446</v>
      </c>
      <c r="C84" s="98">
        <v>9.9000000000000005E-2</v>
      </c>
      <c r="D84" s="98">
        <v>9.9000000000000005E-2</v>
      </c>
      <c r="E84" s="98">
        <v>9.9000000000000005E-2</v>
      </c>
      <c r="F84" s="99">
        <v>0.1</v>
      </c>
    </row>
    <row r="85" spans="1:6">
      <c r="A85" s="93" t="s">
        <v>267</v>
      </c>
      <c r="B85" s="97" t="s">
        <v>2456</v>
      </c>
      <c r="C85" s="98">
        <v>9.9000000000000005E-2</v>
      </c>
      <c r="D85" s="98">
        <v>9.9000000000000005E-2</v>
      </c>
      <c r="E85" s="98">
        <v>9.9000000000000005E-2</v>
      </c>
      <c r="F85" s="99">
        <v>0.1</v>
      </c>
    </row>
    <row r="86" spans="1:6">
      <c r="A86" s="93" t="s">
        <v>267</v>
      </c>
      <c r="B86" s="97" t="s">
        <v>2466</v>
      </c>
      <c r="C86" s="98">
        <v>0.1</v>
      </c>
      <c r="D86" s="98">
        <v>0.1</v>
      </c>
      <c r="E86" s="98">
        <v>7.6999999999999999E-2</v>
      </c>
      <c r="F86" s="99">
        <v>0.1</v>
      </c>
    </row>
    <row r="87" spans="1:6">
      <c r="A87" s="93" t="s">
        <v>267</v>
      </c>
      <c r="B87" s="97" t="s">
        <v>2476</v>
      </c>
      <c r="C87" s="98">
        <v>0.1</v>
      </c>
      <c r="D87" s="98">
        <v>0.1</v>
      </c>
      <c r="E87" s="98">
        <v>9.8000000000000004E-2</v>
      </c>
      <c r="F87" s="106"/>
    </row>
    <row r="88" spans="1:6">
      <c r="A88" s="93" t="s">
        <v>267</v>
      </c>
      <c r="B88" s="97" t="s">
        <v>2486</v>
      </c>
      <c r="C88" s="98">
        <v>9.1999999999999998E-2</v>
      </c>
      <c r="D88" s="98">
        <v>8.5000000000000006E-2</v>
      </c>
      <c r="E88" s="98">
        <v>9.6000000000000002E-2</v>
      </c>
      <c r="F88" s="106"/>
    </row>
    <row r="89" spans="1:6">
      <c r="A89" s="93" t="s">
        <v>267</v>
      </c>
      <c r="B89" s="97" t="s">
        <v>2496</v>
      </c>
      <c r="C89" s="98">
        <v>0.1</v>
      </c>
      <c r="D89" s="98">
        <v>0.1</v>
      </c>
      <c r="E89" s="98">
        <v>9.7000000000000003E-2</v>
      </c>
      <c r="F89" s="106"/>
    </row>
    <row r="90" spans="1:6">
      <c r="A90" s="93" t="s">
        <v>267</v>
      </c>
      <c r="B90" s="97" t="s">
        <v>2506</v>
      </c>
      <c r="C90" s="98">
        <v>9.8000000000000004E-2</v>
      </c>
      <c r="D90" s="98">
        <v>9.8000000000000004E-2</v>
      </c>
      <c r="E90" s="98">
        <v>8.7999999999999995E-2</v>
      </c>
      <c r="F90" s="106"/>
    </row>
    <row r="91" spans="1:6">
      <c r="A91" s="93" t="s">
        <v>267</v>
      </c>
      <c r="B91" s="97" t="s">
        <v>2516</v>
      </c>
      <c r="C91" s="98">
        <v>9.9000000000000005E-2</v>
      </c>
      <c r="D91" s="98">
        <v>9.9000000000000005E-2</v>
      </c>
      <c r="E91" s="98">
        <v>9.0999999999999998E-2</v>
      </c>
      <c r="F91" s="106"/>
    </row>
    <row r="92" spans="1:6">
      <c r="A92" s="93" t="s">
        <v>267</v>
      </c>
      <c r="B92" s="97" t="s">
        <v>2526</v>
      </c>
      <c r="C92" s="98">
        <v>9.6000000000000002E-2</v>
      </c>
      <c r="D92" s="98">
        <v>9.6000000000000002E-2</v>
      </c>
      <c r="E92" s="98">
        <v>7.2999999999999995E-2</v>
      </c>
      <c r="F92" s="106"/>
    </row>
    <row r="93" spans="1:6">
      <c r="A93" s="93" t="s">
        <v>267</v>
      </c>
      <c r="B93" s="97" t="s">
        <v>2536</v>
      </c>
      <c r="C93" s="98">
        <v>9.6000000000000002E-2</v>
      </c>
      <c r="D93" s="98">
        <v>9.6000000000000002E-2</v>
      </c>
      <c r="E93" s="98">
        <v>9.9000000000000005E-2</v>
      </c>
      <c r="F93" s="106"/>
    </row>
    <row r="94" spans="1:6">
      <c r="A94" s="93" t="s">
        <v>267</v>
      </c>
      <c r="B94" s="97" t="s">
        <v>2546</v>
      </c>
      <c r="C94" s="98">
        <v>7.5999999999999998E-2</v>
      </c>
      <c r="D94" s="98">
        <v>7.3999999999999996E-2</v>
      </c>
      <c r="E94" s="98">
        <v>9.7000000000000003E-2</v>
      </c>
      <c r="F94" s="106"/>
    </row>
    <row r="95" spans="1:6">
      <c r="A95" s="93" t="s">
        <v>267</v>
      </c>
      <c r="B95" s="97" t="s">
        <v>2555</v>
      </c>
      <c r="C95" s="98">
        <v>9.9000000000000005E-2</v>
      </c>
      <c r="D95" s="98">
        <v>9.4E-2</v>
      </c>
      <c r="E95" s="98">
        <v>9.6000000000000002E-2</v>
      </c>
      <c r="F95" s="106"/>
    </row>
    <row r="96" spans="1:6">
      <c r="A96" s="93" t="s">
        <v>267</v>
      </c>
      <c r="B96" s="97" t="s">
        <v>2563</v>
      </c>
      <c r="C96" s="98">
        <v>9.9000000000000005E-2</v>
      </c>
      <c r="D96" s="98">
        <v>9.9000000000000005E-2</v>
      </c>
      <c r="E96" s="98">
        <v>9.9000000000000005E-2</v>
      </c>
      <c r="F96" s="106"/>
    </row>
    <row r="97" spans="1:6">
      <c r="A97" s="93" t="s">
        <v>267</v>
      </c>
      <c r="B97" s="97" t="s">
        <v>2571</v>
      </c>
      <c r="C97" s="98">
        <v>9.8000000000000004E-2</v>
      </c>
      <c r="D97" s="98">
        <v>9.8000000000000004E-2</v>
      </c>
      <c r="E97" s="98">
        <v>9.7000000000000003E-2</v>
      </c>
      <c r="F97" s="106"/>
    </row>
    <row r="98" spans="1:6">
      <c r="A98" s="93" t="s">
        <v>267</v>
      </c>
      <c r="B98" s="97" t="s">
        <v>2578</v>
      </c>
      <c r="C98" s="98">
        <v>0.1</v>
      </c>
      <c r="D98" s="98">
        <v>0.1</v>
      </c>
      <c r="E98" s="98">
        <v>9.7000000000000003E-2</v>
      </c>
      <c r="F98" s="106"/>
    </row>
    <row r="99" spans="1:6">
      <c r="A99" s="93" t="s">
        <v>267</v>
      </c>
      <c r="B99" s="97" t="s">
        <v>2585</v>
      </c>
      <c r="C99" s="98">
        <v>0.1</v>
      </c>
      <c r="D99" s="98">
        <v>0.1</v>
      </c>
      <c r="E99" s="107"/>
      <c r="F99" s="106"/>
    </row>
    <row r="100" spans="1:6">
      <c r="A100" s="93" t="s">
        <v>267</v>
      </c>
      <c r="B100" s="97" t="s">
        <v>2592</v>
      </c>
      <c r="C100" s="98">
        <v>0.09</v>
      </c>
      <c r="D100" s="98">
        <v>8.8999999999999996E-2</v>
      </c>
      <c r="E100" s="107"/>
      <c r="F100" s="106"/>
    </row>
    <row r="101" spans="1:6">
      <c r="A101" s="93" t="s">
        <v>267</v>
      </c>
      <c r="B101" s="97" t="s">
        <v>2599</v>
      </c>
      <c r="C101" s="98">
        <v>9.8000000000000004E-2</v>
      </c>
      <c r="D101" s="98">
        <v>9.7000000000000003E-2</v>
      </c>
      <c r="E101" s="107"/>
      <c r="F101" s="106"/>
    </row>
    <row r="102" spans="1:6" ht="24">
      <c r="A102" s="93" t="s">
        <v>267</v>
      </c>
      <c r="B102" s="97" t="s">
        <v>2606</v>
      </c>
      <c r="C102" s="107"/>
      <c r="D102" s="107"/>
      <c r="E102" s="107"/>
      <c r="F102" s="99">
        <v>0.05</v>
      </c>
    </row>
    <row r="103" spans="1:6" ht="24">
      <c r="A103" s="93" t="s">
        <v>267</v>
      </c>
      <c r="B103" s="97" t="s">
        <v>2611</v>
      </c>
      <c r="C103" s="107"/>
      <c r="D103" s="107"/>
      <c r="E103" s="107"/>
      <c r="F103" s="99">
        <v>0.05</v>
      </c>
    </row>
    <row r="104" spans="1:6">
      <c r="A104" s="93" t="s">
        <v>267</v>
      </c>
      <c r="B104" s="97" t="s">
        <v>2616</v>
      </c>
      <c r="C104" s="107"/>
      <c r="D104" s="107"/>
      <c r="E104" s="107"/>
      <c r="F104" s="99">
        <v>0.05</v>
      </c>
    </row>
    <row r="105" spans="1:6" ht="24">
      <c r="A105" s="93" t="s">
        <v>267</v>
      </c>
      <c r="B105" s="97" t="s">
        <v>2621</v>
      </c>
      <c r="C105" s="107"/>
      <c r="D105" s="107"/>
      <c r="E105" s="107"/>
      <c r="F105" s="99">
        <v>0.05</v>
      </c>
    </row>
    <row r="106" spans="1:6" ht="24">
      <c r="A106" s="93" t="s">
        <v>267</v>
      </c>
      <c r="B106" s="97" t="s">
        <v>2626</v>
      </c>
      <c r="C106" s="107"/>
      <c r="D106" s="107"/>
      <c r="E106" s="107"/>
      <c r="F106" s="99">
        <v>0.05</v>
      </c>
    </row>
    <row r="107" spans="1:6" ht="24">
      <c r="A107" s="93" t="s">
        <v>267</v>
      </c>
      <c r="B107" s="97" t="s">
        <v>2631</v>
      </c>
      <c r="C107" s="107"/>
      <c r="D107" s="107"/>
      <c r="E107" s="107"/>
      <c r="F107" s="99">
        <v>0.05</v>
      </c>
    </row>
    <row r="108" spans="1:6" ht="24">
      <c r="A108" s="93" t="s">
        <v>267</v>
      </c>
      <c r="B108" s="97" t="s">
        <v>2636</v>
      </c>
      <c r="C108" s="107"/>
      <c r="D108" s="107"/>
      <c r="E108" s="107"/>
      <c r="F108" s="99">
        <v>0.05</v>
      </c>
    </row>
    <row r="109" spans="1:6" ht="24">
      <c r="A109" s="101" t="s">
        <v>267</v>
      </c>
      <c r="B109" s="108" t="s">
        <v>2641</v>
      </c>
      <c r="C109" s="104"/>
      <c r="D109" s="104"/>
      <c r="E109" s="104"/>
      <c r="F109" s="109">
        <v>0.05</v>
      </c>
    </row>
    <row r="110" spans="1:6">
      <c r="A110" s="93" t="s">
        <v>273</v>
      </c>
      <c r="B110" s="94" t="s">
        <v>2354</v>
      </c>
      <c r="C110" s="95">
        <v>0.129</v>
      </c>
      <c r="D110" s="95">
        <v>0.129</v>
      </c>
      <c r="E110" s="95">
        <v>0.126</v>
      </c>
      <c r="F110" s="96">
        <v>0.13</v>
      </c>
    </row>
    <row r="111" spans="1:6">
      <c r="A111" s="93" t="s">
        <v>273</v>
      </c>
      <c r="B111" s="97" t="s">
        <v>2367</v>
      </c>
      <c r="C111" s="98">
        <v>0.11</v>
      </c>
      <c r="D111" s="98">
        <v>0.11</v>
      </c>
      <c r="E111" s="98">
        <v>9.9000000000000005E-2</v>
      </c>
      <c r="F111" s="99">
        <v>0.128</v>
      </c>
    </row>
    <row r="112" spans="1:6">
      <c r="A112" s="93" t="s">
        <v>273</v>
      </c>
      <c r="B112" s="97" t="s">
        <v>2380</v>
      </c>
      <c r="C112" s="98">
        <v>0.125</v>
      </c>
      <c r="D112" s="98">
        <v>0.125</v>
      </c>
      <c r="E112" s="98">
        <v>0.12</v>
      </c>
      <c r="F112" s="99">
        <v>0.125</v>
      </c>
    </row>
    <row r="113" spans="1:6">
      <c r="A113" s="93" t="s">
        <v>273</v>
      </c>
      <c r="B113" s="97" t="s">
        <v>2392</v>
      </c>
      <c r="C113" s="98">
        <v>0.13</v>
      </c>
      <c r="D113" s="98">
        <v>0.13</v>
      </c>
      <c r="E113" s="98">
        <v>0.13</v>
      </c>
      <c r="F113" s="99">
        <v>0.13</v>
      </c>
    </row>
    <row r="114" spans="1:6">
      <c r="A114" s="93" t="s">
        <v>273</v>
      </c>
      <c r="B114" s="97" t="s">
        <v>2404</v>
      </c>
      <c r="C114" s="98">
        <v>0.123</v>
      </c>
      <c r="D114" s="98">
        <v>0.123</v>
      </c>
      <c r="E114" s="98">
        <v>0.12</v>
      </c>
      <c r="F114" s="99">
        <v>0.13</v>
      </c>
    </row>
    <row r="115" spans="1:6">
      <c r="A115" s="93" t="s">
        <v>273</v>
      </c>
      <c r="B115" s="97" t="s">
        <v>2415</v>
      </c>
      <c r="C115" s="98">
        <v>0.125</v>
      </c>
      <c r="D115" s="98">
        <v>0.125</v>
      </c>
      <c r="E115" s="98">
        <v>0.11700000000000001</v>
      </c>
      <c r="F115" s="99">
        <v>0.13</v>
      </c>
    </row>
    <row r="116" spans="1:6">
      <c r="A116" s="93" t="s">
        <v>273</v>
      </c>
      <c r="B116" s="97" t="s">
        <v>2426</v>
      </c>
      <c r="C116" s="98">
        <v>0.11700000000000001</v>
      </c>
      <c r="D116" s="98">
        <v>0.11700000000000001</v>
      </c>
      <c r="E116" s="98">
        <v>8.7999999999999995E-2</v>
      </c>
      <c r="F116" s="99">
        <v>0.13</v>
      </c>
    </row>
    <row r="117" spans="1:6">
      <c r="A117" s="93" t="s">
        <v>273</v>
      </c>
      <c r="B117" s="97" t="s">
        <v>2437</v>
      </c>
      <c r="C117" s="98">
        <v>0.13</v>
      </c>
      <c r="D117" s="98">
        <v>0.13</v>
      </c>
      <c r="E117" s="98">
        <v>0.129</v>
      </c>
      <c r="F117" s="99">
        <v>0.13</v>
      </c>
    </row>
    <row r="118" spans="1:6">
      <c r="A118" s="93" t="s">
        <v>273</v>
      </c>
      <c r="B118" s="97" t="s">
        <v>2447</v>
      </c>
      <c r="C118" s="98">
        <v>0.123</v>
      </c>
      <c r="D118" s="98">
        <v>0.123</v>
      </c>
      <c r="E118" s="98">
        <v>0.11600000000000001</v>
      </c>
      <c r="F118" s="99">
        <v>0.13</v>
      </c>
    </row>
    <row r="119" spans="1:6">
      <c r="A119" s="93" t="s">
        <v>273</v>
      </c>
      <c r="B119" s="97" t="s">
        <v>2457</v>
      </c>
      <c r="C119" s="98">
        <v>0.127</v>
      </c>
      <c r="D119" s="98">
        <v>0.127</v>
      </c>
      <c r="E119" s="98">
        <v>0.124</v>
      </c>
      <c r="F119" s="99">
        <v>0.13</v>
      </c>
    </row>
    <row r="120" spans="1:6">
      <c r="A120" s="93" t="s">
        <v>273</v>
      </c>
      <c r="B120" s="97" t="s">
        <v>2467</v>
      </c>
      <c r="C120" s="98">
        <v>0.125</v>
      </c>
      <c r="D120" s="98">
        <v>0.125</v>
      </c>
      <c r="E120" s="98">
        <v>0.122</v>
      </c>
      <c r="F120" s="99">
        <v>0.13</v>
      </c>
    </row>
    <row r="121" spans="1:6">
      <c r="A121" s="93" t="s">
        <v>273</v>
      </c>
      <c r="B121" s="97" t="s">
        <v>2477</v>
      </c>
      <c r="C121" s="98">
        <v>0.13</v>
      </c>
      <c r="D121" s="98">
        <v>0.13</v>
      </c>
      <c r="E121" s="98">
        <v>0.13</v>
      </c>
      <c r="F121" s="99">
        <v>0.13</v>
      </c>
    </row>
    <row r="122" spans="1:6">
      <c r="A122" s="93" t="s">
        <v>273</v>
      </c>
      <c r="B122" s="97" t="s">
        <v>2487</v>
      </c>
      <c r="C122" s="98">
        <v>0.13</v>
      </c>
      <c r="D122" s="98">
        <v>0.13</v>
      </c>
      <c r="E122" s="98">
        <v>0.125</v>
      </c>
      <c r="F122" s="99">
        <v>0.13</v>
      </c>
    </row>
    <row r="123" spans="1:6">
      <c r="A123" s="93" t="s">
        <v>273</v>
      </c>
      <c r="B123" s="97" t="s">
        <v>2497</v>
      </c>
      <c r="C123" s="98">
        <v>0.129</v>
      </c>
      <c r="D123" s="98">
        <v>0.129</v>
      </c>
      <c r="E123" s="98">
        <v>0.123</v>
      </c>
      <c r="F123" s="99">
        <v>0.13</v>
      </c>
    </row>
    <row r="124" spans="1:6">
      <c r="A124" s="93" t="s">
        <v>273</v>
      </c>
      <c r="B124" s="97" t="s">
        <v>2507</v>
      </c>
      <c r="C124" s="98">
        <v>0.10199999999999999</v>
      </c>
      <c r="D124" s="98">
        <v>0.10100000000000001</v>
      </c>
      <c r="E124" s="98">
        <v>0.08</v>
      </c>
      <c r="F124" s="106"/>
    </row>
    <row r="125" spans="1:6">
      <c r="A125" s="93" t="s">
        <v>273</v>
      </c>
      <c r="B125" s="97" t="s">
        <v>2517</v>
      </c>
      <c r="C125" s="98">
        <v>0.13</v>
      </c>
      <c r="D125" s="98">
        <v>0.13</v>
      </c>
      <c r="E125" s="98">
        <v>0.129</v>
      </c>
      <c r="F125" s="106"/>
    </row>
    <row r="126" spans="1:6">
      <c r="A126" s="93" t="s">
        <v>273</v>
      </c>
      <c r="B126" s="97" t="s">
        <v>2527</v>
      </c>
      <c r="C126" s="98">
        <v>0.13</v>
      </c>
      <c r="D126" s="98">
        <v>0.13</v>
      </c>
      <c r="E126" s="98">
        <v>0.126</v>
      </c>
      <c r="F126" s="106"/>
    </row>
    <row r="127" spans="1:6">
      <c r="A127" s="93" t="s">
        <v>273</v>
      </c>
      <c r="B127" s="97" t="s">
        <v>2537</v>
      </c>
      <c r="C127" s="98">
        <v>0.125</v>
      </c>
      <c r="D127" s="98">
        <v>0.125</v>
      </c>
      <c r="E127" s="98">
        <v>0.121</v>
      </c>
      <c r="F127" s="106"/>
    </row>
    <row r="128" spans="1:6">
      <c r="A128" s="93" t="s">
        <v>273</v>
      </c>
      <c r="B128" s="97" t="s">
        <v>2547</v>
      </c>
      <c r="C128" s="98">
        <v>0.12</v>
      </c>
      <c r="D128" s="98">
        <v>0.12</v>
      </c>
      <c r="E128" s="98">
        <v>0.105</v>
      </c>
      <c r="F128" s="106"/>
    </row>
    <row r="129" spans="1:6">
      <c r="A129" s="93" t="s">
        <v>273</v>
      </c>
      <c r="B129" s="97" t="s">
        <v>2556</v>
      </c>
      <c r="C129" s="98">
        <v>0.13</v>
      </c>
      <c r="D129" s="98">
        <v>0.13</v>
      </c>
      <c r="E129" s="98">
        <v>0.126</v>
      </c>
      <c r="F129" s="106"/>
    </row>
    <row r="130" spans="1:6">
      <c r="A130" s="93" t="s">
        <v>273</v>
      </c>
      <c r="B130" s="97" t="s">
        <v>2564</v>
      </c>
      <c r="C130" s="98">
        <v>0.125</v>
      </c>
      <c r="D130" s="98">
        <v>0.125</v>
      </c>
      <c r="E130" s="98">
        <v>0.122</v>
      </c>
      <c r="F130" s="106"/>
    </row>
    <row r="131" spans="1:6">
      <c r="A131" s="93" t="s">
        <v>273</v>
      </c>
      <c r="B131" s="97" t="s">
        <v>2572</v>
      </c>
      <c r="C131" s="98">
        <v>0.127</v>
      </c>
      <c r="D131" s="98">
        <v>0.126</v>
      </c>
      <c r="E131" s="98">
        <v>0.123</v>
      </c>
      <c r="F131" s="106"/>
    </row>
    <row r="132" spans="1:6">
      <c r="A132" s="93" t="s">
        <v>273</v>
      </c>
      <c r="B132" s="97" t="s">
        <v>2579</v>
      </c>
      <c r="C132" s="98">
        <v>9.0999999999999998E-2</v>
      </c>
      <c r="D132" s="98">
        <v>0.121</v>
      </c>
      <c r="E132" s="98">
        <v>9.9000000000000005E-2</v>
      </c>
      <c r="F132" s="106"/>
    </row>
    <row r="133" spans="1:6">
      <c r="A133" s="93" t="s">
        <v>273</v>
      </c>
      <c r="B133" s="97" t="s">
        <v>2586</v>
      </c>
      <c r="C133" s="98">
        <v>0.13</v>
      </c>
      <c r="D133" s="98">
        <v>0.13</v>
      </c>
      <c r="E133" s="98">
        <v>0.129</v>
      </c>
      <c r="F133" s="106"/>
    </row>
    <row r="134" spans="1:6">
      <c r="A134" s="93" t="s">
        <v>273</v>
      </c>
      <c r="B134" s="97" t="s">
        <v>2593</v>
      </c>
      <c r="C134" s="98">
        <v>6.8000000000000005E-2</v>
      </c>
      <c r="D134" s="98">
        <v>6.5000000000000002E-2</v>
      </c>
      <c r="E134" s="98">
        <v>6.5000000000000002E-2</v>
      </c>
      <c r="F134" s="99">
        <v>0.13</v>
      </c>
    </row>
    <row r="135" spans="1:6">
      <c r="A135" s="93" t="s">
        <v>273</v>
      </c>
      <c r="B135" s="97" t="s">
        <v>2600</v>
      </c>
      <c r="C135" s="98">
        <v>0.123</v>
      </c>
      <c r="D135" s="98">
        <v>0.123</v>
      </c>
      <c r="E135" s="98">
        <v>0.11</v>
      </c>
      <c r="F135" s="106"/>
    </row>
    <row r="136" spans="1:6">
      <c r="A136" s="93" t="s">
        <v>273</v>
      </c>
      <c r="B136" s="97" t="s">
        <v>2607</v>
      </c>
      <c r="C136" s="98">
        <v>0.13</v>
      </c>
      <c r="D136" s="98">
        <v>0.13</v>
      </c>
      <c r="E136" s="98">
        <v>0.125</v>
      </c>
      <c r="F136" s="106"/>
    </row>
    <row r="137" spans="1:6">
      <c r="A137" s="93" t="s">
        <v>273</v>
      </c>
      <c r="B137" s="97" t="s">
        <v>2612</v>
      </c>
      <c r="C137" s="98">
        <v>0.121</v>
      </c>
      <c r="D137" s="98">
        <v>0.122</v>
      </c>
      <c r="E137" s="98">
        <v>0.115</v>
      </c>
      <c r="F137" s="106"/>
    </row>
    <row r="138" spans="1:6">
      <c r="A138" s="93" t="s">
        <v>273</v>
      </c>
      <c r="B138" s="97" t="s">
        <v>2617</v>
      </c>
      <c r="C138" s="98">
        <v>0.105</v>
      </c>
      <c r="D138" s="98">
        <v>0.125</v>
      </c>
      <c r="E138" s="98">
        <v>0.112</v>
      </c>
      <c r="F138" s="106"/>
    </row>
    <row r="139" spans="1:6">
      <c r="A139" s="93" t="s">
        <v>273</v>
      </c>
      <c r="B139" s="97" t="s">
        <v>2622</v>
      </c>
      <c r="C139" s="98">
        <v>0.127</v>
      </c>
      <c r="D139" s="98">
        <v>0.127</v>
      </c>
      <c r="E139" s="98">
        <v>0.122</v>
      </c>
      <c r="F139" s="99">
        <v>0.13</v>
      </c>
    </row>
    <row r="140" spans="1:6">
      <c r="A140" s="93" t="s">
        <v>273</v>
      </c>
      <c r="B140" s="97" t="s">
        <v>2627</v>
      </c>
      <c r="C140" s="98">
        <v>0.125</v>
      </c>
      <c r="D140" s="98">
        <v>0.125</v>
      </c>
      <c r="E140" s="98">
        <v>0.11899999999999999</v>
      </c>
      <c r="F140" s="99">
        <v>0.13</v>
      </c>
    </row>
    <row r="141" spans="1:6">
      <c r="A141" s="93" t="s">
        <v>273</v>
      </c>
      <c r="B141" s="97" t="s">
        <v>2632</v>
      </c>
      <c r="C141" s="98">
        <v>0.125</v>
      </c>
      <c r="D141" s="98">
        <v>0.125</v>
      </c>
      <c r="E141" s="98">
        <v>0.11700000000000001</v>
      </c>
      <c r="F141" s="106"/>
    </row>
    <row r="142" spans="1:6">
      <c r="A142" s="93" t="s">
        <v>273</v>
      </c>
      <c r="B142" s="97" t="s">
        <v>2637</v>
      </c>
      <c r="C142" s="98">
        <v>0.125</v>
      </c>
      <c r="D142" s="98">
        <v>0.125</v>
      </c>
      <c r="E142" s="98">
        <v>0.115</v>
      </c>
      <c r="F142" s="106"/>
    </row>
    <row r="143" spans="1:6">
      <c r="A143" s="93" t="s">
        <v>273</v>
      </c>
      <c r="B143" s="97" t="s">
        <v>2642</v>
      </c>
      <c r="C143" s="98">
        <v>0.121</v>
      </c>
      <c r="D143" s="98">
        <v>0.121</v>
      </c>
      <c r="E143" s="98">
        <v>0.108</v>
      </c>
      <c r="F143" s="106"/>
    </row>
    <row r="144" spans="1:6">
      <c r="A144" s="93" t="s">
        <v>273</v>
      </c>
      <c r="B144" s="110" t="s">
        <v>2646</v>
      </c>
      <c r="C144" s="111">
        <v>0.126</v>
      </c>
      <c r="D144" s="111">
        <v>0.126</v>
      </c>
      <c r="E144" s="111">
        <v>0.121</v>
      </c>
      <c r="F144" s="106"/>
    </row>
    <row r="145" spans="1:6">
      <c r="A145" s="101" t="s">
        <v>273</v>
      </c>
      <c r="B145" s="112" t="s">
        <v>2650</v>
      </c>
      <c r="C145" s="113"/>
      <c r="D145" s="113"/>
      <c r="E145" s="113"/>
      <c r="F145" s="114">
        <v>0.05</v>
      </c>
    </row>
    <row r="146" spans="1:6" ht="24">
      <c r="A146" s="115" t="s">
        <v>273</v>
      </c>
      <c r="B146" s="100" t="s">
        <v>2654</v>
      </c>
      <c r="C146" s="107"/>
      <c r="D146" s="107"/>
      <c r="E146" s="107"/>
      <c r="F146" s="116">
        <v>0.05</v>
      </c>
    </row>
    <row r="147" spans="1:6" ht="24">
      <c r="A147" s="93" t="s">
        <v>273</v>
      </c>
      <c r="B147" s="97" t="s">
        <v>2658</v>
      </c>
      <c r="C147" s="107"/>
      <c r="D147" s="107"/>
      <c r="E147" s="107"/>
      <c r="F147" s="99">
        <v>0.05</v>
      </c>
    </row>
    <row r="148" spans="1:6" ht="24">
      <c r="A148" s="93" t="s">
        <v>273</v>
      </c>
      <c r="B148" s="97" t="s">
        <v>2662</v>
      </c>
      <c r="C148" s="107"/>
      <c r="D148" s="107"/>
      <c r="E148" s="107"/>
      <c r="F148" s="99">
        <v>0.05</v>
      </c>
    </row>
    <row r="149" spans="1:6" ht="24">
      <c r="A149" s="93" t="s">
        <v>273</v>
      </c>
      <c r="B149" s="97" t="s">
        <v>2666</v>
      </c>
      <c r="C149" s="107"/>
      <c r="D149" s="107"/>
      <c r="E149" s="107"/>
      <c r="F149" s="99">
        <v>0.05</v>
      </c>
    </row>
    <row r="150" spans="1:6" ht="24">
      <c r="A150" s="93" t="s">
        <v>273</v>
      </c>
      <c r="B150" s="97" t="s">
        <v>2669</v>
      </c>
      <c r="C150" s="107"/>
      <c r="D150" s="107"/>
      <c r="E150" s="107"/>
      <c r="F150" s="99">
        <v>0.05</v>
      </c>
    </row>
    <row r="151" spans="1:6" ht="24">
      <c r="A151" s="93" t="s">
        <v>273</v>
      </c>
      <c r="B151" s="97" t="s">
        <v>2672</v>
      </c>
      <c r="C151" s="107"/>
      <c r="D151" s="107"/>
      <c r="E151" s="107"/>
      <c r="F151" s="99">
        <v>0.05</v>
      </c>
    </row>
    <row r="152" spans="1:6" ht="24">
      <c r="A152" s="93" t="s">
        <v>273</v>
      </c>
      <c r="B152" s="97" t="s">
        <v>2675</v>
      </c>
      <c r="C152" s="107"/>
      <c r="D152" s="107"/>
      <c r="E152" s="107"/>
      <c r="F152" s="99">
        <v>0.05</v>
      </c>
    </row>
    <row r="153" spans="1:6">
      <c r="A153" s="93" t="s">
        <v>273</v>
      </c>
      <c r="B153" s="97" t="s">
        <v>2678</v>
      </c>
      <c r="C153" s="107"/>
      <c r="D153" s="107"/>
      <c r="E153" s="107"/>
      <c r="F153" s="99">
        <v>0.05</v>
      </c>
    </row>
    <row r="154" spans="1:6">
      <c r="A154" s="93" t="s">
        <v>273</v>
      </c>
      <c r="B154" s="97" t="s">
        <v>2681</v>
      </c>
      <c r="C154" s="107"/>
      <c r="D154" s="107"/>
      <c r="E154" s="107"/>
      <c r="F154" s="99">
        <v>0.05</v>
      </c>
    </row>
    <row r="155" spans="1:6" ht="24">
      <c r="A155" s="93" t="s">
        <v>273</v>
      </c>
      <c r="B155" s="97" t="s">
        <v>2684</v>
      </c>
      <c r="C155" s="107"/>
      <c r="D155" s="107"/>
      <c r="E155" s="107"/>
      <c r="F155" s="99">
        <v>0.05</v>
      </c>
    </row>
    <row r="156" spans="1:6" ht="24">
      <c r="A156" s="93" t="s">
        <v>273</v>
      </c>
      <c r="B156" s="97" t="s">
        <v>2686</v>
      </c>
      <c r="C156" s="107"/>
      <c r="D156" s="107"/>
      <c r="E156" s="107"/>
      <c r="F156" s="99">
        <v>0.05</v>
      </c>
    </row>
    <row r="157" spans="1:6" ht="24">
      <c r="A157" s="101" t="s">
        <v>273</v>
      </c>
      <c r="B157" s="108" t="s">
        <v>2688</v>
      </c>
      <c r="C157" s="104"/>
      <c r="D157" s="104"/>
      <c r="E157" s="104"/>
      <c r="F157" s="109">
        <v>0.05</v>
      </c>
    </row>
    <row r="158" spans="1:6">
      <c r="A158" s="93" t="s">
        <v>278</v>
      </c>
      <c r="B158" s="94" t="s">
        <v>2355</v>
      </c>
      <c r="C158" s="95">
        <v>0.13</v>
      </c>
      <c r="D158" s="95">
        <v>0.13</v>
      </c>
      <c r="E158" s="95">
        <v>0.13</v>
      </c>
      <c r="F158" s="96">
        <v>0.13</v>
      </c>
    </row>
    <row r="159" spans="1:6">
      <c r="A159" s="93" t="s">
        <v>278</v>
      </c>
      <c r="B159" s="97" t="s">
        <v>2368</v>
      </c>
      <c r="C159" s="98">
        <v>0.13</v>
      </c>
      <c r="D159" s="98">
        <v>0.13</v>
      </c>
      <c r="E159" s="98">
        <v>0.13</v>
      </c>
      <c r="F159" s="99">
        <v>0.13</v>
      </c>
    </row>
    <row r="160" spans="1:6">
      <c r="A160" s="93" t="s">
        <v>278</v>
      </c>
      <c r="B160" s="97" t="s">
        <v>2381</v>
      </c>
      <c r="C160" s="98">
        <v>0.13</v>
      </c>
      <c r="D160" s="98">
        <v>0.13</v>
      </c>
      <c r="E160" s="98">
        <v>0.129</v>
      </c>
      <c r="F160" s="99">
        <v>0.13</v>
      </c>
    </row>
    <row r="161" spans="1:6">
      <c r="A161" s="93" t="s">
        <v>278</v>
      </c>
      <c r="B161" s="97" t="s">
        <v>2393</v>
      </c>
      <c r="C161" s="98">
        <v>0.128</v>
      </c>
      <c r="D161" s="98">
        <v>0.128</v>
      </c>
      <c r="E161" s="98">
        <v>0.125</v>
      </c>
      <c r="F161" s="99">
        <v>0.13</v>
      </c>
    </row>
    <row r="162" spans="1:6">
      <c r="A162" s="93" t="s">
        <v>278</v>
      </c>
      <c r="B162" s="97" t="s">
        <v>2405</v>
      </c>
      <c r="C162" s="98">
        <v>0.122</v>
      </c>
      <c r="D162" s="98">
        <v>0.122</v>
      </c>
      <c r="E162" s="98">
        <v>0.126</v>
      </c>
      <c r="F162" s="99">
        <v>0.122</v>
      </c>
    </row>
    <row r="163" spans="1:6">
      <c r="A163" s="93" t="s">
        <v>278</v>
      </c>
      <c r="B163" s="97" t="s">
        <v>2416</v>
      </c>
      <c r="C163" s="98">
        <v>0.13</v>
      </c>
      <c r="D163" s="98">
        <v>0.13</v>
      </c>
      <c r="E163" s="98">
        <v>0.125</v>
      </c>
      <c r="F163" s="99">
        <v>0.13</v>
      </c>
    </row>
    <row r="164" spans="1:6">
      <c r="A164" s="93" t="s">
        <v>278</v>
      </c>
      <c r="B164" s="97" t="s">
        <v>2427</v>
      </c>
      <c r="C164" s="98">
        <v>0.13</v>
      </c>
      <c r="D164" s="98">
        <v>0.13</v>
      </c>
      <c r="E164" s="98">
        <v>0.13</v>
      </c>
      <c r="F164" s="99">
        <v>0.13</v>
      </c>
    </row>
    <row r="165" spans="1:6">
      <c r="A165" s="93" t="s">
        <v>278</v>
      </c>
      <c r="B165" s="97" t="s">
        <v>2438</v>
      </c>
      <c r="C165" s="98">
        <v>0.13</v>
      </c>
      <c r="D165" s="98">
        <v>0.13</v>
      </c>
      <c r="E165" s="98">
        <v>0.124</v>
      </c>
      <c r="F165" s="99">
        <v>0.13</v>
      </c>
    </row>
    <row r="166" spans="1:6">
      <c r="A166" s="93" t="s">
        <v>278</v>
      </c>
      <c r="B166" s="97" t="s">
        <v>2448</v>
      </c>
      <c r="C166" s="98">
        <v>0.13</v>
      </c>
      <c r="D166" s="98">
        <v>0.13</v>
      </c>
      <c r="E166" s="98">
        <v>0.13</v>
      </c>
      <c r="F166" s="99">
        <v>0.13</v>
      </c>
    </row>
    <row r="167" spans="1:6">
      <c r="A167" s="93" t="s">
        <v>278</v>
      </c>
      <c r="B167" s="97" t="s">
        <v>2458</v>
      </c>
      <c r="C167" s="98">
        <v>0.125</v>
      </c>
      <c r="D167" s="98">
        <v>0.125</v>
      </c>
      <c r="E167" s="98">
        <v>0.121</v>
      </c>
      <c r="F167" s="106"/>
    </row>
    <row r="168" spans="1:6">
      <c r="A168" s="93" t="s">
        <v>278</v>
      </c>
      <c r="B168" s="97" t="s">
        <v>2468</v>
      </c>
      <c r="C168" s="98">
        <v>0.13</v>
      </c>
      <c r="D168" s="98">
        <v>0.13</v>
      </c>
      <c r="E168" s="98">
        <v>0.126</v>
      </c>
      <c r="F168" s="106"/>
    </row>
    <row r="169" spans="1:6">
      <c r="A169" s="93" t="s">
        <v>278</v>
      </c>
      <c r="B169" s="97" t="s">
        <v>2478</v>
      </c>
      <c r="C169" s="98">
        <v>0.128</v>
      </c>
      <c r="D169" s="98">
        <v>0.129</v>
      </c>
      <c r="E169" s="98">
        <v>0.13</v>
      </c>
      <c r="F169" s="106"/>
    </row>
    <row r="170" spans="1:6">
      <c r="A170" s="93" t="s">
        <v>278</v>
      </c>
      <c r="B170" s="97" t="s">
        <v>2488</v>
      </c>
      <c r="C170" s="98">
        <v>0.14099999999999999</v>
      </c>
      <c r="D170" s="98">
        <v>0.13</v>
      </c>
      <c r="E170" s="98">
        <v>0.125</v>
      </c>
      <c r="F170" s="106"/>
    </row>
    <row r="171" spans="1:6">
      <c r="A171" s="93" t="s">
        <v>278</v>
      </c>
      <c r="B171" s="97" t="s">
        <v>2498</v>
      </c>
      <c r="C171" s="98">
        <v>0.127</v>
      </c>
      <c r="D171" s="98">
        <v>0.126</v>
      </c>
      <c r="E171" s="98">
        <v>0.126</v>
      </c>
      <c r="F171" s="99">
        <v>0.11799999999999999</v>
      </c>
    </row>
    <row r="172" spans="1:6">
      <c r="A172" s="93" t="s">
        <v>278</v>
      </c>
      <c r="B172" s="97" t="s">
        <v>2508</v>
      </c>
      <c r="C172" s="98">
        <v>0.13</v>
      </c>
      <c r="D172" s="98">
        <v>0.13</v>
      </c>
      <c r="E172" s="98">
        <v>0.13</v>
      </c>
      <c r="F172" s="106"/>
    </row>
    <row r="173" spans="1:6">
      <c r="A173" s="93" t="s">
        <v>278</v>
      </c>
      <c r="B173" s="97" t="s">
        <v>2518</v>
      </c>
      <c r="C173" s="98">
        <v>0.13</v>
      </c>
      <c r="D173" s="98">
        <v>0.13</v>
      </c>
      <c r="E173" s="98">
        <v>0.13</v>
      </c>
      <c r="F173" s="106"/>
    </row>
    <row r="174" spans="1:6">
      <c r="A174" s="93" t="s">
        <v>278</v>
      </c>
      <c r="B174" s="97" t="s">
        <v>2528</v>
      </c>
      <c r="C174" s="98">
        <v>0.13</v>
      </c>
      <c r="D174" s="98">
        <v>0.13</v>
      </c>
      <c r="E174" s="98">
        <v>0.13</v>
      </c>
      <c r="F174" s="99">
        <v>0.13</v>
      </c>
    </row>
    <row r="175" spans="1:6">
      <c r="A175" s="93" t="s">
        <v>278</v>
      </c>
      <c r="B175" s="97" t="s">
        <v>2538</v>
      </c>
      <c r="C175" s="98">
        <v>0.13</v>
      </c>
      <c r="D175" s="98">
        <v>0.13</v>
      </c>
      <c r="E175" s="98">
        <v>0.13</v>
      </c>
      <c r="F175" s="99">
        <v>0.13</v>
      </c>
    </row>
    <row r="176" spans="1:6">
      <c r="A176" s="93" t="s">
        <v>278</v>
      </c>
      <c r="B176" s="97" t="s">
        <v>2548</v>
      </c>
      <c r="C176" s="98">
        <v>0.13</v>
      </c>
      <c r="D176" s="98">
        <v>0.13</v>
      </c>
      <c r="E176" s="98">
        <v>0.13</v>
      </c>
      <c r="F176" s="99">
        <v>0.13</v>
      </c>
    </row>
    <row r="177" spans="1:6">
      <c r="A177" s="93" t="s">
        <v>278</v>
      </c>
      <c r="B177" s="97" t="s">
        <v>2557</v>
      </c>
      <c r="C177" s="98">
        <v>0.13</v>
      </c>
      <c r="D177" s="98">
        <v>0.13</v>
      </c>
      <c r="E177" s="98">
        <v>0.13</v>
      </c>
      <c r="F177" s="99">
        <v>0.13</v>
      </c>
    </row>
    <row r="178" spans="1:6">
      <c r="A178" s="93" t="s">
        <v>278</v>
      </c>
      <c r="B178" s="97" t="s">
        <v>2565</v>
      </c>
      <c r="C178" s="98">
        <v>0.13</v>
      </c>
      <c r="D178" s="98">
        <v>0.13</v>
      </c>
      <c r="E178" s="98">
        <v>0.13</v>
      </c>
      <c r="F178" s="99">
        <v>0.127</v>
      </c>
    </row>
    <row r="179" spans="1:6">
      <c r="A179" s="93" t="s">
        <v>278</v>
      </c>
      <c r="B179" s="97" t="s">
        <v>2573</v>
      </c>
      <c r="C179" s="98">
        <v>0.13</v>
      </c>
      <c r="D179" s="98">
        <v>0.13</v>
      </c>
      <c r="E179" s="98">
        <v>0.13</v>
      </c>
      <c r="F179" s="106"/>
    </row>
    <row r="180" spans="1:6">
      <c r="A180" s="93" t="s">
        <v>278</v>
      </c>
      <c r="B180" s="97" t="s">
        <v>2580</v>
      </c>
      <c r="C180" s="98">
        <v>0.13</v>
      </c>
      <c r="D180" s="98">
        <v>0.13</v>
      </c>
      <c r="E180" s="98">
        <v>0.125</v>
      </c>
      <c r="F180" s="99">
        <v>0.13</v>
      </c>
    </row>
    <row r="181" spans="1:6">
      <c r="A181" s="93" t="s">
        <v>278</v>
      </c>
      <c r="B181" s="97" t="s">
        <v>2587</v>
      </c>
      <c r="C181" s="98">
        <v>0.122</v>
      </c>
      <c r="D181" s="98">
        <v>0.123</v>
      </c>
      <c r="E181" s="98">
        <v>0.126</v>
      </c>
      <c r="F181" s="99">
        <v>0.121</v>
      </c>
    </row>
    <row r="182" spans="1:6">
      <c r="A182" s="93" t="s">
        <v>278</v>
      </c>
      <c r="B182" s="97" t="s">
        <v>2594</v>
      </c>
      <c r="C182" s="98">
        <v>0.125</v>
      </c>
      <c r="D182" s="98">
        <v>0.125</v>
      </c>
      <c r="E182" s="98">
        <v>0.11700000000000001</v>
      </c>
      <c r="F182" s="99">
        <v>0.13</v>
      </c>
    </row>
    <row r="183" spans="1:6">
      <c r="A183" s="93" t="s">
        <v>278</v>
      </c>
      <c r="B183" s="97" t="s">
        <v>2601</v>
      </c>
      <c r="C183" s="98">
        <v>0.127</v>
      </c>
      <c r="D183" s="98">
        <v>0.127</v>
      </c>
      <c r="E183" s="98">
        <v>0.128</v>
      </c>
      <c r="F183" s="106"/>
    </row>
    <row r="184" spans="1:6">
      <c r="A184" s="93" t="s">
        <v>278</v>
      </c>
      <c r="B184" s="97" t="s">
        <v>2608</v>
      </c>
      <c r="C184" s="98">
        <v>0.125</v>
      </c>
      <c r="D184" s="98">
        <v>0.125</v>
      </c>
      <c r="E184" s="98">
        <v>0.127</v>
      </c>
      <c r="F184" s="106"/>
    </row>
    <row r="185" spans="1:6">
      <c r="A185" s="93" t="s">
        <v>278</v>
      </c>
      <c r="B185" s="97" t="s">
        <v>2613</v>
      </c>
      <c r="C185" s="98">
        <v>0.127</v>
      </c>
      <c r="D185" s="98">
        <v>0.127</v>
      </c>
      <c r="E185" s="98">
        <v>0.128</v>
      </c>
      <c r="F185" s="99">
        <v>0.13</v>
      </c>
    </row>
    <row r="186" spans="1:6" ht="24">
      <c r="A186" s="93" t="s">
        <v>278</v>
      </c>
      <c r="B186" s="97" t="s">
        <v>2618</v>
      </c>
      <c r="C186" s="107"/>
      <c r="D186" s="107"/>
      <c r="E186" s="107"/>
      <c r="F186" s="99">
        <v>0.05</v>
      </c>
    </row>
    <row r="187" spans="1:6">
      <c r="A187" s="93" t="s">
        <v>278</v>
      </c>
      <c r="B187" s="97" t="s">
        <v>2623</v>
      </c>
      <c r="C187" s="107"/>
      <c r="D187" s="107"/>
      <c r="E187" s="107"/>
      <c r="F187" s="99">
        <v>0.05</v>
      </c>
    </row>
    <row r="188" spans="1:6" ht="24">
      <c r="A188" s="93" t="s">
        <v>278</v>
      </c>
      <c r="B188" s="97" t="s">
        <v>2628</v>
      </c>
      <c r="C188" s="107"/>
      <c r="D188" s="107"/>
      <c r="E188" s="107"/>
      <c r="F188" s="99">
        <v>0.05</v>
      </c>
    </row>
    <row r="189" spans="1:6" ht="24">
      <c r="A189" s="93" t="s">
        <v>278</v>
      </c>
      <c r="B189" s="97" t="s">
        <v>2633</v>
      </c>
      <c r="C189" s="107"/>
      <c r="D189" s="107"/>
      <c r="E189" s="107"/>
      <c r="F189" s="99">
        <v>0.05</v>
      </c>
    </row>
    <row r="190" spans="1:6" ht="24">
      <c r="A190" s="93" t="s">
        <v>278</v>
      </c>
      <c r="B190" s="97" t="s">
        <v>2638</v>
      </c>
      <c r="C190" s="107"/>
      <c r="D190" s="107"/>
      <c r="E190" s="107"/>
      <c r="F190" s="99">
        <v>0.05</v>
      </c>
    </row>
    <row r="191" spans="1:6" ht="24">
      <c r="A191" s="93" t="s">
        <v>278</v>
      </c>
      <c r="B191" s="97" t="s">
        <v>2643</v>
      </c>
      <c r="C191" s="107"/>
      <c r="D191" s="107"/>
      <c r="E191" s="107"/>
      <c r="F191" s="99">
        <v>0.05</v>
      </c>
    </row>
    <row r="192" spans="1:6" ht="24">
      <c r="A192" s="93" t="s">
        <v>278</v>
      </c>
      <c r="B192" s="97" t="s">
        <v>2647</v>
      </c>
      <c r="C192" s="107"/>
      <c r="D192" s="107"/>
      <c r="E192" s="107"/>
      <c r="F192" s="99">
        <v>0.05</v>
      </c>
    </row>
    <row r="193" spans="1:6" ht="24">
      <c r="A193" s="93" t="s">
        <v>278</v>
      </c>
      <c r="B193" s="97" t="s">
        <v>2651</v>
      </c>
      <c r="C193" s="107"/>
      <c r="D193" s="107"/>
      <c r="E193" s="107"/>
      <c r="F193" s="99">
        <v>0.05</v>
      </c>
    </row>
    <row r="194" spans="1:6" ht="24">
      <c r="A194" s="93" t="s">
        <v>278</v>
      </c>
      <c r="B194" s="97" t="s">
        <v>2655</v>
      </c>
      <c r="C194" s="107"/>
      <c r="D194" s="107"/>
      <c r="E194" s="107"/>
      <c r="F194" s="99">
        <v>0.05</v>
      </c>
    </row>
    <row r="195" spans="1:6">
      <c r="A195" s="93" t="s">
        <v>278</v>
      </c>
      <c r="B195" s="97" t="s">
        <v>2659</v>
      </c>
      <c r="C195" s="107"/>
      <c r="D195" s="107"/>
      <c r="E195" s="107"/>
      <c r="F195" s="99">
        <v>0.05</v>
      </c>
    </row>
    <row r="196" spans="1:6" ht="24">
      <c r="A196" s="93" t="s">
        <v>278</v>
      </c>
      <c r="B196" s="97" t="s">
        <v>2663</v>
      </c>
      <c r="C196" s="107"/>
      <c r="D196" s="107"/>
      <c r="E196" s="107"/>
      <c r="F196" s="99">
        <v>0.05</v>
      </c>
    </row>
    <row r="197" spans="1:6" ht="24">
      <c r="A197" s="93" t="s">
        <v>278</v>
      </c>
      <c r="B197" s="97" t="s">
        <v>2667</v>
      </c>
      <c r="C197" s="107"/>
      <c r="D197" s="107"/>
      <c r="E197" s="107"/>
      <c r="F197" s="99">
        <v>0.05</v>
      </c>
    </row>
    <row r="198" spans="1:6" ht="24">
      <c r="A198" s="93" t="s">
        <v>278</v>
      </c>
      <c r="B198" s="97" t="s">
        <v>2670</v>
      </c>
      <c r="C198" s="107"/>
      <c r="D198" s="107"/>
      <c r="E198" s="107"/>
      <c r="F198" s="99">
        <v>0.05</v>
      </c>
    </row>
    <row r="199" spans="1:6" ht="24">
      <c r="A199" s="93" t="s">
        <v>278</v>
      </c>
      <c r="B199" s="97" t="s">
        <v>2673</v>
      </c>
      <c r="C199" s="107"/>
      <c r="D199" s="107"/>
      <c r="E199" s="107"/>
      <c r="F199" s="99">
        <v>0.05</v>
      </c>
    </row>
    <row r="200" spans="1:6" ht="24">
      <c r="A200" s="93" t="s">
        <v>278</v>
      </c>
      <c r="B200" s="97" t="s">
        <v>2676</v>
      </c>
      <c r="C200" s="107"/>
      <c r="D200" s="107"/>
      <c r="E200" s="107"/>
      <c r="F200" s="99">
        <v>0.05</v>
      </c>
    </row>
    <row r="201" spans="1:6" ht="24">
      <c r="A201" s="93" t="s">
        <v>278</v>
      </c>
      <c r="B201" s="97" t="s">
        <v>2679</v>
      </c>
      <c r="C201" s="107"/>
      <c r="D201" s="107"/>
      <c r="E201" s="107"/>
      <c r="F201" s="99">
        <v>0.05</v>
      </c>
    </row>
    <row r="202" spans="1:6" ht="24">
      <c r="A202" s="93" t="s">
        <v>278</v>
      </c>
      <c r="B202" s="97" t="s">
        <v>2682</v>
      </c>
      <c r="C202" s="107"/>
      <c r="D202" s="107"/>
      <c r="E202" s="107"/>
      <c r="F202" s="99">
        <v>0.05</v>
      </c>
    </row>
    <row r="203" spans="1:6" ht="24">
      <c r="A203" s="93" t="s">
        <v>278</v>
      </c>
      <c r="B203" s="97" t="s">
        <v>2685</v>
      </c>
      <c r="C203" s="107"/>
      <c r="D203" s="107"/>
      <c r="E203" s="107"/>
      <c r="F203" s="99">
        <v>0.05</v>
      </c>
    </row>
    <row r="204" spans="1:6">
      <c r="A204" s="93" t="s">
        <v>278</v>
      </c>
      <c r="B204" s="97" t="s">
        <v>2687</v>
      </c>
      <c r="C204" s="107"/>
      <c r="D204" s="107"/>
      <c r="E204" s="107"/>
      <c r="F204" s="99">
        <v>0.05</v>
      </c>
    </row>
    <row r="205" spans="1:6">
      <c r="A205" s="101" t="s">
        <v>278</v>
      </c>
      <c r="B205" s="108" t="s">
        <v>2689</v>
      </c>
      <c r="C205" s="104"/>
      <c r="D205" s="104"/>
      <c r="E205" s="104"/>
      <c r="F205" s="109">
        <v>0.05</v>
      </c>
    </row>
    <row r="206" spans="1:6">
      <c r="A206" s="93" t="s">
        <v>283</v>
      </c>
      <c r="B206" s="94" t="s">
        <v>2356</v>
      </c>
      <c r="C206" s="95">
        <v>0.15</v>
      </c>
      <c r="D206" s="95">
        <v>0.15</v>
      </c>
      <c r="E206" s="95">
        <v>0.15</v>
      </c>
      <c r="F206" s="96">
        <v>0.15</v>
      </c>
    </row>
    <row r="207" spans="1:6">
      <c r="A207" s="93" t="s">
        <v>283</v>
      </c>
      <c r="B207" s="97" t="s">
        <v>2369</v>
      </c>
      <c r="C207" s="98">
        <v>0.15</v>
      </c>
      <c r="D207" s="98">
        <v>0.15</v>
      </c>
      <c r="E207" s="98">
        <v>0.15</v>
      </c>
      <c r="F207" s="99">
        <v>0.14399999999999999</v>
      </c>
    </row>
    <row r="208" spans="1:6">
      <c r="A208" s="93" t="s">
        <v>283</v>
      </c>
      <c r="B208" s="97" t="s">
        <v>2382</v>
      </c>
      <c r="C208" s="98">
        <v>0.15</v>
      </c>
      <c r="D208" s="98">
        <v>0.15</v>
      </c>
      <c r="E208" s="98">
        <v>0.15</v>
      </c>
      <c r="F208" s="99">
        <v>0.15</v>
      </c>
    </row>
    <row r="209" spans="1:6">
      <c r="A209" s="93" t="s">
        <v>283</v>
      </c>
      <c r="B209" s="97" t="s">
        <v>2394</v>
      </c>
      <c r="C209" s="98">
        <v>0.13700000000000001</v>
      </c>
      <c r="D209" s="98">
        <v>0.13700000000000001</v>
      </c>
      <c r="E209" s="98">
        <v>0.14000000000000001</v>
      </c>
      <c r="F209" s="99">
        <v>0.11700000000000001</v>
      </c>
    </row>
    <row r="210" spans="1:6">
      <c r="A210" s="93" t="s">
        <v>283</v>
      </c>
      <c r="B210" s="97" t="s">
        <v>2406</v>
      </c>
      <c r="C210" s="98">
        <v>0.15</v>
      </c>
      <c r="D210" s="98">
        <v>0.15</v>
      </c>
      <c r="E210" s="98">
        <v>0.15</v>
      </c>
      <c r="F210" s="99">
        <v>0.13800000000000001</v>
      </c>
    </row>
    <row r="211" spans="1:6">
      <c r="A211" s="93" t="s">
        <v>283</v>
      </c>
      <c r="B211" s="97" t="s">
        <v>2417</v>
      </c>
      <c r="C211" s="98">
        <v>0.13700000000000001</v>
      </c>
      <c r="D211" s="98">
        <v>0.13500000000000001</v>
      </c>
      <c r="E211" s="98">
        <v>0.13600000000000001</v>
      </c>
      <c r="F211" s="99">
        <v>0.1</v>
      </c>
    </row>
    <row r="212" spans="1:6">
      <c r="A212" s="93" t="s">
        <v>283</v>
      </c>
      <c r="B212" s="97" t="s">
        <v>2428</v>
      </c>
      <c r="C212" s="98">
        <v>0.15</v>
      </c>
      <c r="D212" s="98">
        <v>0.15</v>
      </c>
      <c r="E212" s="98">
        <v>0.14799999999999999</v>
      </c>
      <c r="F212" s="99">
        <v>0.13600000000000001</v>
      </c>
    </row>
    <row r="213" spans="1:6">
      <c r="A213" s="93" t="s">
        <v>283</v>
      </c>
      <c r="B213" s="97" t="s">
        <v>2439</v>
      </c>
      <c r="C213" s="98">
        <v>0.15</v>
      </c>
      <c r="D213" s="98">
        <v>0.15</v>
      </c>
      <c r="E213" s="98">
        <v>0.15</v>
      </c>
      <c r="F213" s="99">
        <v>0.13800000000000001</v>
      </c>
    </row>
    <row r="214" spans="1:6">
      <c r="A214" s="93" t="s">
        <v>283</v>
      </c>
      <c r="B214" s="97" t="s">
        <v>2449</v>
      </c>
      <c r="C214" s="98">
        <v>9.0999999999999998E-2</v>
      </c>
      <c r="D214" s="98">
        <v>0.09</v>
      </c>
      <c r="E214" s="98">
        <v>9.1999999999999998E-2</v>
      </c>
      <c r="F214" s="106"/>
    </row>
    <row r="215" spans="1:6">
      <c r="A215" s="93" t="s">
        <v>283</v>
      </c>
      <c r="B215" s="97" t="s">
        <v>2459</v>
      </c>
      <c r="C215" s="98">
        <v>0.15</v>
      </c>
      <c r="D215" s="98">
        <v>0.15</v>
      </c>
      <c r="E215" s="98">
        <v>0.15</v>
      </c>
      <c r="F215" s="99">
        <v>0.15</v>
      </c>
    </row>
    <row r="216" spans="1:6">
      <c r="A216" s="93" t="s">
        <v>283</v>
      </c>
      <c r="B216" s="97" t="s">
        <v>2469</v>
      </c>
      <c r="C216" s="98">
        <v>0.14699999999999999</v>
      </c>
      <c r="D216" s="98">
        <v>0.14699999999999999</v>
      </c>
      <c r="E216" s="98">
        <v>0.15</v>
      </c>
      <c r="F216" s="99">
        <v>0.14000000000000001</v>
      </c>
    </row>
    <row r="217" spans="1:6">
      <c r="A217" s="93" t="s">
        <v>283</v>
      </c>
      <c r="B217" s="97" t="s">
        <v>2479</v>
      </c>
      <c r="C217" s="98">
        <v>0.15</v>
      </c>
      <c r="D217" s="98">
        <v>0.15</v>
      </c>
      <c r="E217" s="98">
        <v>0.15</v>
      </c>
      <c r="F217" s="99">
        <v>0.15</v>
      </c>
    </row>
    <row r="218" spans="1:6">
      <c r="A218" s="93" t="s">
        <v>283</v>
      </c>
      <c r="B218" s="97" t="s">
        <v>2489</v>
      </c>
      <c r="C218" s="98">
        <v>0.15</v>
      </c>
      <c r="D218" s="98">
        <v>0.15</v>
      </c>
      <c r="E218" s="98">
        <v>0.15</v>
      </c>
      <c r="F218" s="99">
        <v>0.15</v>
      </c>
    </row>
    <row r="219" spans="1:6">
      <c r="A219" s="93" t="s">
        <v>283</v>
      </c>
      <c r="B219" s="97" t="s">
        <v>2499</v>
      </c>
      <c r="C219" s="98">
        <v>0.15</v>
      </c>
      <c r="D219" s="98">
        <v>0.15</v>
      </c>
      <c r="E219" s="98">
        <v>0.15</v>
      </c>
      <c r="F219" s="99">
        <v>0.14799999999999999</v>
      </c>
    </row>
    <row r="220" spans="1:6">
      <c r="A220" s="93" t="s">
        <v>283</v>
      </c>
      <c r="B220" s="97" t="s">
        <v>2509</v>
      </c>
      <c r="C220" s="98">
        <v>0.15</v>
      </c>
      <c r="D220" s="98">
        <v>0.15</v>
      </c>
      <c r="E220" s="98">
        <v>0.15</v>
      </c>
      <c r="F220" s="99">
        <v>0.15</v>
      </c>
    </row>
    <row r="221" spans="1:6">
      <c r="A221" s="93" t="s">
        <v>283</v>
      </c>
      <c r="B221" s="97" t="s">
        <v>2519</v>
      </c>
      <c r="C221" s="98"/>
      <c r="D221" s="107"/>
      <c r="E221" s="107"/>
      <c r="F221" s="99">
        <v>0.14799999999999999</v>
      </c>
    </row>
    <row r="222" spans="1:6">
      <c r="A222" s="93" t="s">
        <v>283</v>
      </c>
      <c r="B222" s="97" t="s">
        <v>2529</v>
      </c>
      <c r="C222" s="98"/>
      <c r="D222" s="107"/>
      <c r="E222" s="107"/>
      <c r="F222" s="99">
        <v>0.1</v>
      </c>
    </row>
    <row r="223" spans="1:6">
      <c r="A223" s="93" t="s">
        <v>283</v>
      </c>
      <c r="B223" s="97" t="s">
        <v>2539</v>
      </c>
      <c r="C223" s="98"/>
      <c r="D223" s="107"/>
      <c r="E223" s="107"/>
      <c r="F223" s="99">
        <v>0.15</v>
      </c>
    </row>
    <row r="224" spans="1:6">
      <c r="A224" s="93" t="s">
        <v>283</v>
      </c>
      <c r="B224" s="97" t="s">
        <v>2549</v>
      </c>
      <c r="C224" s="98"/>
      <c r="D224" s="107"/>
      <c r="E224" s="107"/>
      <c r="F224" s="99">
        <v>0.15</v>
      </c>
    </row>
    <row r="225" spans="1:6">
      <c r="A225" s="93" t="s">
        <v>283</v>
      </c>
      <c r="B225" s="97" t="s">
        <v>2558</v>
      </c>
      <c r="C225" s="98">
        <v>0.15</v>
      </c>
      <c r="D225" s="98">
        <v>0.15</v>
      </c>
      <c r="E225" s="98">
        <v>0.15</v>
      </c>
      <c r="F225" s="99">
        <v>0.15</v>
      </c>
    </row>
    <row r="226" spans="1:6">
      <c r="A226" s="93" t="s">
        <v>283</v>
      </c>
      <c r="B226" s="97" t="s">
        <v>2566</v>
      </c>
      <c r="C226" s="98">
        <v>0.15</v>
      </c>
      <c r="D226" s="98">
        <v>0.15</v>
      </c>
      <c r="E226" s="98">
        <v>0.15</v>
      </c>
      <c r="F226" s="99">
        <v>0.14799999999999999</v>
      </c>
    </row>
    <row r="227" spans="1:6">
      <c r="A227" s="93" t="s">
        <v>283</v>
      </c>
      <c r="B227" s="97" t="s">
        <v>2574</v>
      </c>
      <c r="C227" s="98">
        <v>0.15</v>
      </c>
      <c r="D227" s="98">
        <v>0.15</v>
      </c>
      <c r="E227" s="98">
        <v>0.15</v>
      </c>
      <c r="F227" s="99">
        <v>0.15</v>
      </c>
    </row>
    <row r="228" spans="1:6">
      <c r="A228" s="93" t="s">
        <v>283</v>
      </c>
      <c r="B228" s="97" t="s">
        <v>2581</v>
      </c>
      <c r="C228" s="98">
        <v>0.15</v>
      </c>
      <c r="D228" s="98">
        <v>0.15</v>
      </c>
      <c r="E228" s="98">
        <v>0.15</v>
      </c>
      <c r="F228" s="99">
        <v>0.15</v>
      </c>
    </row>
    <row r="229" spans="1:6">
      <c r="A229" s="93" t="s">
        <v>283</v>
      </c>
      <c r="B229" s="97" t="s">
        <v>2588</v>
      </c>
      <c r="C229" s="98">
        <v>0.15</v>
      </c>
      <c r="D229" s="98">
        <v>0.15</v>
      </c>
      <c r="E229" s="98">
        <v>0.15</v>
      </c>
      <c r="F229" s="106"/>
    </row>
    <row r="230" spans="1:6">
      <c r="A230" s="93" t="s">
        <v>283</v>
      </c>
      <c r="B230" s="97" t="s">
        <v>2595</v>
      </c>
      <c r="C230" s="98">
        <v>0.14499999999999999</v>
      </c>
      <c r="D230" s="98">
        <v>0.14499999999999999</v>
      </c>
      <c r="E230" s="98">
        <v>0.14399999999999999</v>
      </c>
      <c r="F230" s="106"/>
    </row>
    <row r="231" spans="1:6">
      <c r="A231" s="93" t="s">
        <v>283</v>
      </c>
      <c r="B231" s="97" t="s">
        <v>2602</v>
      </c>
      <c r="C231" s="98">
        <v>0.128</v>
      </c>
      <c r="D231" s="98">
        <v>0.125</v>
      </c>
      <c r="E231" s="98">
        <v>0.13200000000000001</v>
      </c>
      <c r="F231" s="106"/>
    </row>
    <row r="232" spans="1:6">
      <c r="A232" s="93" t="s">
        <v>283</v>
      </c>
      <c r="B232" s="97" t="s">
        <v>2609</v>
      </c>
      <c r="C232" s="98">
        <v>0.14499999999999999</v>
      </c>
      <c r="D232" s="98">
        <v>0.14399999999999999</v>
      </c>
      <c r="E232" s="98">
        <v>0.14599999999999999</v>
      </c>
      <c r="F232" s="99">
        <v>0.13800000000000001</v>
      </c>
    </row>
    <row r="233" spans="1:6">
      <c r="A233" s="93" t="s">
        <v>283</v>
      </c>
      <c r="B233" s="97" t="s">
        <v>2614</v>
      </c>
      <c r="C233" s="98">
        <v>0.14499999999999999</v>
      </c>
      <c r="D233" s="98">
        <v>0.14299999999999999</v>
      </c>
      <c r="E233" s="98">
        <v>0.14199999999999999</v>
      </c>
      <c r="F233" s="106"/>
    </row>
    <row r="234" spans="1:6">
      <c r="A234" s="93" t="s">
        <v>283</v>
      </c>
      <c r="B234" s="97" t="s">
        <v>2692</v>
      </c>
      <c r="C234" s="98">
        <v>0.14000000000000001</v>
      </c>
      <c r="D234" s="98">
        <v>0.14000000000000001</v>
      </c>
      <c r="E234" s="98">
        <v>0.14399999999999999</v>
      </c>
      <c r="F234" s="106"/>
    </row>
    <row r="235" spans="1:6">
      <c r="A235" s="93" t="s">
        <v>283</v>
      </c>
      <c r="B235" s="97" t="s">
        <v>2624</v>
      </c>
      <c r="C235" s="98">
        <v>0.14099999999999999</v>
      </c>
      <c r="D235" s="98">
        <v>0.14199999999999999</v>
      </c>
      <c r="E235" s="98">
        <v>0.14499999999999999</v>
      </c>
      <c r="F235" s="99">
        <v>0.15</v>
      </c>
    </row>
    <row r="236" spans="1:6">
      <c r="A236" s="93" t="s">
        <v>283</v>
      </c>
      <c r="B236" s="97" t="s">
        <v>2629</v>
      </c>
      <c r="C236" s="107"/>
      <c r="D236" s="107"/>
      <c r="E236" s="107"/>
      <c r="F236" s="99">
        <v>0.14299999999999999</v>
      </c>
    </row>
    <row r="237" spans="1:6" ht="24">
      <c r="A237" s="93" t="s">
        <v>283</v>
      </c>
      <c r="B237" s="97" t="s">
        <v>2634</v>
      </c>
      <c r="C237" s="107"/>
      <c r="D237" s="107"/>
      <c r="E237" s="107"/>
      <c r="F237" s="99">
        <v>0.05</v>
      </c>
    </row>
    <row r="238" spans="1:6" ht="24">
      <c r="A238" s="93" t="s">
        <v>283</v>
      </c>
      <c r="B238" s="97" t="s">
        <v>2639</v>
      </c>
      <c r="C238" s="107"/>
      <c r="D238" s="107"/>
      <c r="E238" s="107"/>
      <c r="F238" s="99">
        <v>0.05</v>
      </c>
    </row>
    <row r="239" spans="1:6" ht="24">
      <c r="A239" s="93" t="s">
        <v>283</v>
      </c>
      <c r="B239" s="97" t="s">
        <v>2644</v>
      </c>
      <c r="C239" s="107"/>
      <c r="D239" s="107"/>
      <c r="E239" s="107"/>
      <c r="F239" s="99">
        <v>0.05</v>
      </c>
    </row>
    <row r="240" spans="1:6" ht="24">
      <c r="A240" s="93" t="s">
        <v>283</v>
      </c>
      <c r="B240" s="97" t="s">
        <v>2648</v>
      </c>
      <c r="C240" s="107"/>
      <c r="D240" s="107"/>
      <c r="E240" s="107"/>
      <c r="F240" s="99">
        <v>0.05</v>
      </c>
    </row>
    <row r="241" spans="1:6" ht="24">
      <c r="A241" s="93" t="s">
        <v>283</v>
      </c>
      <c r="B241" s="97" t="s">
        <v>2652</v>
      </c>
      <c r="C241" s="107"/>
      <c r="D241" s="107"/>
      <c r="E241" s="107"/>
      <c r="F241" s="99">
        <v>0.05</v>
      </c>
    </row>
    <row r="242" spans="1:6" ht="24">
      <c r="A242" s="93" t="s">
        <v>283</v>
      </c>
      <c r="B242" s="97" t="s">
        <v>2656</v>
      </c>
      <c r="C242" s="107"/>
      <c r="D242" s="107"/>
      <c r="E242" s="107"/>
      <c r="F242" s="99">
        <v>0.05</v>
      </c>
    </row>
    <row r="243" spans="1:6" ht="24">
      <c r="A243" s="93" t="s">
        <v>283</v>
      </c>
      <c r="B243" s="97" t="s">
        <v>2660</v>
      </c>
      <c r="C243" s="107"/>
      <c r="D243" s="107"/>
      <c r="E243" s="107"/>
      <c r="F243" s="99">
        <v>0.05</v>
      </c>
    </row>
    <row r="244" spans="1:6" ht="24">
      <c r="A244" s="101" t="s">
        <v>283</v>
      </c>
      <c r="B244" s="108" t="s">
        <v>2664</v>
      </c>
      <c r="C244" s="104"/>
      <c r="D244" s="104"/>
      <c r="E244" s="104"/>
      <c r="F244" s="109">
        <v>0.05</v>
      </c>
    </row>
    <row r="245" spans="1:6">
      <c r="A245" s="93" t="s">
        <v>286</v>
      </c>
      <c r="B245" s="94" t="s">
        <v>2357</v>
      </c>
      <c r="C245" s="95">
        <v>0.15</v>
      </c>
      <c r="D245" s="95">
        <v>0.15</v>
      </c>
      <c r="E245" s="95">
        <v>0.15</v>
      </c>
      <c r="F245" s="96">
        <v>0.14299999999999999</v>
      </c>
    </row>
    <row r="246" spans="1:6">
      <c r="A246" s="93" t="s">
        <v>286</v>
      </c>
      <c r="B246" s="97" t="s">
        <v>2370</v>
      </c>
      <c r="C246" s="98">
        <v>0.15</v>
      </c>
      <c r="D246" s="98">
        <v>0.15</v>
      </c>
      <c r="E246" s="98">
        <v>0.15</v>
      </c>
      <c r="F246" s="99">
        <v>0.114</v>
      </c>
    </row>
    <row r="247" spans="1:6">
      <c r="A247" s="93" t="s">
        <v>286</v>
      </c>
      <c r="B247" s="97" t="s">
        <v>2383</v>
      </c>
      <c r="C247" s="98">
        <v>0.15</v>
      </c>
      <c r="D247" s="98">
        <v>0.15</v>
      </c>
      <c r="E247" s="98">
        <v>0.15</v>
      </c>
      <c r="F247" s="99">
        <v>0.15</v>
      </c>
    </row>
    <row r="248" spans="1:6">
      <c r="A248" s="93" t="s">
        <v>286</v>
      </c>
      <c r="B248" s="97" t="s">
        <v>2395</v>
      </c>
      <c r="C248" s="98">
        <v>0.15</v>
      </c>
      <c r="D248" s="98">
        <v>0.15</v>
      </c>
      <c r="E248" s="98">
        <v>0.15</v>
      </c>
      <c r="F248" s="99">
        <v>0.14000000000000001</v>
      </c>
    </row>
    <row r="249" spans="1:6">
      <c r="A249" s="93" t="s">
        <v>286</v>
      </c>
      <c r="B249" s="97" t="s">
        <v>2407</v>
      </c>
      <c r="C249" s="98">
        <v>0.15</v>
      </c>
      <c r="D249" s="98">
        <v>0.14899999999999999</v>
      </c>
      <c r="E249" s="98">
        <v>0.15</v>
      </c>
      <c r="F249" s="99">
        <v>0.1</v>
      </c>
    </row>
    <row r="250" spans="1:6">
      <c r="A250" s="93" t="s">
        <v>286</v>
      </c>
      <c r="B250" s="97" t="s">
        <v>2418</v>
      </c>
      <c r="C250" s="98">
        <v>0.15</v>
      </c>
      <c r="D250" s="98">
        <v>0.15</v>
      </c>
      <c r="E250" s="98">
        <v>0.15</v>
      </c>
      <c r="F250" s="99">
        <v>0.14399999999999999</v>
      </c>
    </row>
    <row r="251" spans="1:6">
      <c r="A251" s="93" t="s">
        <v>286</v>
      </c>
      <c r="B251" s="97" t="s">
        <v>2429</v>
      </c>
      <c r="C251" s="98">
        <v>0.15</v>
      </c>
      <c r="D251" s="98">
        <v>0.15</v>
      </c>
      <c r="E251" s="98">
        <v>0.15</v>
      </c>
      <c r="F251" s="99">
        <v>0.14299999999999999</v>
      </c>
    </row>
    <row r="252" spans="1:6">
      <c r="A252" s="93" t="s">
        <v>286</v>
      </c>
      <c r="B252" s="97" t="s">
        <v>2440</v>
      </c>
      <c r="C252" s="98">
        <v>0.15</v>
      </c>
      <c r="D252" s="98">
        <v>0.15</v>
      </c>
      <c r="E252" s="98">
        <v>0.15</v>
      </c>
      <c r="F252" s="99">
        <v>0.1</v>
      </c>
    </row>
    <row r="253" spans="1:6">
      <c r="A253" s="93" t="s">
        <v>286</v>
      </c>
      <c r="B253" s="97" t="s">
        <v>2450</v>
      </c>
      <c r="C253" s="98">
        <v>0.15</v>
      </c>
      <c r="D253" s="98">
        <v>0.15</v>
      </c>
      <c r="E253" s="98">
        <v>0.15</v>
      </c>
      <c r="F253" s="99">
        <v>0.1</v>
      </c>
    </row>
    <row r="254" spans="1:6">
      <c r="A254" s="93" t="s">
        <v>286</v>
      </c>
      <c r="B254" s="97" t="s">
        <v>2460</v>
      </c>
      <c r="C254" s="107"/>
      <c r="D254" s="107"/>
      <c r="E254" s="107"/>
      <c r="F254" s="99">
        <v>0.15</v>
      </c>
    </row>
    <row r="255" spans="1:6">
      <c r="A255" s="93" t="s">
        <v>286</v>
      </c>
      <c r="B255" s="97" t="s">
        <v>2470</v>
      </c>
      <c r="C255" s="107"/>
      <c r="D255" s="107"/>
      <c r="E255" s="107"/>
      <c r="F255" s="99">
        <v>0.14299999999999999</v>
      </c>
    </row>
    <row r="256" spans="1:6">
      <c r="A256" s="93" t="s">
        <v>286</v>
      </c>
      <c r="B256" s="97" t="s">
        <v>2480</v>
      </c>
      <c r="C256" s="98">
        <v>0.14599999999999999</v>
      </c>
      <c r="D256" s="98">
        <v>0.14699999999999999</v>
      </c>
      <c r="E256" s="98">
        <v>0.15</v>
      </c>
      <c r="F256" s="99">
        <v>0.13200000000000001</v>
      </c>
    </row>
    <row r="257" spans="1:6">
      <c r="A257" s="93" t="s">
        <v>286</v>
      </c>
      <c r="B257" s="97" t="s">
        <v>2490</v>
      </c>
      <c r="C257" s="98">
        <v>0.15</v>
      </c>
      <c r="D257" s="98">
        <v>0.15</v>
      </c>
      <c r="E257" s="98">
        <v>0.15</v>
      </c>
      <c r="F257" s="99">
        <v>0.13900000000000001</v>
      </c>
    </row>
    <row r="258" spans="1:6">
      <c r="A258" s="93" t="s">
        <v>286</v>
      </c>
      <c r="B258" s="97" t="s">
        <v>2500</v>
      </c>
      <c r="C258" s="98">
        <v>0.15</v>
      </c>
      <c r="D258" s="98">
        <v>0.15</v>
      </c>
      <c r="E258" s="98">
        <v>0.15</v>
      </c>
      <c r="F258" s="99">
        <v>0.13</v>
      </c>
    </row>
    <row r="259" spans="1:6">
      <c r="A259" s="93" t="s">
        <v>286</v>
      </c>
      <c r="B259" s="97" t="s">
        <v>2510</v>
      </c>
      <c r="C259" s="98">
        <v>0.14799999999999999</v>
      </c>
      <c r="D259" s="98">
        <v>0.14899999999999999</v>
      </c>
      <c r="E259" s="98">
        <v>0.15</v>
      </c>
      <c r="F259" s="99">
        <v>0.13700000000000001</v>
      </c>
    </row>
    <row r="260" spans="1:6">
      <c r="A260" s="93" t="s">
        <v>286</v>
      </c>
      <c r="B260" s="97" t="s">
        <v>2520</v>
      </c>
      <c r="C260" s="98">
        <v>0.15</v>
      </c>
      <c r="D260" s="98">
        <v>0.15</v>
      </c>
      <c r="E260" s="98">
        <v>0.15</v>
      </c>
      <c r="F260" s="99">
        <v>0.14199999999999999</v>
      </c>
    </row>
    <row r="261" spans="1:6">
      <c r="A261" s="93" t="s">
        <v>286</v>
      </c>
      <c r="B261" s="97" t="s">
        <v>2530</v>
      </c>
      <c r="C261" s="98">
        <v>0.15</v>
      </c>
      <c r="D261" s="98">
        <v>0.15</v>
      </c>
      <c r="E261" s="98">
        <v>0.14899999999999999</v>
      </c>
      <c r="F261" s="99">
        <v>0.14799999999999999</v>
      </c>
    </row>
    <row r="262" spans="1:6">
      <c r="A262" s="93" t="s">
        <v>286</v>
      </c>
      <c r="B262" s="97" t="s">
        <v>2540</v>
      </c>
      <c r="C262" s="98">
        <v>0.15</v>
      </c>
      <c r="D262" s="98">
        <v>0.15</v>
      </c>
      <c r="E262" s="98">
        <v>0.15</v>
      </c>
      <c r="F262" s="106"/>
    </row>
    <row r="263" spans="1:6">
      <c r="A263" s="93" t="s">
        <v>286</v>
      </c>
      <c r="B263" s="97" t="s">
        <v>2550</v>
      </c>
      <c r="C263" s="98">
        <v>0.14899999999999999</v>
      </c>
      <c r="D263" s="98">
        <v>0.14899999999999999</v>
      </c>
      <c r="E263" s="98">
        <v>0.15</v>
      </c>
      <c r="F263" s="99">
        <v>0.13</v>
      </c>
    </row>
    <row r="264" spans="1:6">
      <c r="A264" s="93" t="s">
        <v>286</v>
      </c>
      <c r="B264" s="97" t="s">
        <v>2559</v>
      </c>
      <c r="C264" s="98">
        <v>0.14799999999999999</v>
      </c>
      <c r="D264" s="98">
        <v>0.14699999999999999</v>
      </c>
      <c r="E264" s="98">
        <v>0.15</v>
      </c>
      <c r="F264" s="99">
        <v>7.8E-2</v>
      </c>
    </row>
    <row r="265" spans="1:6">
      <c r="A265" s="93" t="s">
        <v>286</v>
      </c>
      <c r="B265" s="97" t="s">
        <v>2567</v>
      </c>
      <c r="C265" s="98">
        <v>0.15</v>
      </c>
      <c r="D265" s="98">
        <v>0.15</v>
      </c>
      <c r="E265" s="98">
        <v>0.15</v>
      </c>
      <c r="F265" s="99">
        <v>7.3999999999999996E-2</v>
      </c>
    </row>
    <row r="266" spans="1:6">
      <c r="A266" s="93" t="s">
        <v>286</v>
      </c>
      <c r="B266" s="97" t="s">
        <v>2575</v>
      </c>
      <c r="C266" s="98">
        <v>0.14699999999999999</v>
      </c>
      <c r="D266" s="98">
        <v>0.14699999999999999</v>
      </c>
      <c r="E266" s="98">
        <v>0.15</v>
      </c>
      <c r="F266" s="99">
        <v>0.14299999999999999</v>
      </c>
    </row>
    <row r="267" spans="1:6">
      <c r="A267" s="93" t="s">
        <v>286</v>
      </c>
      <c r="B267" s="97" t="s">
        <v>2582</v>
      </c>
      <c r="C267" s="98">
        <v>0.14199999999999999</v>
      </c>
      <c r="D267" s="98">
        <v>0.14299999999999999</v>
      </c>
      <c r="E267" s="98">
        <v>0.15</v>
      </c>
      <c r="F267" s="106"/>
    </row>
    <row r="268" spans="1:6">
      <c r="A268" s="93" t="s">
        <v>286</v>
      </c>
      <c r="B268" s="97" t="s">
        <v>2589</v>
      </c>
      <c r="C268" s="98">
        <v>0.15</v>
      </c>
      <c r="D268" s="98">
        <v>0.15</v>
      </c>
      <c r="E268" s="98">
        <v>0.15</v>
      </c>
      <c r="F268" s="99">
        <v>0.13</v>
      </c>
    </row>
    <row r="269" spans="1:6">
      <c r="A269" s="93" t="s">
        <v>286</v>
      </c>
      <c r="B269" s="97" t="s">
        <v>2596</v>
      </c>
      <c r="C269" s="98">
        <v>0.15</v>
      </c>
      <c r="D269" s="98">
        <v>0.15</v>
      </c>
      <c r="E269" s="98">
        <v>0.15</v>
      </c>
      <c r="F269" s="99">
        <v>0.14299999999999999</v>
      </c>
    </row>
    <row r="270" spans="1:6">
      <c r="A270" s="93" t="s">
        <v>286</v>
      </c>
      <c r="B270" s="97" t="s">
        <v>2603</v>
      </c>
      <c r="C270" s="98">
        <v>0.14499999999999999</v>
      </c>
      <c r="D270" s="98">
        <v>0.14499999999999999</v>
      </c>
      <c r="E270" s="98">
        <v>0.15</v>
      </c>
      <c r="F270" s="99">
        <v>0.14699999999999999</v>
      </c>
    </row>
    <row r="271" spans="1:6">
      <c r="A271" s="93" t="s">
        <v>286</v>
      </c>
      <c r="B271" s="97" t="s">
        <v>2610</v>
      </c>
      <c r="C271" s="98">
        <v>0.15</v>
      </c>
      <c r="D271" s="98">
        <v>0.15</v>
      </c>
      <c r="E271" s="98">
        <v>0.15</v>
      </c>
      <c r="F271" s="99">
        <v>0.13800000000000001</v>
      </c>
    </row>
    <row r="272" spans="1:6">
      <c r="A272" s="93" t="s">
        <v>286</v>
      </c>
      <c r="B272" s="97" t="s">
        <v>2615</v>
      </c>
      <c r="C272" s="107"/>
      <c r="D272" s="107"/>
      <c r="E272" s="107"/>
      <c r="F272" s="99">
        <v>0.14000000000000001</v>
      </c>
    </row>
    <row r="273" spans="1:6">
      <c r="A273" s="93" t="s">
        <v>286</v>
      </c>
      <c r="B273" s="97" t="s">
        <v>2620</v>
      </c>
      <c r="C273" s="98">
        <v>0.14199999999999999</v>
      </c>
      <c r="D273" s="98">
        <v>0.14299999999999999</v>
      </c>
      <c r="E273" s="98">
        <v>0.15</v>
      </c>
      <c r="F273" s="99">
        <v>0.1</v>
      </c>
    </row>
    <row r="274" spans="1:6">
      <c r="A274" s="93" t="s">
        <v>286</v>
      </c>
      <c r="B274" s="97" t="s">
        <v>2625</v>
      </c>
      <c r="C274" s="98">
        <v>0.14799999999999999</v>
      </c>
      <c r="D274" s="98">
        <v>0.14799999999999999</v>
      </c>
      <c r="E274" s="98">
        <v>0.15</v>
      </c>
      <c r="F274" s="99">
        <v>6.7000000000000004E-2</v>
      </c>
    </row>
    <row r="275" spans="1:6">
      <c r="A275" s="93" t="s">
        <v>286</v>
      </c>
      <c r="B275" s="97" t="s">
        <v>2630</v>
      </c>
      <c r="C275" s="98">
        <v>0.15</v>
      </c>
      <c r="D275" s="98">
        <v>0.15</v>
      </c>
      <c r="E275" s="98">
        <v>0.15</v>
      </c>
      <c r="F275" s="99">
        <v>0.15</v>
      </c>
    </row>
    <row r="276" spans="1:6">
      <c r="A276" s="93" t="s">
        <v>286</v>
      </c>
      <c r="B276" s="97" t="s">
        <v>2635</v>
      </c>
      <c r="C276" s="98">
        <v>0.14499999999999999</v>
      </c>
      <c r="D276" s="98">
        <v>0.14299999999999999</v>
      </c>
      <c r="E276" s="98">
        <v>0.15</v>
      </c>
      <c r="F276" s="99">
        <v>5.8999999999999997E-2</v>
      </c>
    </row>
    <row r="277" spans="1:6">
      <c r="A277" s="93" t="s">
        <v>286</v>
      </c>
      <c r="B277" s="97" t="s">
        <v>2640</v>
      </c>
      <c r="C277" s="98">
        <v>0.15</v>
      </c>
      <c r="D277" s="98">
        <v>0.15</v>
      </c>
      <c r="E277" s="98">
        <v>0.15</v>
      </c>
      <c r="F277" s="99">
        <v>0.121</v>
      </c>
    </row>
    <row r="278" spans="1:6">
      <c r="A278" s="93" t="s">
        <v>286</v>
      </c>
      <c r="B278" s="97" t="s">
        <v>2645</v>
      </c>
      <c r="C278" s="98">
        <v>0.15</v>
      </c>
      <c r="D278" s="98">
        <v>0.15</v>
      </c>
      <c r="E278" s="98">
        <v>0.15</v>
      </c>
      <c r="F278" s="99">
        <v>0.13800000000000001</v>
      </c>
    </row>
    <row r="279" spans="1:6" ht="24">
      <c r="A279" s="93" t="s">
        <v>286</v>
      </c>
      <c r="B279" s="97" t="s">
        <v>2649</v>
      </c>
      <c r="C279" s="107"/>
      <c r="D279" s="107"/>
      <c r="E279" s="107"/>
      <c r="F279" s="99">
        <v>0.05</v>
      </c>
    </row>
    <row r="280" spans="1:6" ht="24">
      <c r="A280" s="93" t="s">
        <v>286</v>
      </c>
      <c r="B280" s="97" t="s">
        <v>2653</v>
      </c>
      <c r="C280" s="107"/>
      <c r="D280" s="107"/>
      <c r="E280" s="107"/>
      <c r="F280" s="99">
        <v>0.05</v>
      </c>
    </row>
    <row r="281" spans="1:6" ht="24">
      <c r="A281" s="93" t="s">
        <v>286</v>
      </c>
      <c r="B281" s="97" t="s">
        <v>2657</v>
      </c>
      <c r="C281" s="107"/>
      <c r="D281" s="107"/>
      <c r="E281" s="107"/>
      <c r="F281" s="99">
        <v>0.05</v>
      </c>
    </row>
    <row r="282" spans="1:6" ht="24">
      <c r="A282" s="93" t="s">
        <v>286</v>
      </c>
      <c r="B282" s="97" t="s">
        <v>2661</v>
      </c>
      <c r="C282" s="107"/>
      <c r="D282" s="107"/>
      <c r="E282" s="107"/>
      <c r="F282" s="99">
        <v>0.05</v>
      </c>
    </row>
    <row r="283" spans="1:6" ht="24">
      <c r="A283" s="93" t="s">
        <v>286</v>
      </c>
      <c r="B283" s="97" t="s">
        <v>2665</v>
      </c>
      <c r="C283" s="107"/>
      <c r="D283" s="107"/>
      <c r="E283" s="107"/>
      <c r="F283" s="99">
        <v>0.05</v>
      </c>
    </row>
    <row r="284" spans="1:6" ht="24">
      <c r="A284" s="93" t="s">
        <v>286</v>
      </c>
      <c r="B284" s="97" t="s">
        <v>2668</v>
      </c>
      <c r="C284" s="107"/>
      <c r="D284" s="107"/>
      <c r="E284" s="107"/>
      <c r="F284" s="99">
        <v>0.05</v>
      </c>
    </row>
    <row r="285" spans="1:6" ht="24">
      <c r="A285" s="93" t="s">
        <v>286</v>
      </c>
      <c r="B285" s="97" t="s">
        <v>2671</v>
      </c>
      <c r="C285" s="107"/>
      <c r="D285" s="107"/>
      <c r="E285" s="107"/>
      <c r="F285" s="99">
        <v>0.05</v>
      </c>
    </row>
    <row r="286" spans="1:6" ht="24">
      <c r="A286" s="93" t="s">
        <v>286</v>
      </c>
      <c r="B286" s="97" t="s">
        <v>2674</v>
      </c>
      <c r="C286" s="107"/>
      <c r="D286" s="107"/>
      <c r="E286" s="107"/>
      <c r="F286" s="99">
        <v>0.05</v>
      </c>
    </row>
    <row r="287" spans="1:6" ht="24">
      <c r="A287" s="93" t="s">
        <v>286</v>
      </c>
      <c r="B287" s="97" t="s">
        <v>2677</v>
      </c>
      <c r="C287" s="107"/>
      <c r="D287" s="107"/>
      <c r="E287" s="107"/>
      <c r="F287" s="99">
        <v>0.05</v>
      </c>
    </row>
    <row r="288" spans="1:6" ht="24">
      <c r="A288" s="93" t="s">
        <v>286</v>
      </c>
      <c r="B288" s="97" t="s">
        <v>2680</v>
      </c>
      <c r="C288" s="107"/>
      <c r="D288" s="107"/>
      <c r="E288" s="107"/>
      <c r="F288" s="99">
        <v>0.05</v>
      </c>
    </row>
    <row r="289" spans="1:6" ht="24">
      <c r="A289" s="101" t="s">
        <v>286</v>
      </c>
      <c r="B289" s="108" t="s">
        <v>2683</v>
      </c>
      <c r="C289" s="104"/>
      <c r="D289" s="104"/>
      <c r="E289" s="104"/>
      <c r="F289" s="109">
        <v>0.05</v>
      </c>
    </row>
    <row r="290" spans="1:6">
      <c r="A290" s="93" t="s">
        <v>289</v>
      </c>
      <c r="B290" s="94" t="s">
        <v>2358</v>
      </c>
      <c r="C290" s="95">
        <v>0.15</v>
      </c>
      <c r="D290" s="95">
        <v>0.15</v>
      </c>
      <c r="E290" s="95">
        <v>0.15</v>
      </c>
      <c r="F290" s="117"/>
    </row>
    <row r="291" spans="1:6">
      <c r="A291" s="93" t="s">
        <v>289</v>
      </c>
      <c r="B291" s="97" t="s">
        <v>2371</v>
      </c>
      <c r="C291" s="98">
        <v>0.15</v>
      </c>
      <c r="D291" s="98">
        <v>0.15</v>
      </c>
      <c r="E291" s="98">
        <v>0.15</v>
      </c>
      <c r="F291" s="106"/>
    </row>
    <row r="292" spans="1:6">
      <c r="A292" s="93" t="s">
        <v>289</v>
      </c>
      <c r="B292" s="97" t="s">
        <v>2384</v>
      </c>
      <c r="C292" s="98">
        <v>0.15</v>
      </c>
      <c r="D292" s="98">
        <v>0.15</v>
      </c>
      <c r="E292" s="98">
        <v>0.15</v>
      </c>
      <c r="F292" s="99">
        <v>0.14699999999999999</v>
      </c>
    </row>
    <row r="293" spans="1:6">
      <c r="A293" s="93" t="s">
        <v>289</v>
      </c>
      <c r="B293" s="97" t="s">
        <v>2690</v>
      </c>
      <c r="C293" s="107"/>
      <c r="D293" s="107"/>
      <c r="E293" s="107"/>
      <c r="F293" s="99">
        <v>0.1</v>
      </c>
    </row>
    <row r="294" spans="1:6">
      <c r="A294" s="93" t="s">
        <v>289</v>
      </c>
      <c r="B294" s="97" t="s">
        <v>2396</v>
      </c>
      <c r="C294" s="98">
        <v>0.15</v>
      </c>
      <c r="D294" s="98">
        <v>0.15</v>
      </c>
      <c r="E294" s="98">
        <v>0.15</v>
      </c>
      <c r="F294" s="99">
        <v>0.15</v>
      </c>
    </row>
    <row r="295" spans="1:6">
      <c r="A295" s="93" t="s">
        <v>289</v>
      </c>
      <c r="B295" s="97" t="s">
        <v>2408</v>
      </c>
      <c r="C295" s="98">
        <v>0.15</v>
      </c>
      <c r="D295" s="98">
        <v>0.15</v>
      </c>
      <c r="E295" s="98">
        <v>0.15</v>
      </c>
      <c r="F295" s="99">
        <v>0.15</v>
      </c>
    </row>
    <row r="296" spans="1:6">
      <c r="A296" s="93" t="s">
        <v>289</v>
      </c>
      <c r="B296" s="97" t="s">
        <v>2419</v>
      </c>
      <c r="C296" s="98">
        <v>0.15</v>
      </c>
      <c r="D296" s="98">
        <v>0.15</v>
      </c>
      <c r="E296" s="98">
        <v>0.15</v>
      </c>
      <c r="F296" s="99">
        <v>0.15</v>
      </c>
    </row>
    <row r="297" spans="1:6">
      <c r="A297" s="93" t="s">
        <v>289</v>
      </c>
      <c r="B297" s="97" t="s">
        <v>2430</v>
      </c>
      <c r="C297" s="98">
        <v>0.14799999999999999</v>
      </c>
      <c r="D297" s="98">
        <v>0.14899999999999999</v>
      </c>
      <c r="E297" s="98">
        <v>0.15</v>
      </c>
      <c r="F297" s="99">
        <v>0.13700000000000001</v>
      </c>
    </row>
    <row r="298" spans="1:6">
      <c r="A298" s="93" t="s">
        <v>289</v>
      </c>
      <c r="B298" s="97" t="s">
        <v>2441</v>
      </c>
      <c r="C298" s="98">
        <v>0.13400000000000001</v>
      </c>
      <c r="D298" s="98">
        <v>0.13400000000000001</v>
      </c>
      <c r="E298" s="98">
        <v>0.14499999999999999</v>
      </c>
      <c r="F298" s="99">
        <v>0.14799999999999999</v>
      </c>
    </row>
    <row r="299" spans="1:6">
      <c r="A299" s="93" t="s">
        <v>289</v>
      </c>
      <c r="B299" s="97" t="s">
        <v>2451</v>
      </c>
      <c r="C299" s="98">
        <v>0.15</v>
      </c>
      <c r="D299" s="98">
        <v>0.15</v>
      </c>
      <c r="E299" s="98">
        <v>0.15</v>
      </c>
      <c r="F299" s="106"/>
    </row>
    <row r="300" spans="1:6">
      <c r="A300" s="93" t="s">
        <v>289</v>
      </c>
      <c r="B300" s="97" t="s">
        <v>2461</v>
      </c>
      <c r="C300" s="98">
        <v>0.15</v>
      </c>
      <c r="D300" s="98">
        <v>0.15</v>
      </c>
      <c r="E300" s="98">
        <v>0.15</v>
      </c>
      <c r="F300" s="99">
        <v>0.15</v>
      </c>
    </row>
    <row r="301" spans="1:6">
      <c r="A301" s="93" t="s">
        <v>289</v>
      </c>
      <c r="B301" s="97" t="s">
        <v>2471</v>
      </c>
      <c r="C301" s="98">
        <v>0.15</v>
      </c>
      <c r="D301" s="98">
        <v>0.15</v>
      </c>
      <c r="E301" s="98">
        <v>0.15</v>
      </c>
      <c r="F301" s="106"/>
    </row>
    <row r="302" spans="1:6">
      <c r="A302" s="93" t="s">
        <v>289</v>
      </c>
      <c r="B302" s="97" t="s">
        <v>2481</v>
      </c>
      <c r="C302" s="98">
        <v>0.15</v>
      </c>
      <c r="D302" s="98">
        <v>0.15</v>
      </c>
      <c r="E302" s="98">
        <v>0.15</v>
      </c>
      <c r="F302" s="99">
        <v>0.15</v>
      </c>
    </row>
    <row r="303" spans="1:6">
      <c r="A303" s="93" t="s">
        <v>289</v>
      </c>
      <c r="B303" s="97" t="s">
        <v>2491</v>
      </c>
      <c r="C303" s="98">
        <v>0.15</v>
      </c>
      <c r="D303" s="98">
        <v>0.15</v>
      </c>
      <c r="E303" s="98">
        <v>0.15</v>
      </c>
      <c r="F303" s="99">
        <v>0.15</v>
      </c>
    </row>
    <row r="304" spans="1:6">
      <c r="A304" s="93" t="s">
        <v>289</v>
      </c>
      <c r="B304" s="97" t="s">
        <v>2501</v>
      </c>
      <c r="C304" s="98">
        <v>0.15</v>
      </c>
      <c r="D304" s="98">
        <v>0.15</v>
      </c>
      <c r="E304" s="98">
        <v>0.15</v>
      </c>
      <c r="F304" s="106"/>
    </row>
    <row r="305" spans="1:6">
      <c r="A305" s="93" t="s">
        <v>289</v>
      </c>
      <c r="B305" s="97" t="s">
        <v>2511</v>
      </c>
      <c r="C305" s="98">
        <v>0.15</v>
      </c>
      <c r="D305" s="98">
        <v>0.15</v>
      </c>
      <c r="E305" s="98">
        <v>0.15</v>
      </c>
      <c r="F305" s="99">
        <v>0.14000000000000001</v>
      </c>
    </row>
    <row r="306" spans="1:6">
      <c r="A306" s="93" t="s">
        <v>289</v>
      </c>
      <c r="B306" s="97" t="s">
        <v>2521</v>
      </c>
      <c r="C306" s="98">
        <v>0.15</v>
      </c>
      <c r="D306" s="98">
        <v>0.15</v>
      </c>
      <c r="E306" s="98">
        <v>0.15</v>
      </c>
      <c r="F306" s="106"/>
    </row>
    <row r="307" spans="1:6">
      <c r="A307" s="93" t="s">
        <v>289</v>
      </c>
      <c r="B307" s="97" t="s">
        <v>2531</v>
      </c>
      <c r="C307" s="98">
        <v>0.15</v>
      </c>
      <c r="D307" s="98">
        <v>0.15</v>
      </c>
      <c r="E307" s="98">
        <v>0.15</v>
      </c>
      <c r="F307" s="99">
        <v>0.14299999999999999</v>
      </c>
    </row>
    <row r="308" spans="1:6">
      <c r="A308" s="93" t="s">
        <v>289</v>
      </c>
      <c r="B308" s="97" t="s">
        <v>2541</v>
      </c>
      <c r="C308" s="98">
        <v>0.15</v>
      </c>
      <c r="D308" s="98">
        <v>0.15</v>
      </c>
      <c r="E308" s="98">
        <v>0.15</v>
      </c>
      <c r="F308" s="99">
        <v>0.15</v>
      </c>
    </row>
    <row r="309" spans="1:6">
      <c r="A309" s="93" t="s">
        <v>289</v>
      </c>
      <c r="B309" s="97" t="s">
        <v>2551</v>
      </c>
      <c r="C309" s="98">
        <v>0.15</v>
      </c>
      <c r="D309" s="98">
        <v>0.15</v>
      </c>
      <c r="E309" s="98">
        <v>0.15</v>
      </c>
      <c r="F309" s="106"/>
    </row>
    <row r="310" spans="1:6">
      <c r="A310" s="93" t="s">
        <v>289</v>
      </c>
      <c r="B310" s="97" t="s">
        <v>2560</v>
      </c>
      <c r="C310" s="98">
        <v>0.15</v>
      </c>
      <c r="D310" s="98">
        <v>0.15</v>
      </c>
      <c r="E310" s="98">
        <v>0.15</v>
      </c>
      <c r="F310" s="99">
        <v>0.13700000000000001</v>
      </c>
    </row>
    <row r="311" spans="1:6">
      <c r="A311" s="93" t="s">
        <v>289</v>
      </c>
      <c r="B311" s="97" t="s">
        <v>2568</v>
      </c>
      <c r="C311" s="98">
        <v>0.15</v>
      </c>
      <c r="D311" s="98">
        <v>0.15</v>
      </c>
      <c r="E311" s="98">
        <v>0.15</v>
      </c>
      <c r="F311" s="99">
        <v>0.15</v>
      </c>
    </row>
    <row r="312" spans="1:6">
      <c r="A312" s="93" t="s">
        <v>289</v>
      </c>
      <c r="B312" s="97" t="s">
        <v>2576</v>
      </c>
      <c r="C312" s="98">
        <v>0.15</v>
      </c>
      <c r="D312" s="98">
        <v>0.15</v>
      </c>
      <c r="E312" s="98">
        <v>0.15</v>
      </c>
      <c r="F312" s="99">
        <v>0.1</v>
      </c>
    </row>
    <row r="313" spans="1:6">
      <c r="A313" s="93" t="s">
        <v>289</v>
      </c>
      <c r="B313" s="97" t="s">
        <v>2583</v>
      </c>
      <c r="C313" s="98">
        <v>0.15</v>
      </c>
      <c r="D313" s="98">
        <v>0.15</v>
      </c>
      <c r="E313" s="98">
        <v>0.15</v>
      </c>
      <c r="F313" s="99">
        <v>0.15</v>
      </c>
    </row>
    <row r="314" spans="1:6" ht="24">
      <c r="A314" s="93" t="s">
        <v>289</v>
      </c>
      <c r="B314" s="97" t="s">
        <v>2590</v>
      </c>
      <c r="C314" s="107"/>
      <c r="D314" s="107"/>
      <c r="E314" s="107"/>
      <c r="F314" s="99">
        <v>0.05</v>
      </c>
    </row>
    <row r="315" spans="1:6" ht="24">
      <c r="A315" s="93" t="s">
        <v>289</v>
      </c>
      <c r="B315" s="97" t="s">
        <v>2597</v>
      </c>
      <c r="C315" s="107"/>
      <c r="D315" s="107"/>
      <c r="E315" s="107"/>
      <c r="F315" s="99">
        <v>0.05</v>
      </c>
    </row>
    <row r="316" spans="1:6" ht="24">
      <c r="A316" s="101" t="s">
        <v>289</v>
      </c>
      <c r="B316" s="108" t="s">
        <v>2604</v>
      </c>
      <c r="C316" s="104"/>
      <c r="D316" s="104"/>
      <c r="E316" s="104"/>
      <c r="F316" s="109">
        <v>0.05</v>
      </c>
    </row>
    <row r="317" spans="1:6">
      <c r="A317" s="93" t="s">
        <v>292</v>
      </c>
      <c r="B317" s="94" t="s">
        <v>2359</v>
      </c>
      <c r="C317" s="95">
        <v>0.15</v>
      </c>
      <c r="D317" s="95">
        <v>0.15</v>
      </c>
      <c r="E317" s="95">
        <v>0.15</v>
      </c>
      <c r="F317" s="96">
        <v>0.15</v>
      </c>
    </row>
    <row r="318" spans="1:6">
      <c r="A318" s="93" t="s">
        <v>292</v>
      </c>
      <c r="B318" s="97" t="s">
        <v>2372</v>
      </c>
      <c r="C318" s="98">
        <v>0.107</v>
      </c>
      <c r="D318" s="98">
        <v>0.11</v>
      </c>
      <c r="E318" s="98">
        <v>0.112</v>
      </c>
      <c r="F318" s="106"/>
    </row>
    <row r="319" spans="1:6">
      <c r="A319" s="93" t="s">
        <v>292</v>
      </c>
      <c r="B319" s="97" t="s">
        <v>2385</v>
      </c>
      <c r="C319" s="98">
        <v>0.15</v>
      </c>
      <c r="D319" s="98">
        <v>0.15</v>
      </c>
      <c r="E319" s="98">
        <v>0.15</v>
      </c>
      <c r="F319" s="99">
        <v>0.15</v>
      </c>
    </row>
    <row r="320" spans="1:6">
      <c r="A320" s="93" t="s">
        <v>292</v>
      </c>
      <c r="B320" s="97" t="s">
        <v>2397</v>
      </c>
      <c r="C320" s="98">
        <v>0.15</v>
      </c>
      <c r="D320" s="98">
        <v>0.15</v>
      </c>
      <c r="E320" s="98">
        <v>0.15</v>
      </c>
      <c r="F320" s="106"/>
    </row>
    <row r="321" spans="1:6">
      <c r="A321" s="93" t="s">
        <v>292</v>
      </c>
      <c r="B321" s="97" t="s">
        <v>2409</v>
      </c>
      <c r="C321" s="98">
        <v>0.15</v>
      </c>
      <c r="D321" s="98">
        <v>0.15</v>
      </c>
      <c r="E321" s="98">
        <v>0.15</v>
      </c>
      <c r="F321" s="106"/>
    </row>
    <row r="322" spans="1:6">
      <c r="A322" s="93" t="s">
        <v>292</v>
      </c>
      <c r="B322" s="97" t="s">
        <v>2420</v>
      </c>
      <c r="C322" s="98">
        <v>0.15</v>
      </c>
      <c r="D322" s="98">
        <v>0.15</v>
      </c>
      <c r="E322" s="98">
        <v>0.15</v>
      </c>
      <c r="F322" s="99">
        <v>0.15</v>
      </c>
    </row>
    <row r="323" spans="1:6">
      <c r="A323" s="93" t="s">
        <v>292</v>
      </c>
      <c r="B323" s="97" t="s">
        <v>2431</v>
      </c>
      <c r="C323" s="98">
        <v>0.15</v>
      </c>
      <c r="D323" s="98">
        <v>0.15</v>
      </c>
      <c r="E323" s="98">
        <v>0.15</v>
      </c>
      <c r="F323" s="106"/>
    </row>
    <row r="324" spans="1:6">
      <c r="A324" s="93" t="s">
        <v>292</v>
      </c>
      <c r="B324" s="97" t="s">
        <v>2442</v>
      </c>
      <c r="C324" s="98">
        <v>0.15</v>
      </c>
      <c r="D324" s="98">
        <v>0.15</v>
      </c>
      <c r="E324" s="98">
        <v>0.15</v>
      </c>
      <c r="F324" s="106"/>
    </row>
    <row r="325" spans="1:6">
      <c r="A325" s="93" t="s">
        <v>292</v>
      </c>
      <c r="B325" s="97" t="s">
        <v>2452</v>
      </c>
      <c r="C325" s="98">
        <v>0.15</v>
      </c>
      <c r="D325" s="98">
        <v>0.15</v>
      </c>
      <c r="E325" s="98">
        <v>0.15</v>
      </c>
      <c r="F325" s="99">
        <v>0.14699999999999999</v>
      </c>
    </row>
    <row r="326" spans="1:6">
      <c r="A326" s="93" t="s">
        <v>292</v>
      </c>
      <c r="B326" s="97" t="s">
        <v>2462</v>
      </c>
      <c r="C326" s="98">
        <v>0.15</v>
      </c>
      <c r="D326" s="98">
        <v>0.15</v>
      </c>
      <c r="E326" s="98">
        <v>0.15</v>
      </c>
      <c r="F326" s="106"/>
    </row>
    <row r="327" spans="1:6">
      <c r="A327" s="93" t="s">
        <v>292</v>
      </c>
      <c r="B327" s="97" t="s">
        <v>2472</v>
      </c>
      <c r="C327" s="98">
        <v>0.15</v>
      </c>
      <c r="D327" s="98">
        <v>0.15</v>
      </c>
      <c r="E327" s="98">
        <v>0.15</v>
      </c>
      <c r="F327" s="99">
        <v>0.15</v>
      </c>
    </row>
    <row r="328" spans="1:6">
      <c r="A328" s="93" t="s">
        <v>292</v>
      </c>
      <c r="B328" s="97" t="s">
        <v>2482</v>
      </c>
      <c r="C328" s="98">
        <v>0.15</v>
      </c>
      <c r="D328" s="98">
        <v>0.15</v>
      </c>
      <c r="E328" s="98">
        <v>0.15</v>
      </c>
      <c r="F328" s="99">
        <v>0.14099999999999999</v>
      </c>
    </row>
    <row r="329" spans="1:6">
      <c r="A329" s="93" t="s">
        <v>292</v>
      </c>
      <c r="B329" s="97" t="s">
        <v>2492</v>
      </c>
      <c r="C329" s="98">
        <v>0.15</v>
      </c>
      <c r="D329" s="98">
        <v>0.15</v>
      </c>
      <c r="E329" s="98">
        <v>0.15</v>
      </c>
      <c r="F329" s="99">
        <v>0.15</v>
      </c>
    </row>
    <row r="330" spans="1:6">
      <c r="A330" s="93" t="s">
        <v>292</v>
      </c>
      <c r="B330" s="97" t="s">
        <v>2502</v>
      </c>
      <c r="C330" s="98">
        <v>0.15</v>
      </c>
      <c r="D330" s="98">
        <v>0.15</v>
      </c>
      <c r="E330" s="98">
        <v>0.15</v>
      </c>
      <c r="F330" s="106"/>
    </row>
    <row r="331" spans="1:6">
      <c r="A331" s="93" t="s">
        <v>292</v>
      </c>
      <c r="B331" s="97" t="s">
        <v>2512</v>
      </c>
      <c r="C331" s="98">
        <v>0.15</v>
      </c>
      <c r="D331" s="98">
        <v>0.15</v>
      </c>
      <c r="E331" s="98">
        <v>0.15</v>
      </c>
      <c r="F331" s="99">
        <v>0.15</v>
      </c>
    </row>
    <row r="332" spans="1:6">
      <c r="A332" s="93" t="s">
        <v>292</v>
      </c>
      <c r="B332" s="97" t="s">
        <v>2522</v>
      </c>
      <c r="C332" s="98">
        <v>0.15</v>
      </c>
      <c r="D332" s="98">
        <v>0.15</v>
      </c>
      <c r="E332" s="98">
        <v>0.15</v>
      </c>
      <c r="F332" s="99">
        <v>0.15</v>
      </c>
    </row>
    <row r="333" spans="1:6">
      <c r="A333" s="93" t="s">
        <v>292</v>
      </c>
      <c r="B333" s="97" t="s">
        <v>2532</v>
      </c>
      <c r="C333" s="98">
        <v>0.15</v>
      </c>
      <c r="D333" s="98">
        <v>0.15</v>
      </c>
      <c r="E333" s="98">
        <v>0.15</v>
      </c>
      <c r="F333" s="99">
        <v>0.14099999999999999</v>
      </c>
    </row>
    <row r="334" spans="1:6">
      <c r="A334" s="93" t="s">
        <v>292</v>
      </c>
      <c r="B334" s="97" t="s">
        <v>2542</v>
      </c>
      <c r="C334" s="98">
        <v>0.15</v>
      </c>
      <c r="D334" s="98">
        <v>0.15</v>
      </c>
      <c r="E334" s="98">
        <v>0.15</v>
      </c>
      <c r="F334" s="99">
        <v>0.15</v>
      </c>
    </row>
    <row r="335" spans="1:6">
      <c r="A335" s="93" t="s">
        <v>292</v>
      </c>
      <c r="B335" s="97" t="s">
        <v>2552</v>
      </c>
      <c r="C335" s="98">
        <v>0.15</v>
      </c>
      <c r="D335" s="98">
        <v>0.15</v>
      </c>
      <c r="E335" s="98">
        <v>0.15</v>
      </c>
      <c r="F335" s="106"/>
    </row>
    <row r="336" spans="1:6">
      <c r="A336" s="93" t="s">
        <v>292</v>
      </c>
      <c r="B336" s="97" t="s">
        <v>2561</v>
      </c>
      <c r="C336" s="98">
        <v>0.15</v>
      </c>
      <c r="D336" s="98">
        <v>0.15</v>
      </c>
      <c r="E336" s="98">
        <v>0.15</v>
      </c>
      <c r="F336" s="99">
        <v>0.11799999999999999</v>
      </c>
    </row>
    <row r="337" spans="1:6">
      <c r="A337" s="101" t="s">
        <v>292</v>
      </c>
      <c r="B337" s="108" t="s">
        <v>2569</v>
      </c>
      <c r="C337" s="104"/>
      <c r="D337" s="104"/>
      <c r="E337" s="104"/>
      <c r="F337" s="109">
        <v>0.14299999999999999</v>
      </c>
    </row>
    <row r="338" spans="1:6">
      <c r="A338" s="93" t="s">
        <v>295</v>
      </c>
      <c r="B338" s="94" t="s">
        <v>2360</v>
      </c>
      <c r="C338" s="95">
        <v>0.15</v>
      </c>
      <c r="D338" s="95">
        <v>0.15</v>
      </c>
      <c r="E338" s="95">
        <v>0.15</v>
      </c>
      <c r="F338" s="117"/>
    </row>
    <row r="339" spans="1:6">
      <c r="A339" s="93" t="s">
        <v>295</v>
      </c>
      <c r="B339" s="97" t="s">
        <v>2373</v>
      </c>
      <c r="C339" s="98">
        <v>0.15</v>
      </c>
      <c r="D339" s="98">
        <v>0.15</v>
      </c>
      <c r="E339" s="98">
        <v>0.15</v>
      </c>
      <c r="F339" s="106"/>
    </row>
    <row r="340" spans="1:6">
      <c r="A340" s="93" t="s">
        <v>295</v>
      </c>
      <c r="B340" s="97" t="s">
        <v>2386</v>
      </c>
      <c r="C340" s="98">
        <v>0.15</v>
      </c>
      <c r="D340" s="98">
        <v>0.15</v>
      </c>
      <c r="E340" s="98">
        <v>0.15</v>
      </c>
      <c r="F340" s="106"/>
    </row>
    <row r="341" spans="1:6">
      <c r="A341" s="93" t="s">
        <v>295</v>
      </c>
      <c r="B341" s="97" t="s">
        <v>2398</v>
      </c>
      <c r="C341" s="98">
        <v>0.15</v>
      </c>
      <c r="D341" s="98">
        <v>0.15</v>
      </c>
      <c r="E341" s="98">
        <v>0.15</v>
      </c>
      <c r="F341" s="99">
        <v>0.15</v>
      </c>
    </row>
    <row r="342" spans="1:6">
      <c r="A342" s="93" t="s">
        <v>295</v>
      </c>
      <c r="B342" s="97" t="s">
        <v>2410</v>
      </c>
      <c r="C342" s="98">
        <v>0.15</v>
      </c>
      <c r="D342" s="98">
        <v>0.15</v>
      </c>
      <c r="E342" s="98">
        <v>0.15</v>
      </c>
      <c r="F342" s="99">
        <v>0.15</v>
      </c>
    </row>
    <row r="343" spans="1:6">
      <c r="A343" s="93" t="s">
        <v>295</v>
      </c>
      <c r="B343" s="97" t="s">
        <v>2421</v>
      </c>
      <c r="C343" s="98">
        <v>0.15</v>
      </c>
      <c r="D343" s="98">
        <v>0.15</v>
      </c>
      <c r="E343" s="98">
        <v>0.15</v>
      </c>
      <c r="F343" s="99">
        <v>0.15</v>
      </c>
    </row>
    <row r="344" spans="1:6">
      <c r="A344" s="101" t="s">
        <v>295</v>
      </c>
      <c r="B344" s="108" t="s">
        <v>2432</v>
      </c>
      <c r="C344" s="103">
        <v>0.15</v>
      </c>
      <c r="D344" s="103">
        <v>0.15</v>
      </c>
      <c r="E344" s="103">
        <v>0.15</v>
      </c>
      <c r="F344" s="109">
        <v>0.15</v>
      </c>
    </row>
  </sheetData>
  <sheetProtection password="C66D"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2693</v>
      </c>
      <c r="C1" s="21">
        <f>项目基本情况!D3</f>
        <v>44770</v>
      </c>
      <c r="D1" s="20" t="s">
        <v>2694</v>
      </c>
      <c r="E1" s="22">
        <f>'数据-取费表'!B22</f>
        <v>2</v>
      </c>
      <c r="F1" s="20" t="s">
        <v>2695</v>
      </c>
      <c r="G1" s="23">
        <f ca="1">INDIRECT("d"&amp;$K$1)/100</f>
        <v>3.7000000000000005E-2</v>
      </c>
      <c r="H1" s="20" t="s">
        <v>2696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2695</v>
      </c>
      <c r="E2" s="24"/>
      <c r="F2" s="24" t="s">
        <v>2697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2700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2703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2704</v>
      </c>
      <c r="C10" s="48"/>
      <c r="D10" s="48"/>
      <c r="E10" s="48"/>
      <c r="F10" s="48"/>
      <c r="G10" s="48"/>
      <c r="H10" s="48"/>
      <c r="I10" s="16"/>
      <c r="J10" s="16"/>
      <c r="K10" s="48"/>
      <c r="L10" s="49" t="s">
        <v>2705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2706</v>
      </c>
      <c r="C11" s="52" t="s">
        <v>2707</v>
      </c>
      <c r="D11" s="53" t="s">
        <v>2708</v>
      </c>
      <c r="E11" s="54"/>
      <c r="F11" s="53" t="s">
        <v>2709</v>
      </c>
      <c r="G11" s="55"/>
      <c r="H11" s="54"/>
      <c r="I11" s="53" t="s">
        <v>2710</v>
      </c>
      <c r="J11" s="54"/>
      <c r="K11" s="50"/>
      <c r="L11" s="51" t="s">
        <v>2706</v>
      </c>
      <c r="M11" s="52" t="s">
        <v>2707</v>
      </c>
      <c r="N11" s="51" t="s">
        <v>2711</v>
      </c>
      <c r="O11" s="53" t="s">
        <v>2712</v>
      </c>
      <c r="P11" s="55"/>
      <c r="Q11" s="55"/>
      <c r="R11" s="55"/>
      <c r="S11" s="55"/>
      <c r="T11" s="54"/>
      <c r="U11" s="53" t="s">
        <v>2713</v>
      </c>
      <c r="V11" s="55"/>
      <c r="W11" s="54"/>
      <c r="X11" s="51" t="s">
        <v>2714</v>
      </c>
      <c r="Y11" s="51" t="s">
        <v>2715</v>
      </c>
      <c r="Z11" s="51" t="s">
        <v>2716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2717</v>
      </c>
      <c r="E12" s="59" t="s">
        <v>2699</v>
      </c>
      <c r="F12" s="59" t="s">
        <v>2700</v>
      </c>
      <c r="G12" s="59" t="s">
        <v>2701</v>
      </c>
      <c r="H12" s="59" t="s">
        <v>2702</v>
      </c>
      <c r="I12" s="73" t="s">
        <v>2718</v>
      </c>
      <c r="J12" s="73" t="s">
        <v>2718</v>
      </c>
      <c r="K12" s="56"/>
      <c r="L12" s="57"/>
      <c r="M12" s="58"/>
      <c r="N12" s="57"/>
      <c r="O12" s="73" t="s">
        <v>2719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2720</v>
      </c>
      <c r="C13" s="62">
        <v>44701</v>
      </c>
      <c r="D13" s="63">
        <v>3.7</v>
      </c>
      <c r="E13" s="63">
        <f>D13</f>
        <v>3.7</v>
      </c>
      <c r="F13" s="63">
        <f>D13</f>
        <v>3.7</v>
      </c>
      <c r="G13" s="63">
        <f>D13</f>
        <v>3.7</v>
      </c>
      <c r="H13" s="63">
        <v>4.45</v>
      </c>
      <c r="I13" s="63"/>
      <c r="J13" s="63"/>
      <c r="K13" s="60"/>
      <c r="L13" s="61" t="s">
        <v>2720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2721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2722</v>
      </c>
      <c r="Y42" s="65" t="s">
        <v>2722</v>
      </c>
      <c r="Z42" s="65" t="s">
        <v>2722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2722</v>
      </c>
      <c r="Y43" s="65" t="s">
        <v>2722</v>
      </c>
      <c r="Z43" s="65" t="s">
        <v>2722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2722</v>
      </c>
      <c r="Y44" s="65" t="s">
        <v>2722</v>
      </c>
      <c r="Z44" s="65" t="s">
        <v>2722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2722</v>
      </c>
      <c r="Y45" s="65" t="s">
        <v>2722</v>
      </c>
      <c r="Z45" s="65" t="s">
        <v>2722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2722</v>
      </c>
      <c r="Y46" s="65" t="s">
        <v>2722</v>
      </c>
      <c r="Z46" s="65" t="s">
        <v>2722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2722</v>
      </c>
      <c r="Y47" s="65" t="s">
        <v>2722</v>
      </c>
      <c r="Z47" s="65" t="s">
        <v>2722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2722</v>
      </c>
      <c r="Y48" s="65" t="s">
        <v>2722</v>
      </c>
      <c r="Z48" s="65" t="s">
        <v>2722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2722</v>
      </c>
      <c r="Y49" s="65" t="s">
        <v>2722</v>
      </c>
      <c r="Z49" s="65" t="s">
        <v>2722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2722</v>
      </c>
      <c r="Y50" s="65" t="s">
        <v>2722</v>
      </c>
      <c r="Z50" s="65" t="s">
        <v>2722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2722</v>
      </c>
      <c r="V51" s="65" t="s">
        <v>2722</v>
      </c>
      <c r="W51" s="65" t="s">
        <v>2722</v>
      </c>
      <c r="X51" s="65" t="s">
        <v>2722</v>
      </c>
      <c r="Y51" s="65" t="s">
        <v>2722</v>
      </c>
      <c r="Z51" s="65" t="s">
        <v>2722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2722</v>
      </c>
      <c r="J63" s="65" t="s">
        <v>2722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2723</v>
      </c>
      <c r="E1" s="2" t="s">
        <v>2724</v>
      </c>
      <c r="F1" s="3" t="s">
        <v>2725</v>
      </c>
    </row>
    <row r="2" spans="1:13" ht="19.8">
      <c r="A2" s="4" t="s">
        <v>2726</v>
      </c>
    </row>
    <row r="3" spans="1:13" ht="15.6">
      <c r="A3" s="5" t="s">
        <v>2727</v>
      </c>
    </row>
    <row r="4" spans="1:13">
      <c r="A4" s="6" t="s">
        <v>1240</v>
      </c>
      <c r="B4" s="7" t="s">
        <v>1885</v>
      </c>
      <c r="C4" s="8"/>
      <c r="D4" s="9"/>
      <c r="E4" s="7" t="s">
        <v>452</v>
      </c>
      <c r="F4" s="8"/>
      <c r="G4" s="9"/>
      <c r="H4" s="7" t="s">
        <v>2728</v>
      </c>
      <c r="I4" s="8"/>
      <c r="J4" s="9"/>
      <c r="K4" s="7" t="s">
        <v>1887</v>
      </c>
      <c r="L4" s="8"/>
      <c r="M4" s="9"/>
    </row>
    <row r="5" spans="1:13">
      <c r="A5" s="10" t="s">
        <v>208</v>
      </c>
      <c r="B5" s="6" t="s">
        <v>2729</v>
      </c>
      <c r="C5" s="6" t="s">
        <v>2730</v>
      </c>
      <c r="D5" s="6" t="s">
        <v>2731</v>
      </c>
      <c r="E5" s="6" t="s">
        <v>2729</v>
      </c>
      <c r="F5" s="6" t="s">
        <v>2730</v>
      </c>
      <c r="G5" s="6" t="s">
        <v>2731</v>
      </c>
      <c r="H5" s="6" t="s">
        <v>2729</v>
      </c>
      <c r="I5" s="6" t="s">
        <v>2730</v>
      </c>
      <c r="J5" s="6" t="s">
        <v>2731</v>
      </c>
      <c r="K5" s="6" t="s">
        <v>2729</v>
      </c>
      <c r="L5" s="6" t="s">
        <v>2730</v>
      </c>
      <c r="M5" s="6" t="s">
        <v>2731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83" t="str">
        <f>IF(项目基本情况!B9="房地产市场价值","估价结果一览表","结果表-2")</f>
        <v>结果表-2</v>
      </c>
      <c r="B1" s="3283"/>
      <c r="C1" s="3283"/>
      <c r="D1" s="3283"/>
      <c r="E1" s="3283"/>
      <c r="F1" s="3283"/>
      <c r="G1" s="3283"/>
      <c r="H1" s="3283"/>
      <c r="I1" s="3283"/>
    </row>
    <row r="2" spans="1:9" ht="30" customHeight="1">
      <c r="A2" s="3284" t="s">
        <v>107</v>
      </c>
      <c r="B2" s="3284" t="s">
        <v>108</v>
      </c>
      <c r="C2" s="3284" t="s">
        <v>109</v>
      </c>
      <c r="D2" s="3284" t="str">
        <f>结果表!D116</f>
        <v>出让国有建设用地使用权价值</v>
      </c>
      <c r="E2" s="3284"/>
      <c r="F2" s="3284" t="str">
        <f>结果表!F116</f>
        <v>在建建筑物价值</v>
      </c>
      <c r="G2" s="3284"/>
      <c r="H2" s="3284" t="str">
        <f>IF(项目基本情况!B9="房地产市场价值","房地产市场价值","房地产价值")</f>
        <v>房地产价值</v>
      </c>
      <c r="I2" s="3284"/>
    </row>
    <row r="3" spans="1:9" ht="15.6">
      <c r="A3" s="3278"/>
      <c r="B3" s="3278"/>
      <c r="C3" s="3278"/>
      <c r="D3" s="3201" t="s">
        <v>110</v>
      </c>
      <c r="E3" s="3201" t="s">
        <v>111</v>
      </c>
      <c r="F3" s="3201" t="s">
        <v>110</v>
      </c>
      <c r="G3" s="3201" t="s">
        <v>111</v>
      </c>
      <c r="H3" s="3201" t="s">
        <v>110</v>
      </c>
      <c r="I3" s="3201" t="s">
        <v>111</v>
      </c>
    </row>
    <row r="4" spans="1:9" ht="15">
      <c r="A4" s="3202" t="str">
        <f>项目基本情况!S2</f>
        <v>北京市房地产</v>
      </c>
      <c r="B4" s="3201">
        <f>项目基本情况!C17</f>
        <v>5858.09</v>
      </c>
      <c r="C4" s="3201">
        <f>项目基本情况!C18</f>
        <v>756.32</v>
      </c>
      <c r="D4" s="3201">
        <f ca="1">结果表!D118</f>
        <v>15891</v>
      </c>
      <c r="E4" s="3201">
        <f ca="1">结果表!E118</f>
        <v>27127</v>
      </c>
      <c r="F4" s="3201">
        <f ca="1">结果表!F118</f>
        <v>2695</v>
      </c>
      <c r="G4" s="3201">
        <f ca="1">结果表!G118</f>
        <v>4600</v>
      </c>
      <c r="H4" s="3201">
        <f ca="1">结果表!H118</f>
        <v>18586</v>
      </c>
      <c r="I4" s="3201">
        <f ca="1">结果表!I118</f>
        <v>31727</v>
      </c>
    </row>
    <row r="5" spans="1:9" ht="30" customHeight="1">
      <c r="A5" s="3278" t="s">
        <v>112</v>
      </c>
      <c r="B5" s="3278"/>
      <c r="C5" s="3278"/>
      <c r="D5" s="3279" t="str">
        <f ca="1">结果表!D119</f>
        <v>壹亿伍仟捌佰玖拾壹万元整</v>
      </c>
      <c r="E5" s="3279"/>
      <c r="F5" s="3279" t="str">
        <f ca="1">结果表!F119</f>
        <v>贰仟陆佰玖拾伍万元整</v>
      </c>
      <c r="G5" s="3279"/>
      <c r="H5" s="3279" t="str">
        <f ca="1">结果表!H119</f>
        <v>壹亿捌仟伍佰捌拾陆万元整</v>
      </c>
      <c r="I5" s="3279"/>
    </row>
    <row r="6" spans="1:9" ht="15.6">
      <c r="A6" s="3274" t="str">
        <f>结果表!A120</f>
        <v>估价师知悉的法定优先受偿款</v>
      </c>
      <c r="B6" s="3274"/>
      <c r="C6" s="3274"/>
      <c r="D6" s="3274">
        <f>结果表!D120</f>
        <v>0</v>
      </c>
      <c r="E6" s="3274"/>
      <c r="F6" s="3274"/>
      <c r="G6" s="3274"/>
      <c r="H6" s="3274"/>
      <c r="I6" s="3274"/>
    </row>
    <row r="7" spans="1:9" ht="15">
      <c r="A7" s="3278" t="s">
        <v>112</v>
      </c>
      <c r="B7" s="3278"/>
      <c r="C7" s="3278"/>
      <c r="D7" s="3280" t="str">
        <f>结果表!D121</f>
        <v>零元整</v>
      </c>
      <c r="E7" s="3281"/>
      <c r="F7" s="3281"/>
      <c r="G7" s="3281"/>
      <c r="H7" s="3281"/>
      <c r="I7" s="3282"/>
    </row>
    <row r="8" spans="1:9" ht="15.6">
      <c r="A8" s="3274" t="str">
        <f>结果表!A122</f>
        <v>房地产抵押价值</v>
      </c>
      <c r="B8" s="3274"/>
      <c r="C8" s="3274"/>
      <c r="D8" s="3274">
        <f ca="1">结果表!D122</f>
        <v>18586</v>
      </c>
      <c r="E8" s="3274"/>
      <c r="F8" s="3274"/>
      <c r="G8" s="3274"/>
      <c r="H8" s="3274"/>
      <c r="I8" s="3274"/>
    </row>
    <row r="9" spans="1:9" ht="15">
      <c r="A9" s="3278" t="s">
        <v>112</v>
      </c>
      <c r="B9" s="3278"/>
      <c r="C9" s="3278"/>
      <c r="D9" s="3279" t="str">
        <f ca="1">结果表!D123</f>
        <v>壹亿捌仟伍佰捌拾陆万元整</v>
      </c>
      <c r="E9" s="3279"/>
      <c r="F9" s="3279"/>
      <c r="G9" s="3279"/>
      <c r="H9" s="3279"/>
      <c r="I9" s="3279"/>
    </row>
    <row r="10" spans="1:9" ht="15.6">
      <c r="A10" s="3274" t="str">
        <f>结果表!A124</f>
        <v/>
      </c>
      <c r="B10" s="3274"/>
      <c r="C10" s="3274"/>
      <c r="D10" s="3274" t="str">
        <f>结果表!D124</f>
        <v>——</v>
      </c>
      <c r="E10" s="3274"/>
      <c r="F10" s="3274"/>
      <c r="G10" s="3274"/>
      <c r="H10" s="3274"/>
      <c r="I10" s="3274"/>
    </row>
    <row r="11" spans="1:9" ht="15">
      <c r="A11" s="3278" t="s">
        <v>112</v>
      </c>
      <c r="B11" s="3278"/>
      <c r="C11" s="3278"/>
      <c r="D11" s="3279" t="e">
        <f>结果表!D125</f>
        <v>#VALUE!</v>
      </c>
      <c r="E11" s="3279"/>
      <c r="F11" s="3279"/>
      <c r="G11" s="3279"/>
      <c r="H11" s="3279"/>
      <c r="I11" s="3279"/>
    </row>
    <row r="12" spans="1:9" ht="15.6">
      <c r="A12" s="3274" t="str">
        <f>结果表!A126</f>
        <v>抵押净值</v>
      </c>
      <c r="B12" s="3274"/>
      <c r="C12" s="3274"/>
      <c r="D12" s="3274">
        <f ca="1">结果表!D126</f>
        <v>7888</v>
      </c>
      <c r="E12" s="3274"/>
      <c r="F12" s="3274"/>
      <c r="G12" s="3274"/>
      <c r="H12" s="3274"/>
      <c r="I12" s="3274"/>
    </row>
    <row r="13" spans="1:9" ht="15">
      <c r="A13" s="3275" t="s">
        <v>112</v>
      </c>
      <c r="B13" s="3275"/>
      <c r="C13" s="3275"/>
      <c r="D13" s="3276" t="str">
        <f ca="1">结果表!D127</f>
        <v>柒仟捌佰捌拾捌万元整</v>
      </c>
      <c r="E13" s="3276"/>
      <c r="F13" s="3276"/>
      <c r="G13" s="3276"/>
      <c r="H13" s="3276"/>
      <c r="I13" s="3276"/>
    </row>
    <row r="14" spans="1:9">
      <c r="A14" s="3277" t="s">
        <v>113</v>
      </c>
      <c r="B14" s="3277"/>
      <c r="C14" s="3277"/>
      <c r="D14" s="3277"/>
      <c r="E14" s="3277"/>
      <c r="F14" s="3277"/>
      <c r="G14" s="3277"/>
      <c r="H14" s="3277"/>
      <c r="I14" s="3277"/>
    </row>
    <row r="16" spans="1:9" ht="17.399999999999999">
      <c r="A16" s="3203"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91" t="s">
        <v>114</v>
      </c>
      <c r="B1" s="3291"/>
      <c r="C1" s="3291"/>
      <c r="D1" s="3291"/>
    </row>
    <row r="2" spans="1:4" ht="17.399999999999999">
      <c r="A2" s="3292" t="s">
        <v>115</v>
      </c>
      <c r="B2" s="3292"/>
      <c r="C2" s="3292"/>
      <c r="D2" s="3292"/>
    </row>
    <row r="3" spans="1:4" ht="17.399999999999999">
      <c r="A3" s="3190" t="s">
        <v>116</v>
      </c>
      <c r="B3" s="3190" t="s">
        <v>117</v>
      </c>
      <c r="C3" s="3190" t="s">
        <v>118</v>
      </c>
      <c r="D3" s="3190" t="s">
        <v>119</v>
      </c>
    </row>
    <row r="4" spans="1:4" ht="56.25" customHeight="1">
      <c r="A4" s="3191">
        <f>项目基本情况!B4</f>
        <v>0</v>
      </c>
      <c r="B4" s="3192">
        <f>项目基本情况!C4</f>
        <v>0</v>
      </c>
      <c r="C4" s="3193"/>
      <c r="D4" s="3194" t="s">
        <v>120</v>
      </c>
    </row>
    <row r="5" spans="1:4" ht="56.25" customHeight="1">
      <c r="A5" s="3191">
        <f>项目基本情况!D4</f>
        <v>0</v>
      </c>
      <c r="B5" s="3192">
        <f>项目基本情况!E4</f>
        <v>0</v>
      </c>
      <c r="C5" s="3195"/>
      <c r="D5" s="3194" t="s">
        <v>120</v>
      </c>
    </row>
    <row r="6" spans="1:4" ht="17.399999999999999">
      <c r="A6" s="3292" t="s">
        <v>121</v>
      </c>
      <c r="B6" s="3292"/>
      <c r="C6" s="3292"/>
      <c r="D6" s="3292"/>
    </row>
    <row r="7" spans="1:4" ht="17.399999999999999">
      <c r="A7" s="3190" t="s">
        <v>116</v>
      </c>
      <c r="B7" s="3192" t="s">
        <v>122</v>
      </c>
      <c r="C7" s="3190" t="s">
        <v>118</v>
      </c>
      <c r="D7" s="3190" t="s">
        <v>119</v>
      </c>
    </row>
    <row r="8" spans="1:4" ht="56.25" customHeight="1">
      <c r="A8" s="3196" t="s">
        <v>123</v>
      </c>
      <c r="B8" s="3196" t="s">
        <v>124</v>
      </c>
      <c r="C8" s="3193"/>
      <c r="D8" s="3194" t="s">
        <v>120</v>
      </c>
    </row>
    <row r="9" spans="1:4">
      <c r="A9" s="3197"/>
      <c r="B9" s="3197"/>
      <c r="C9" s="3197"/>
      <c r="D9" s="3197"/>
    </row>
    <row r="10" spans="1:4" ht="17.399999999999999">
      <c r="A10" s="3189" t="s">
        <v>125</v>
      </c>
      <c r="B10" s="3197"/>
      <c r="C10" s="3197"/>
      <c r="D10" s="3197"/>
    </row>
    <row r="11" spans="1:4" ht="30" customHeight="1">
      <c r="A11" s="3293" t="s">
        <v>126</v>
      </c>
      <c r="B11" s="3286"/>
      <c r="C11" s="3286"/>
      <c r="D11" s="3286"/>
    </row>
    <row r="12" spans="1:4" ht="15.6">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6" t="str">
        <f>IF(项目基本情况!B8="抵押","4.本次评估估价师所知悉的法定优先受偿款情况说明如下：","——")</f>
        <v>4.本次评估估价师所知悉的法定优先受偿款情况说明如下：</v>
      </c>
      <c r="B14" s="3289"/>
      <c r="C14" s="3289"/>
      <c r="D14" s="3289"/>
    </row>
    <row r="15" spans="1:4" ht="42" customHeight="1">
      <c r="A15" s="3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90" t="s">
        <v>127</v>
      </c>
      <c r="B16" s="3290"/>
      <c r="C16" s="3290"/>
      <c r="D16" s="3290"/>
    </row>
    <row r="17" spans="1:4" ht="144" customHeight="1">
      <c r="A17" s="3290" t="s">
        <v>128</v>
      </c>
      <c r="B17" s="3290"/>
      <c r="C17" s="3290"/>
      <c r="D17" s="3290"/>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129</v>
      </c>
      <c r="B22" s="3288"/>
      <c r="C22" s="3288"/>
      <c r="D22" s="3288"/>
    </row>
    <row r="23" spans="1:4">
      <c r="A23" s="3198"/>
      <c r="B23" s="1578"/>
      <c r="C23" s="1578"/>
      <c r="D23" s="1578"/>
    </row>
    <row r="24" spans="1:4">
      <c r="A24" s="3198"/>
      <c r="B24" s="1578"/>
      <c r="C24" s="1578"/>
      <c r="D24" s="1578"/>
    </row>
    <row r="25" spans="1:4" ht="17.399999999999999">
      <c r="A25" s="3199" t="s">
        <v>130</v>
      </c>
    </row>
    <row r="26" spans="1:4" ht="17.399999999999999">
      <c r="A26" s="3200"/>
    </row>
    <row r="27" spans="1:4" ht="17.399999999999999">
      <c r="A27" s="3200" t="s">
        <v>131</v>
      </c>
    </row>
    <row r="30" spans="1:4" ht="17.399999999999999">
      <c r="D30" s="3199" t="s">
        <v>132</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85" customWidth="1"/>
    <col min="3" max="10" width="12.44140625" style="3185" customWidth="1"/>
    <col min="11" max="16384" width="9" style="3185"/>
  </cols>
  <sheetData>
    <row r="1" spans="1:10" ht="17.399999999999999">
      <c r="A1" s="3186" t="s">
        <v>133</v>
      </c>
      <c r="B1" s="3187"/>
      <c r="C1" s="3187"/>
      <c r="D1" s="3187"/>
      <c r="E1" s="3187"/>
      <c r="F1" s="3187"/>
      <c r="G1" s="3187"/>
      <c r="H1" s="3187"/>
      <c r="I1" s="3187"/>
      <c r="J1" s="3187"/>
    </row>
    <row r="2" spans="1:10" ht="17.399999999999999">
      <c r="A2" s="3188"/>
      <c r="B2" s="3187"/>
      <c r="C2" s="3187"/>
      <c r="D2" s="3187"/>
      <c r="E2" s="3187"/>
      <c r="F2" s="3187"/>
      <c r="G2" s="3187"/>
      <c r="H2" s="3187"/>
      <c r="I2" s="3187"/>
      <c r="J2" s="3187"/>
    </row>
    <row r="3" spans="1:10">
      <c r="A3" s="3187"/>
      <c r="B3" s="3187"/>
      <c r="C3" s="3187"/>
      <c r="D3" s="3187"/>
      <c r="E3" s="3187"/>
      <c r="F3" s="3187"/>
      <c r="G3" s="3187"/>
      <c r="H3" s="3187"/>
      <c r="I3" s="3187"/>
      <c r="J3" s="3187"/>
    </row>
    <row r="4" spans="1:10">
      <c r="A4" s="3187"/>
      <c r="B4" s="3187"/>
      <c r="C4" s="3187"/>
      <c r="D4" s="3187"/>
      <c r="E4" s="3187"/>
      <c r="F4" s="3187"/>
      <c r="G4" s="3187"/>
      <c r="H4" s="3187"/>
      <c r="I4" s="3187"/>
      <c r="J4" s="3187"/>
    </row>
    <row r="5" spans="1:10">
      <c r="A5" s="3187"/>
      <c r="B5" s="3187"/>
      <c r="C5" s="3187"/>
      <c r="D5" s="3187"/>
      <c r="E5" s="3187"/>
      <c r="F5" s="3187"/>
      <c r="G5" s="3187"/>
      <c r="H5" s="3187"/>
      <c r="I5" s="3187"/>
      <c r="J5" s="3187"/>
    </row>
    <row r="6" spans="1:10">
      <c r="A6" s="3187"/>
      <c r="B6" s="3187"/>
      <c r="C6" s="3187"/>
      <c r="D6" s="3187"/>
      <c r="E6" s="3187"/>
      <c r="F6" s="3187"/>
      <c r="G6" s="3187"/>
      <c r="H6" s="3187"/>
      <c r="I6" s="3187"/>
      <c r="J6" s="3187"/>
    </row>
    <row r="7" spans="1:10">
      <c r="A7" s="3187"/>
      <c r="B7" s="3187"/>
      <c r="C7" s="3187"/>
      <c r="D7" s="3187"/>
      <c r="E7" s="3187"/>
      <c r="F7" s="3187"/>
      <c r="G7" s="3187"/>
      <c r="H7" s="3187"/>
      <c r="I7" s="3187"/>
      <c r="J7" s="3187"/>
    </row>
    <row r="8" spans="1:10">
      <c r="A8" s="3187"/>
      <c r="B8" s="3187"/>
      <c r="C8" s="3187"/>
      <c r="D8" s="3187"/>
      <c r="E8" s="3187"/>
      <c r="F8" s="3187"/>
      <c r="G8" s="3187"/>
      <c r="H8" s="3187"/>
      <c r="I8" s="3187"/>
      <c r="J8" s="3187"/>
    </row>
    <row r="9" spans="1:10">
      <c r="A9" s="3187"/>
      <c r="B9" s="3187"/>
      <c r="C9" s="3187"/>
      <c r="D9" s="3187"/>
      <c r="E9" s="3187"/>
      <c r="F9" s="3187"/>
      <c r="G9" s="3187"/>
      <c r="H9" s="3187"/>
      <c r="I9" s="3187"/>
      <c r="J9" s="3187"/>
    </row>
    <row r="10" spans="1:10">
      <c r="A10" s="3187"/>
      <c r="B10" s="3187"/>
      <c r="C10" s="3187"/>
      <c r="D10" s="3187"/>
      <c r="E10" s="3187"/>
      <c r="F10" s="3187"/>
      <c r="G10" s="3187"/>
      <c r="H10" s="3187"/>
      <c r="I10" s="3187"/>
      <c r="J10" s="3187"/>
    </row>
    <row r="11" spans="1:10">
      <c r="A11" s="3187"/>
      <c r="B11" s="3187"/>
      <c r="C11" s="3187"/>
      <c r="D11" s="3187"/>
      <c r="E11" s="3187"/>
      <c r="F11" s="3187"/>
      <c r="G11" s="3187"/>
      <c r="H11" s="3187"/>
      <c r="I11" s="3187"/>
      <c r="J11" s="3187"/>
    </row>
    <row r="12" spans="1:10">
      <c r="A12" s="3187"/>
      <c r="B12" s="3187"/>
      <c r="C12" s="3187"/>
      <c r="D12" s="3187"/>
      <c r="E12" s="3187"/>
      <c r="F12" s="3187"/>
      <c r="G12" s="3187"/>
      <c r="H12" s="3187"/>
      <c r="I12" s="3187"/>
      <c r="J12" s="3187"/>
    </row>
    <row r="13" spans="1:10">
      <c r="A13" s="3187"/>
      <c r="B13" s="3187"/>
      <c r="C13" s="3187"/>
      <c r="D13" s="3187"/>
      <c r="E13" s="3187"/>
      <c r="F13" s="3187"/>
      <c r="G13" s="3187"/>
      <c r="H13" s="3187"/>
      <c r="I13" s="3187"/>
      <c r="J13" s="3187"/>
    </row>
    <row r="14" spans="1:10">
      <c r="A14" s="3187"/>
      <c r="B14" s="3187"/>
      <c r="C14" s="3187"/>
      <c r="D14" s="3187"/>
      <c r="E14" s="3187"/>
      <c r="F14" s="3187"/>
      <c r="G14" s="3187"/>
      <c r="H14" s="3187"/>
      <c r="I14" s="3187"/>
      <c r="J14" s="3187"/>
    </row>
    <row r="15" spans="1:10">
      <c r="A15" s="3187"/>
      <c r="B15" s="3187"/>
      <c r="C15" s="3187"/>
      <c r="D15" s="3187"/>
      <c r="E15" s="3187"/>
      <c r="F15" s="3187"/>
      <c r="G15" s="3187"/>
      <c r="H15" s="3187"/>
      <c r="I15" s="3187"/>
      <c r="J15" s="3187"/>
    </row>
    <row r="16" spans="1:10">
      <c r="A16" s="3187"/>
      <c r="B16" s="3187"/>
      <c r="C16" s="3187"/>
      <c r="D16" s="3187"/>
      <c r="E16" s="3187"/>
      <c r="F16" s="3187"/>
      <c r="G16" s="3187"/>
      <c r="H16" s="3187"/>
      <c r="I16" s="3187"/>
      <c r="J16" s="3187"/>
    </row>
    <row r="17" spans="1:10">
      <c r="A17" s="3187"/>
      <c r="B17" s="3187"/>
      <c r="C17" s="3187"/>
      <c r="D17" s="3187"/>
      <c r="E17" s="3187"/>
      <c r="F17" s="3187"/>
      <c r="G17" s="3187"/>
      <c r="H17" s="3187"/>
      <c r="I17" s="3187"/>
      <c r="J17" s="3187"/>
    </row>
    <row r="18" spans="1:10">
      <c r="A18" s="3187"/>
      <c r="B18" s="3187"/>
      <c r="C18" s="3187"/>
      <c r="D18" s="3187"/>
      <c r="E18" s="3187"/>
      <c r="F18" s="3187"/>
      <c r="G18" s="3187"/>
      <c r="H18" s="3187"/>
      <c r="I18" s="3187"/>
      <c r="J18" s="3187"/>
    </row>
    <row r="19" spans="1:10">
      <c r="A19" s="3187"/>
      <c r="B19" s="3187"/>
      <c r="C19" s="3187"/>
      <c r="D19" s="3187"/>
      <c r="E19" s="3187"/>
      <c r="F19" s="3187"/>
      <c r="G19" s="3187"/>
      <c r="H19" s="3187"/>
      <c r="I19" s="3187"/>
      <c r="J19" s="3187"/>
    </row>
    <row r="20" spans="1:10">
      <c r="A20" s="3187"/>
      <c r="B20" s="3187"/>
      <c r="C20" s="3187"/>
      <c r="D20" s="3187"/>
      <c r="E20" s="3187"/>
      <c r="F20" s="3187"/>
      <c r="G20" s="3187"/>
      <c r="H20" s="3187"/>
      <c r="I20" s="3187"/>
      <c r="J20" s="3187"/>
    </row>
    <row r="21" spans="1:10">
      <c r="A21" s="3187"/>
      <c r="B21" s="3187"/>
      <c r="C21" s="3187"/>
      <c r="D21" s="3187"/>
      <c r="E21" s="3187"/>
      <c r="F21" s="3187"/>
      <c r="G21" s="3187"/>
      <c r="H21" s="3187"/>
      <c r="I21" s="3187"/>
      <c r="J21" s="3187"/>
    </row>
    <row r="22" spans="1:10">
      <c r="A22" s="3187"/>
      <c r="B22" s="3187"/>
      <c r="C22" s="3187"/>
      <c r="D22" s="3187"/>
      <c r="E22" s="3187"/>
      <c r="F22" s="3187"/>
      <c r="G22" s="3187"/>
      <c r="H22" s="3187"/>
      <c r="I22" s="3187"/>
      <c r="J22" s="3187"/>
    </row>
    <row r="23" spans="1:10">
      <c r="A23" s="3187"/>
      <c r="B23" s="3187"/>
      <c r="C23" s="3187"/>
      <c r="D23" s="3187"/>
      <c r="E23" s="3187"/>
      <c r="F23" s="3187"/>
      <c r="G23" s="3187"/>
      <c r="H23" s="3187"/>
      <c r="I23" s="3187"/>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row r="27" spans="1:10">
      <c r="A27" s="3187"/>
      <c r="B27" s="3187"/>
      <c r="C27" s="3187"/>
      <c r="D27" s="3187"/>
      <c r="E27" s="3187"/>
      <c r="F27" s="3187"/>
      <c r="G27" s="3187"/>
      <c r="H27" s="3187"/>
      <c r="I27" s="3187"/>
      <c r="J27" s="3187"/>
    </row>
    <row r="28" spans="1:10">
      <c r="A28" s="3187"/>
      <c r="B28" s="3187"/>
      <c r="C28" s="3187"/>
      <c r="D28" s="3187"/>
      <c r="E28" s="3187"/>
      <c r="F28" s="3187"/>
      <c r="G28" s="3187"/>
      <c r="H28" s="3187"/>
      <c r="I28" s="3187"/>
      <c r="J28" s="3187"/>
    </row>
    <row r="29" spans="1:10">
      <c r="A29" s="3187"/>
      <c r="B29" s="3187"/>
      <c r="C29" s="3187"/>
      <c r="D29" s="3187"/>
      <c r="E29" s="3187"/>
      <c r="F29" s="3187"/>
      <c r="G29" s="3187"/>
      <c r="H29" s="3187"/>
      <c r="I29" s="3187"/>
      <c r="J29" s="3187"/>
    </row>
    <row r="30" spans="1:10">
      <c r="A30" s="3187"/>
      <c r="B30" s="3187"/>
      <c r="C30" s="3187"/>
      <c r="D30" s="3187"/>
      <c r="E30" s="3187"/>
      <c r="F30" s="3187"/>
      <c r="G30" s="3187"/>
      <c r="H30" s="3187"/>
      <c r="I30" s="3187"/>
      <c r="J30" s="3187"/>
    </row>
    <row r="31" spans="1:10">
      <c r="A31" s="3187"/>
      <c r="B31" s="3187"/>
      <c r="C31" s="3187"/>
      <c r="D31" s="3187"/>
      <c r="E31" s="3187"/>
      <c r="F31" s="3187"/>
      <c r="G31" s="3187"/>
      <c r="H31" s="3187"/>
      <c r="I31" s="3187"/>
      <c r="J31" s="3187"/>
    </row>
  </sheetData>
  <sheetProtection password="C66D"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68" customWidth="1"/>
    <col min="2" max="16384" width="14.44140625" style="3119"/>
  </cols>
  <sheetData>
    <row r="1" spans="1:7" s="3167" customFormat="1" ht="17.399999999999999">
      <c r="A1" s="3169" t="s">
        <v>134</v>
      </c>
    </row>
    <row r="3" spans="1:7">
      <c r="A3" s="3170" t="s">
        <v>135</v>
      </c>
      <c r="B3" s="3119" t="s">
        <v>136</v>
      </c>
      <c r="G3" s="3171"/>
    </row>
    <row r="4" spans="1:7">
      <c r="G4" s="3171"/>
    </row>
    <row r="5" spans="1:7">
      <c r="A5" s="3172" t="s">
        <v>137</v>
      </c>
      <c r="B5" s="3119" t="s">
        <v>138</v>
      </c>
      <c r="G5" s="3171"/>
    </row>
    <row r="6" spans="1:7">
      <c r="G6" s="3171"/>
    </row>
    <row r="7" spans="1:7">
      <c r="A7" s="3173" t="s">
        <v>139</v>
      </c>
      <c r="B7" s="3119" t="s">
        <v>140</v>
      </c>
      <c r="G7" s="3171"/>
    </row>
    <row r="8" spans="1:7">
      <c r="G8" s="3171"/>
    </row>
    <row r="9" spans="1:7">
      <c r="A9" s="3174" t="s">
        <v>141</v>
      </c>
      <c r="B9" s="3119" t="s">
        <v>142</v>
      </c>
    </row>
    <row r="11" spans="1:7">
      <c r="A11" s="3175" t="s">
        <v>143</v>
      </c>
      <c r="B11" s="3176" t="s">
        <v>144</v>
      </c>
    </row>
    <row r="13" spans="1:7">
      <c r="A13" s="3177" t="s">
        <v>145</v>
      </c>
    </row>
    <row r="15" spans="1:7" ht="14.4">
      <c r="A15" s="3296" t="s">
        <v>146</v>
      </c>
      <c r="B15" s="3301" t="s">
        <v>147</v>
      </c>
      <c r="C15" s="3295"/>
    </row>
    <row r="16" spans="1:7" ht="14.4">
      <c r="A16" s="3297"/>
      <c r="B16" s="3301" t="s">
        <v>148</v>
      </c>
      <c r="C16" s="3295"/>
    </row>
    <row r="17" spans="1:3" ht="14.4">
      <c r="A17" s="3297"/>
      <c r="B17" s="3300" t="s">
        <v>149</v>
      </c>
      <c r="C17" s="3178" t="s">
        <v>146</v>
      </c>
    </row>
    <row r="18" spans="1:3" ht="14.4">
      <c r="A18" s="3297"/>
      <c r="B18" s="3300"/>
      <c r="C18" s="3178" t="s">
        <v>150</v>
      </c>
    </row>
    <row r="19" spans="1:3" ht="14.4">
      <c r="A19" s="3297"/>
      <c r="B19" s="3300"/>
      <c r="C19" s="3178" t="s">
        <v>151</v>
      </c>
    </row>
    <row r="20" spans="1:3" ht="14.4">
      <c r="A20" s="3298"/>
      <c r="B20" s="3294" t="s">
        <v>152</v>
      </c>
      <c r="C20" s="3295"/>
    </row>
    <row r="21" spans="1:3" ht="14.4">
      <c r="A21" s="3179" t="s">
        <v>153</v>
      </c>
      <c r="B21" s="3180"/>
      <c r="C21" s="3181"/>
    </row>
    <row r="22" spans="1:3" ht="14.4">
      <c r="A22" s="3299" t="s">
        <v>154</v>
      </c>
      <c r="B22" s="3294" t="s">
        <v>155</v>
      </c>
      <c r="C22" s="3295"/>
    </row>
    <row r="23" spans="1:3" ht="14.4">
      <c r="A23" s="3299"/>
      <c r="B23" s="3294" t="s">
        <v>156</v>
      </c>
      <c r="C23" s="3295"/>
    </row>
    <row r="24" spans="1:3" ht="14.4">
      <c r="A24" s="3299"/>
      <c r="B24" s="3294" t="s">
        <v>157</v>
      </c>
      <c r="C24" s="3295"/>
    </row>
    <row r="25" spans="1:3" ht="14.4">
      <c r="A25" s="3299"/>
      <c r="B25" s="3300" t="s">
        <v>158</v>
      </c>
      <c r="C25" s="3178" t="s">
        <v>159</v>
      </c>
    </row>
    <row r="26" spans="1:3" ht="14.4">
      <c r="A26" s="3299"/>
      <c r="B26" s="3300"/>
      <c r="C26" s="3178" t="s">
        <v>160</v>
      </c>
    </row>
    <row r="27" spans="1:3" ht="14.4">
      <c r="A27" s="3299"/>
      <c r="B27" s="3300"/>
      <c r="C27" s="3178" t="s">
        <v>161</v>
      </c>
    </row>
    <row r="28" spans="1:3" ht="14.4">
      <c r="A28" s="3299"/>
      <c r="B28" s="3300"/>
      <c r="C28" s="3178" t="s">
        <v>162</v>
      </c>
    </row>
    <row r="29" spans="1:3" ht="14.4">
      <c r="A29" s="3299"/>
      <c r="B29" s="3300"/>
      <c r="C29" s="3178" t="s">
        <v>163</v>
      </c>
    </row>
    <row r="30" spans="1:3" ht="14.4">
      <c r="A30" s="3299"/>
      <c r="B30" s="3300"/>
      <c r="C30" s="3178" t="s">
        <v>164</v>
      </c>
    </row>
    <row r="31" spans="1:3" ht="14.4">
      <c r="A31" s="3299"/>
      <c r="B31" s="3300"/>
      <c r="C31" s="3178" t="s">
        <v>165</v>
      </c>
    </row>
    <row r="32" spans="1:3" ht="14.4">
      <c r="A32" s="3299"/>
      <c r="B32" s="3300"/>
      <c r="C32" s="3178" t="s">
        <v>166</v>
      </c>
    </row>
    <row r="33" spans="1:3" ht="14.4">
      <c r="A33" s="3299"/>
      <c r="B33" s="3300"/>
      <c r="C33" s="3178" t="s">
        <v>167</v>
      </c>
    </row>
    <row r="34" spans="1:3">
      <c r="A34" s="3182" t="s">
        <v>168</v>
      </c>
    </row>
    <row r="37" spans="1:3">
      <c r="A37" s="3182" t="s">
        <v>169</v>
      </c>
    </row>
    <row r="38" spans="1:3" ht="14.4">
      <c r="A38" s="3183" t="s">
        <v>170</v>
      </c>
    </row>
    <row r="39" spans="1:3" ht="14.4">
      <c r="A39" s="3183" t="s">
        <v>171</v>
      </c>
    </row>
    <row r="40" spans="1:3" ht="14.4">
      <c r="A40" s="3183" t="s">
        <v>172</v>
      </c>
    </row>
    <row r="41" spans="1:3" ht="14.4">
      <c r="A41" s="3184" t="s">
        <v>173</v>
      </c>
    </row>
    <row r="42" spans="1:3" ht="14.4">
      <c r="A42" s="31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38" customWidth="1"/>
    <col min="2" max="2" width="38.6640625" style="3138" customWidth="1"/>
    <col min="3" max="3" width="26" style="3138" customWidth="1"/>
    <col min="4" max="4" width="35" style="3138" hidden="1" customWidth="1"/>
    <col min="5" max="5" width="30.109375" style="3138" customWidth="1"/>
    <col min="6" max="6" width="35.44140625" style="3138" customWidth="1"/>
    <col min="7" max="7" width="31" style="3138" customWidth="1"/>
    <col min="8" max="8" width="37.44140625" style="3138" hidden="1" customWidth="1"/>
    <col min="9" max="16384" width="22.6640625" style="3138"/>
  </cols>
  <sheetData>
    <row r="1" spans="1:8" ht="24" customHeight="1">
      <c r="A1" s="3139"/>
      <c r="B1" s="3139"/>
      <c r="C1" s="3139"/>
      <c r="D1" s="3139"/>
      <c r="E1" s="3139"/>
      <c r="F1" s="3139"/>
      <c r="G1" s="3139"/>
      <c r="H1" s="3139"/>
    </row>
    <row r="2" spans="1:8" ht="24" customHeight="1">
      <c r="A2" s="3140" t="s">
        <v>175</v>
      </c>
      <c r="B2" s="3141">
        <f ca="1">TODAY()</f>
        <v>44774</v>
      </c>
      <c r="C2" s="3142" t="s">
        <v>176</v>
      </c>
      <c r="D2" s="3142"/>
      <c r="E2" s="3142"/>
      <c r="F2" s="3139"/>
      <c r="G2" s="3139"/>
      <c r="H2" s="3139"/>
    </row>
    <row r="3" spans="1:8" ht="24" customHeight="1">
      <c r="A3" s="3143" t="s">
        <v>177</v>
      </c>
      <c r="B3" s="3144" t="s">
        <v>178</v>
      </c>
      <c r="C3" s="3144" t="s">
        <v>179</v>
      </c>
      <c r="D3" s="3145" t="s">
        <v>180</v>
      </c>
      <c r="E3" s="3146" t="s">
        <v>181</v>
      </c>
      <c r="F3" s="3147" t="s">
        <v>182</v>
      </c>
      <c r="G3" s="3144" t="s">
        <v>179</v>
      </c>
      <c r="H3" s="3145" t="s">
        <v>183</v>
      </c>
    </row>
    <row r="4" spans="1:8" ht="24" customHeight="1">
      <c r="A4" s="3147" t="s">
        <v>184</v>
      </c>
      <c r="B4" s="3147">
        <f ca="1">IF(C4&lt;B2,"已过期",1119970066)</f>
        <v>1119970066</v>
      </c>
      <c r="C4" s="3148">
        <v>44876</v>
      </c>
      <c r="D4" s="3149" t="str">
        <f ca="1">A4&amp;"（注册号："&amp;B4&amp;"）"</f>
        <v>梁津（注册号：1119970066）</v>
      </c>
      <c r="E4" s="3150" t="s">
        <v>184</v>
      </c>
      <c r="F4" s="3147">
        <f ca="1">IF(G4&lt;B2,"已过期",96010014)</f>
        <v>96010014</v>
      </c>
      <c r="G4" s="3151">
        <v>47118</v>
      </c>
      <c r="H4" s="3152" t="str">
        <f ca="1">E4&amp;"（注册号："&amp;F4&amp;"）"</f>
        <v>梁津（注册号：96010014）</v>
      </c>
    </row>
    <row r="5" spans="1:8" ht="24" customHeight="1">
      <c r="A5" s="3147" t="s">
        <v>185</v>
      </c>
      <c r="B5" s="3147">
        <f ca="1">IF(C5&lt;B2,"已过期",1119970111)</f>
        <v>1119970111</v>
      </c>
      <c r="C5" s="3148">
        <v>44876</v>
      </c>
      <c r="D5" s="3149" t="str">
        <f t="shared" ref="D5:D16" ca="1" si="0">A5&amp;"（注册号："&amp;B5&amp;"）"</f>
        <v>叶凌（注册号：1119970111）</v>
      </c>
      <c r="E5" s="3150" t="s">
        <v>185</v>
      </c>
      <c r="F5" s="3147">
        <f ca="1">IF(G5&lt;B2,"已过期",94010078)</f>
        <v>94010078</v>
      </c>
      <c r="G5" s="3151">
        <v>46387</v>
      </c>
      <c r="H5" s="3152" t="str">
        <f t="shared" ref="H5:H16" ca="1" si="1">E5&amp;"（注册号："&amp;F5&amp;"）"</f>
        <v>叶凌（注册号：94010078）</v>
      </c>
    </row>
    <row r="6" spans="1:8" ht="24" customHeight="1">
      <c r="A6" s="3147" t="s">
        <v>186</v>
      </c>
      <c r="B6" s="3147">
        <f ca="1">IF(C6&lt;B2,"已过期",1120050019)</f>
        <v>1120050019</v>
      </c>
      <c r="C6" s="3148">
        <v>45410</v>
      </c>
      <c r="D6" s="3149" t="str">
        <f t="shared" ca="1" si="0"/>
        <v>王鹏（注册号：1120050019）</v>
      </c>
      <c r="E6" s="3150" t="s">
        <v>186</v>
      </c>
      <c r="F6" s="3147">
        <f ca="1">IF(G6&lt;B2,"已过期",2002110030)</f>
        <v>2002110030</v>
      </c>
      <c r="G6" s="3151">
        <v>46387</v>
      </c>
      <c r="H6" s="3152" t="str">
        <f t="shared" ca="1" si="1"/>
        <v>王鹏（注册号：2002110030）</v>
      </c>
    </row>
    <row r="7" spans="1:8" ht="24" customHeight="1">
      <c r="A7" s="3147" t="s">
        <v>187</v>
      </c>
      <c r="B7" s="3147">
        <f ca="1">IF(C7&lt;B2,"已过期",1120000080)</f>
        <v>1120000080</v>
      </c>
      <c r="C7" s="3148">
        <v>44876</v>
      </c>
      <c r="D7" s="3149" t="str">
        <f t="shared" ca="1" si="0"/>
        <v>欧红伟（注册号：1120000080）</v>
      </c>
      <c r="E7" s="3150" t="s">
        <v>187</v>
      </c>
      <c r="F7" s="3147">
        <f ca="1">IF(G7&lt;B2,"已过期",2000110082)</f>
        <v>2000110082</v>
      </c>
      <c r="G7" s="3151">
        <v>46387</v>
      </c>
      <c r="H7" s="3152" t="str">
        <f t="shared" ca="1" si="1"/>
        <v>欧红伟（注册号：2000110082）</v>
      </c>
    </row>
    <row r="8" spans="1:8" ht="24" customHeight="1">
      <c r="A8" s="3147" t="s">
        <v>188</v>
      </c>
      <c r="B8" s="3147">
        <f ca="1">IF(C8&lt;B2,"已过期",1419970001)</f>
        <v>1419970001</v>
      </c>
      <c r="C8" s="3148">
        <v>44899</v>
      </c>
      <c r="D8" s="3149" t="str">
        <f t="shared" ca="1" si="0"/>
        <v>吴薇（注册号：1419970001）</v>
      </c>
      <c r="E8" s="3150" t="s">
        <v>188</v>
      </c>
      <c r="F8" s="3147">
        <f ca="1">IF(G8&lt;B2,"已过期",2002110125)</f>
        <v>2002110125</v>
      </c>
      <c r="G8" s="3151">
        <v>47118</v>
      </c>
      <c r="H8" s="3152" t="str">
        <f t="shared" ca="1" si="1"/>
        <v>吴薇（注册号：2002110125）</v>
      </c>
    </row>
    <row r="9" spans="1:8" ht="24" customHeight="1">
      <c r="A9" s="3147" t="s">
        <v>189</v>
      </c>
      <c r="B9" s="3147">
        <f ca="1">IF(C9&lt;B2,"已过期",1120060040)</f>
        <v>1120060040</v>
      </c>
      <c r="C9" s="3153">
        <v>45592</v>
      </c>
      <c r="D9" s="3149" t="str">
        <f t="shared" ca="1" si="0"/>
        <v>陈颖（注册号：1120060040）</v>
      </c>
      <c r="E9" s="3150" t="s">
        <v>189</v>
      </c>
      <c r="F9" s="3147">
        <f ca="1">IF(G9&lt;B2,"已过期",2004110096)</f>
        <v>2004110096</v>
      </c>
      <c r="G9" s="3151">
        <v>47118</v>
      </c>
      <c r="H9" s="3152" t="str">
        <f t="shared" ca="1" si="1"/>
        <v>陈颖（注册号：2004110096）</v>
      </c>
    </row>
    <row r="10" spans="1:8" ht="24" customHeight="1">
      <c r="A10" s="3147" t="s">
        <v>190</v>
      </c>
      <c r="B10" s="3147" t="str">
        <f ca="1">IF(C10&lt;B2,"已过期",1120100036)</f>
        <v>已过期</v>
      </c>
      <c r="C10" s="3153">
        <v>44675</v>
      </c>
      <c r="D10" s="3149" t="str">
        <f t="shared" ca="1" si="0"/>
        <v>崔锴（注册号：已过期）</v>
      </c>
      <c r="E10" s="3150" t="s">
        <v>190</v>
      </c>
      <c r="F10" s="3147">
        <f ca="1">IF(G10&lt;B2,"已过期",2010110070)</f>
        <v>2010110070</v>
      </c>
      <c r="G10" s="3151">
        <v>47907</v>
      </c>
      <c r="H10" s="3152" t="str">
        <f t="shared" ca="1" si="1"/>
        <v>崔锴（注册号：2010110070）</v>
      </c>
    </row>
    <row r="11" spans="1:8" ht="24" customHeight="1">
      <c r="A11" s="3147" t="s">
        <v>191</v>
      </c>
      <c r="B11" s="3147">
        <f ca="1">IF(C11&lt;B2,"已过期",1120070131)</f>
        <v>1120070131</v>
      </c>
      <c r="C11" s="3148">
        <v>44849</v>
      </c>
      <c r="D11" s="3149" t="str">
        <f t="shared" ca="1" si="0"/>
        <v>郑燚（注册号：1120070131）</v>
      </c>
      <c r="E11" s="3150" t="s">
        <v>191</v>
      </c>
      <c r="F11" s="3147">
        <f ca="1">IF(G11&lt;B2,"已过期",2014110011)</f>
        <v>2014110011</v>
      </c>
      <c r="G11" s="3151">
        <v>49302</v>
      </c>
      <c r="H11" s="3152" t="str">
        <f t="shared" ca="1" si="1"/>
        <v>郑燚（注册号：2014110011）</v>
      </c>
    </row>
    <row r="12" spans="1:8" ht="24" customHeight="1">
      <c r="A12" s="3147" t="s">
        <v>192</v>
      </c>
      <c r="B12" s="3147">
        <f ca="1">IF(C12&lt;B2,"已过期",1120040230)</f>
        <v>1120040230</v>
      </c>
      <c r="C12" s="3153">
        <v>44864</v>
      </c>
      <c r="D12" s="3149" t="str">
        <f t="shared" ca="1" si="0"/>
        <v>苏海（注册号：1120040230）</v>
      </c>
      <c r="E12" s="3150" t="s">
        <v>192</v>
      </c>
      <c r="F12" s="3147">
        <f ca="1">IF(G12&lt;B2,"已过期",98030020)</f>
        <v>98030020</v>
      </c>
      <c r="G12" s="3151">
        <v>47118</v>
      </c>
      <c r="H12" s="3152" t="str">
        <f t="shared" ca="1" si="1"/>
        <v>苏海（注册号：98030020）</v>
      </c>
    </row>
    <row r="13" spans="1:8" ht="24" customHeight="1">
      <c r="A13" s="3147" t="s">
        <v>193</v>
      </c>
      <c r="B13" s="3147" t="str">
        <f ca="1">IF(C13&lt;B2,"已过期",1120020033)</f>
        <v>已过期</v>
      </c>
      <c r="C13" s="3148">
        <v>44339</v>
      </c>
      <c r="D13" s="3149" t="str">
        <f t="shared" ca="1" si="0"/>
        <v>刘敬东（注册号：已过期）</v>
      </c>
      <c r="E13" s="3150" t="s">
        <v>193</v>
      </c>
      <c r="F13" s="3147">
        <f ca="1">IF(G13&lt;B2,"已过期",2000110137)</f>
        <v>2000110137</v>
      </c>
      <c r="G13" s="3151">
        <v>46387</v>
      </c>
      <c r="H13" s="3152" t="str">
        <f t="shared" ca="1" si="1"/>
        <v>刘敬东（注册号：2000110137）</v>
      </c>
    </row>
    <row r="14" spans="1:8" ht="24" customHeight="1">
      <c r="A14" s="3147" t="s">
        <v>194</v>
      </c>
      <c r="B14" s="3147">
        <f ca="1">IF(C14&lt;B2,"已过期",1119980106)</f>
        <v>1119980106</v>
      </c>
      <c r="C14" s="3153">
        <v>44969</v>
      </c>
      <c r="D14" s="3149" t="str">
        <f t="shared" ca="1" si="0"/>
        <v>刘俊财（注册号：1119980106）</v>
      </c>
      <c r="E14" s="3150" t="s">
        <v>194</v>
      </c>
      <c r="F14" s="3147">
        <f ca="1">IF(G14&lt;B2,"已过期",96010063)</f>
        <v>96010063</v>
      </c>
      <c r="G14" s="3151">
        <v>47483</v>
      </c>
      <c r="H14" s="3152" t="str">
        <f t="shared" ca="1" si="1"/>
        <v>刘俊财（注册号：96010063）</v>
      </c>
    </row>
    <row r="15" spans="1:8" ht="24" customHeight="1">
      <c r="A15" s="3147" t="s">
        <v>195</v>
      </c>
      <c r="B15" s="3147">
        <v>1120210056</v>
      </c>
      <c r="C15" s="3153">
        <v>45410</v>
      </c>
      <c r="D15" s="3149" t="str">
        <f t="shared" si="0"/>
        <v>宁小鳗（注册号：1120210056）</v>
      </c>
      <c r="E15" s="3150" t="s">
        <v>196</v>
      </c>
      <c r="F15" s="3147">
        <f ca="1">IF(G15&lt;B2,"已过期",2011110090)</f>
        <v>2011110090</v>
      </c>
      <c r="G15" s="3151">
        <v>48302</v>
      </c>
      <c r="H15" s="3152" t="str">
        <f t="shared" ca="1" si="1"/>
        <v>赵雯（注册号：2011110090）</v>
      </c>
    </row>
    <row r="16" spans="1:8" s="3136" customFormat="1" ht="24" customHeight="1">
      <c r="A16" s="3147"/>
      <c r="B16" s="3147"/>
      <c r="C16" s="3147"/>
      <c r="D16" s="3149" t="str">
        <f t="shared" si="0"/>
        <v>（注册号：）</v>
      </c>
      <c r="E16" s="3150"/>
      <c r="F16" s="3147"/>
      <c r="G16" s="3147"/>
      <c r="H16" s="3154" t="str">
        <f t="shared" si="1"/>
        <v>（注册号：）</v>
      </c>
    </row>
    <row r="17" spans="1:8" ht="24" customHeight="1">
      <c r="A17" s="3302" t="s">
        <v>197</v>
      </c>
      <c r="B17" s="3302"/>
      <c r="C17" s="3302"/>
      <c r="D17" s="3302"/>
      <c r="E17" s="3302"/>
      <c r="F17" s="3302"/>
      <c r="G17" s="3302"/>
      <c r="H17" s="3302"/>
    </row>
    <row r="18" spans="1:8" ht="24" customHeight="1">
      <c r="A18" s="3303" t="s">
        <v>198</v>
      </c>
      <c r="B18" s="3303"/>
      <c r="C18" s="3303"/>
      <c r="D18" s="3145"/>
      <c r="E18" s="3304" t="s">
        <v>199</v>
      </c>
      <c r="F18" s="3303"/>
      <c r="G18" s="3303"/>
    </row>
    <row r="19" spans="1:8" s="3137" customFormat="1" ht="24" customHeight="1">
      <c r="A19" s="3155" t="s">
        <v>200</v>
      </c>
      <c r="B19" s="3144" t="s">
        <v>201</v>
      </c>
      <c r="C19" s="3144" t="s">
        <v>179</v>
      </c>
      <c r="D19" s="3145"/>
      <c r="E19" s="3150" t="s">
        <v>200</v>
      </c>
      <c r="F19" s="3144" t="s">
        <v>201</v>
      </c>
      <c r="G19" s="3144" t="s">
        <v>179</v>
      </c>
    </row>
    <row r="20" spans="1:8" s="3137" customFormat="1" ht="24" customHeight="1">
      <c r="A20" s="3156" t="s">
        <v>202</v>
      </c>
      <c r="B20" s="3156" t="s">
        <v>203</v>
      </c>
      <c r="C20" s="3151">
        <v>44820</v>
      </c>
      <c r="D20" s="3157"/>
      <c r="E20" s="3158" t="s">
        <v>204</v>
      </c>
      <c r="F20" s="3159" t="s">
        <v>205</v>
      </c>
      <c r="G20" s="3160">
        <v>44926</v>
      </c>
    </row>
    <row r="21" spans="1:8" s="3137" customFormat="1" ht="24" customHeight="1">
      <c r="A21" s="3156"/>
      <c r="B21" s="3156"/>
      <c r="C21" s="3161"/>
      <c r="D21" s="3162"/>
      <c r="E21" s="3158"/>
      <c r="F21" s="3159"/>
      <c r="G21" s="3160"/>
    </row>
    <row r="22" spans="1:8" ht="24" customHeight="1">
      <c r="C22" s="3163"/>
      <c r="D22" s="3163"/>
      <c r="E22" s="3164"/>
      <c r="F22" s="3165"/>
      <c r="G22" s="3166"/>
    </row>
  </sheetData>
  <sheetProtection password="CEE9" sheet="1" objects="1" scenarios="1"/>
  <mergeCells count="3">
    <mergeCell ref="A17:H17"/>
    <mergeCell ref="A18:C18"/>
    <mergeCell ref="E18:G18"/>
  </mergeCells>
  <phoneticPr fontId="227"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案例</vt:lpstr>
      <vt:lpstr>收益法</vt:lpstr>
      <vt:lpstr>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2022-08-01T08:52:27Z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FDC8AA0B107A4177BC0EFF4DAF42A171</vt:lpwstr>
  </property>
  <property fmtid="{D5CDD505-2E9C-101B-9397-08002B2CF9AE}" pid="3" name="KSOProductBuildVer">
    <vt:lpwstr>2052-11.1.0.11830</vt:lpwstr>
  </property>
</Properties>
</file>