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370"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面积表" sheetId="82"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成本法 (2)" sheetId="83" state="hidden" r:id="rId23"/>
    <sheet name="成本法 (3)" sheetId="84" state="hidden" r:id="rId24"/>
    <sheet name="收益法" sheetId="15" r:id="rId25"/>
    <sheet name="收益法 (元)" sheetId="67"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收益法-7" sheetId="79" state="hidden" r:id="rId34"/>
    <sheet name="收益法（汇总）" sheetId="70" state="hidden" r:id="rId35"/>
    <sheet name="土地比较法-住宅、综合" sheetId="39"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土地案例" sheetId="78"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合计表" sheetId="85" r:id="rId50"/>
    <sheet name="3号楼面积清单" sheetId="86" r:id="rId51"/>
    <sheet name="6号楼面积清单" sheetId="88" r:id="rId52"/>
    <sheet name="7号楼面积清单" sheetId="87" r:id="rId53"/>
  </sheets>
  <externalReferences>
    <externalReference r:id="rId54"/>
    <externalReference r:id="rId55"/>
    <externalReference r:id="rId56"/>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33">'收益法-7'!$A$1:$AK$69</definedName>
    <definedName name="_xlnm.Print_Area" localSheetId="14">'数据-汇总表'!$A$1:$P$32</definedName>
    <definedName name="八级">区片价!$O$1:$O$40</definedName>
    <definedName name="办公层高" localSheetId="13">'[1]比较法-办公'!$B$119:$M$119</definedName>
    <definedName name="办公层高" localSheetId="42">'[1]比较法-办公'!$B$119:$M$119</definedName>
    <definedName name="办公层高">'比较法-办公'!$B$119:$M$119</definedName>
    <definedName name="办公朝向" localSheetId="13">'[1]比较法-办公'!$B$91:$M$91</definedName>
    <definedName name="办公朝向" localSheetId="42">'[1]比较法-办公'!$B$91:$M$91</definedName>
    <definedName name="办公朝向">'比较法-办公'!$B$91:$M$91</definedName>
    <definedName name="办公道路级别" localSheetId="13">'[1]比较法-办公'!$B$87:$M$87</definedName>
    <definedName name="办公道路级别" localSheetId="42">'[1]比较法-办公'!$B$87:$M$87</definedName>
    <definedName name="办公道路级别">'比较法-办公'!$B$87:$M$87</definedName>
    <definedName name="办公公共部分装修" localSheetId="13">'[1]比较法-办公'!$B$108:$M$108</definedName>
    <definedName name="办公公共部分装修" localSheetId="42">'[1]比较法-办公'!$B$108:$M$108</definedName>
    <definedName name="办公公共部分装修">'比较法-办公'!$B$108:$M$108</definedName>
    <definedName name="办公基础设施水平" localSheetId="13">'[1]比较法-办公'!$B$117:$M$117</definedName>
    <definedName name="办公基础设施水平" localSheetId="42">'[1]比较法-办公'!$B$117:$M$117</definedName>
    <definedName name="办公基础设施水平">'比较法-办公'!$B$117:$M$117</definedName>
    <definedName name="办公集聚程度" localSheetId="13">[1]定义!$M$1:$M$6</definedName>
    <definedName name="办公集聚程度" localSheetId="42">[1]定义!$M$1:$M$6</definedName>
    <definedName name="办公集聚程度">定义!$M$1:$M$6</definedName>
    <definedName name="办公建筑结构" localSheetId="13">'[1]比较法-办公'!$B$106:$M$106</definedName>
    <definedName name="办公建筑结构" localSheetId="42">'[1]比较法-办公'!$B$106:$M$106</definedName>
    <definedName name="办公建筑结构">'比较法-办公'!$B$106:$M$106</definedName>
    <definedName name="办公建筑类型" localSheetId="13">'[1]比较法-办公'!$B$101:$M$101</definedName>
    <definedName name="办公建筑类型" localSheetId="42">'[1]比较法-办公'!$B$101:$M$101</definedName>
    <definedName name="办公建筑类型">'比较法-办公'!$B$101:$M$101</definedName>
    <definedName name="办公交易情况" localSheetId="13">'[1]比较法-办公'!$A$62:$M$62</definedName>
    <definedName name="办公交易情况" localSheetId="42">'[1]比较法-办公'!$A$62:$M$62</definedName>
    <definedName name="办公交易情况">'比较法-办公'!$A$62:$M$62</definedName>
    <definedName name="办公楼层" localSheetId="13">'[1]比较法-办公'!$B$89:$M$89</definedName>
    <definedName name="办公楼层" localSheetId="42">'[1]比较法-办公'!$B$89:$M$89</definedName>
    <definedName name="办公楼层">'比较法-办公'!$B$89:$M$89</definedName>
    <definedName name="办公内部装修" localSheetId="13">'[1]比较法-办公'!$B$123:$M$123</definedName>
    <definedName name="办公内部装修" localSheetId="42">'[1]比较法-办公'!$B$123:$M$123</definedName>
    <definedName name="办公内部装修">'比较法-办公'!$B$123:$M$123</definedName>
    <definedName name="办公物业管理" localSheetId="13">'[1]比较法-办公'!$B$115:$M$115</definedName>
    <definedName name="办公物业管理" localSheetId="42">'[1]比较法-办公'!$B$115:$M$115</definedName>
    <definedName name="办公物业管理">'比较法-办公'!$B$115:$M$115</definedName>
    <definedName name="办公用途" localSheetId="13">'[1]比较法-办公'!$B$64:$M$64</definedName>
    <definedName name="办公用途" localSheetId="42">'[1]比较法-办公'!$B$64:$M$64</definedName>
    <definedName name="办公用途">'比较法-办公'!$B$64:$M$64</definedName>
    <definedName name="仓储公共部分装修" localSheetId="13">'[1]比较法-仓储'!$B$77:$M$77</definedName>
    <definedName name="仓储公共部分装修" localSheetId="42">'[1]比较法-仓储'!$B$77:$M$77</definedName>
    <definedName name="仓储公共部分装修">'比较法-仓储'!$B$77:$M$77</definedName>
    <definedName name="仓储交易情况" localSheetId="13">'[1]比较法-仓储'!$A$49:$M$49</definedName>
    <definedName name="仓储交易情况" localSheetId="42">'[1]比较法-仓储'!$A$49:$M$49</definedName>
    <definedName name="仓储交易情况">'比较法-仓储'!$A$49:$M$49</definedName>
    <definedName name="仓储楼层" localSheetId="13">'[1]比较法-仓储'!$B$69:$M$69</definedName>
    <definedName name="仓储楼层" localSheetId="42">'[1]比较法-仓储'!$B$69:$M$69</definedName>
    <definedName name="仓储楼层">'比较法-仓储'!$B$69:$M$69</definedName>
    <definedName name="仓储物业等级" localSheetId="13">'[1]比较法-仓储'!$B$82:$M$82</definedName>
    <definedName name="仓储物业等级" localSheetId="42">'[1]比较法-仓储'!$B$82:$M$82</definedName>
    <definedName name="仓储物业等级">'比较法-仓储'!$B$82:$M$82</definedName>
    <definedName name="仓储用途" localSheetId="13">'[1]比较法-仓储'!$B$51:$M$51</definedName>
    <definedName name="仓储用途" localSheetId="42">'[1]比较法-仓储'!$B$51:$M$51</definedName>
    <definedName name="仓储用途">'比较法-仓储'!$B$51:$M$51</definedName>
    <definedName name="产业集聚程度" localSheetId="13">[1]定义!$N$1:$N$6</definedName>
    <definedName name="产业集聚程度" localSheetId="42">[1]定义!$N$1:$N$6</definedName>
    <definedName name="产业集聚程度">定义!$N$1:$N$6</definedName>
    <definedName name="车位公共部分装修" localSheetId="13">'[1]比较法-车位'!$B$83:$M$83</definedName>
    <definedName name="车位公共部分装修" localSheetId="42">'[1]比较法-车位'!$B$83:$M$83</definedName>
    <definedName name="车位公共部分装修">'比较法-车位'!$B$83:$M$83</definedName>
    <definedName name="车位交易情况" localSheetId="13">'[1]比较法-车位'!$A$51:$M$51</definedName>
    <definedName name="车位交易情况" localSheetId="42">'[1]比较法-车位'!$A$51:$M$51</definedName>
    <definedName name="车位交易情况">'比较法-车位'!$A$51:$M$51</definedName>
    <definedName name="车位类型" localSheetId="13">'[1]比较法-车位'!$B$93:$M$93</definedName>
    <definedName name="车位类型" localSheetId="42">'[1]比较法-车位'!$B$93:$M$93</definedName>
    <definedName name="车位类型">'比较法-车位'!$B$93:$M$93</definedName>
    <definedName name="车位楼层" localSheetId="13">'[1]比较法-车位'!$B$71:$M$71</definedName>
    <definedName name="车位楼层" localSheetId="42">'[1]比较法-车位'!$B$71:$M$71</definedName>
    <definedName name="车位楼层">'比较法-车位'!$B$71:$M$71</definedName>
    <definedName name="车位配套类型" localSheetId="13">'[1]比较法-车位'!$B$79:$M$79</definedName>
    <definedName name="车位配套类型" localSheetId="42">'[1]比较法-车位'!$B$79:$M$79</definedName>
    <definedName name="车位配套类型">'比较法-车位'!$B$79:$M$79</definedName>
    <definedName name="车位物业等级" localSheetId="13">'[1]比较法-车位'!$B$88:$M$88</definedName>
    <definedName name="车位物业等级" localSheetId="42">'[1]比较法-车位'!$B$88:$M$88</definedName>
    <definedName name="车位物业等级">'比较法-车位'!$B$88:$M$88</definedName>
    <definedName name="车位用途" localSheetId="13">'[1]比较法-车位'!$B$53:$M$53</definedName>
    <definedName name="车位用途" localSheetId="42">'[1]比较法-车位'!$B$53:$M$53</definedName>
    <definedName name="车位用途">'比较法-车位'!$B$53:$M$53</definedName>
    <definedName name="城镇土地纳税等级分级范围" localSheetId="13">'[1]数据-取费表'!$A$53:$A$63</definedName>
    <definedName name="城镇土地纳税等级分级范围" localSheetId="42">'[1]数据-取费表'!$A$53:$A$63</definedName>
    <definedName name="城镇土地纳税等级分级范围">'数据-取费表'!$A$53:$A$63</definedName>
    <definedName name="单价内涵" localSheetId="13">[1]定义!$V$1:$V$3</definedName>
    <definedName name="单价内涵" localSheetId="42">[1]定义!$V$1:$V$3</definedName>
    <definedName name="单价内涵">定义!$V$1:$V$3</definedName>
    <definedName name="地类判定" localSheetId="13">[1]定义!$H$1:$H$9</definedName>
    <definedName name="地类判定" localSheetId="42">[1]定义!$H$1:$H$9</definedName>
    <definedName name="地类判定">定义!$H$1:$H$9</definedName>
    <definedName name="二级">区片价!$I$1:$I$20</definedName>
    <definedName name="二级分类" localSheetId="13">[1]修正!$C$17:$C$39</definedName>
    <definedName name="二级分类" localSheetId="42">[1]修正!$C$17:$C$39</definedName>
    <definedName name="二级分类">修正!$C$17:$C$39</definedName>
    <definedName name="法定最高年限" localSheetId="13">[1]定义!$G$1:$G$4</definedName>
    <definedName name="法定最高年限" localSheetId="42">[1]定义!$G$1:$G$4</definedName>
    <definedName name="法定最高年限">定义!$G$1:$G$4</definedName>
    <definedName name="工业公共部分装修" localSheetId="13">'[1]比较法-工业'!$B$95:$M$95</definedName>
    <definedName name="工业公共部分装修" localSheetId="42">'[1]比较法-工业'!$B$95:$M$95</definedName>
    <definedName name="工业公共部分装修">'比较法-工业'!$B$95:$M$95</definedName>
    <definedName name="工业基础设施水平" localSheetId="13">'[1]比较法-工业'!$B$102:$M$102</definedName>
    <definedName name="工业基础设施水平" localSheetId="42">'[1]比较法-工业'!$B$102:$M$102</definedName>
    <definedName name="工业基础设施水平">'比较法-工业'!$B$102:$M$102</definedName>
    <definedName name="工业建筑结构" localSheetId="13">'[1]比较法-工业'!$B$93:$M$93</definedName>
    <definedName name="工业建筑结构" localSheetId="42">'[1]比较法-工业'!$B$93:$M$93</definedName>
    <definedName name="工业建筑结构">'比较法-工业'!$B$93:$M$93</definedName>
    <definedName name="工业建筑类型" localSheetId="13">'[1]比较法-工业'!$B$88:$M$88</definedName>
    <definedName name="工业建筑类型" localSheetId="42">'[1]比较法-工业'!$B$88:$M$88</definedName>
    <definedName name="工业建筑类型">'比较法-工业'!$B$88:$M$88</definedName>
    <definedName name="工业交易情况" localSheetId="13">'[1]比较法-工业'!$A$55:$M$55</definedName>
    <definedName name="工业交易情况" localSheetId="42">'[1]比较法-工业'!$A$55:$M$55</definedName>
    <definedName name="工业交易情况">'比较法-工业'!$A$55:$M$55</definedName>
    <definedName name="工业内部装修" localSheetId="13">'[1]比较法-工业'!$B$104:$M$104</definedName>
    <definedName name="工业内部装修" localSheetId="42">'[1]比较法-工业'!$B$104:$M$104</definedName>
    <definedName name="工业内部装修">'比较法-工业'!$B$104:$M$104</definedName>
    <definedName name="工业物业管理" localSheetId="13">'[1]比较法-工业'!$B$100:$M$100</definedName>
    <definedName name="工业物业管理" localSheetId="42">'[1]比较法-工业'!$B$100:$M$100</definedName>
    <definedName name="工业物业管理">'比较法-工业'!$B$100:$M$100</definedName>
    <definedName name="工业用途" localSheetId="13">'[1]比较法-工业'!$B$57:$M$57</definedName>
    <definedName name="工业用途" localSheetId="42">'[1]比较法-工业'!$B$57:$M$57</definedName>
    <definedName name="工业用途">'比较法-工业'!$B$57:$M$57</definedName>
    <definedName name="公共配套设施" localSheetId="13">[1]定义!$Q$1:$Q$6</definedName>
    <definedName name="公共配套设施" localSheetId="42">[1]定义!$Q$1:$Q$6</definedName>
    <definedName name="公共配套设施">定义!$Q$1:$Q$6</definedName>
    <definedName name="估价方法" localSheetId="13">[1]定义!$B$1:$B$50</definedName>
    <definedName name="估价方法" localSheetId="42">[1]定义!$B$1:$B$50</definedName>
    <definedName name="估价方法">定义!$B$1:$B$50</definedName>
    <definedName name="环境" localSheetId="13">[1]定义!$S$1:$S$6</definedName>
    <definedName name="环境" localSheetId="42">[1]定义!$S$1:$S$6</definedName>
    <definedName name="环境">定义!$S$1:$S$6</definedName>
    <definedName name="基础设施水平" localSheetId="13">[1]定义!$R$1:$R$6</definedName>
    <definedName name="基础设施水平" localSheetId="42">[1]定义!$R$1:$R$6</definedName>
    <definedName name="基础设施水平">定义!$R$1:$R$6</definedName>
    <definedName name="季度">基准地价修正!$Q$19:$AD$19</definedName>
    <definedName name="价值类型2" localSheetId="13">[1]定义!$B$54:$B$56</definedName>
    <definedName name="价值类型2" localSheetId="42">[1]定义!$B$54:$B$56</definedName>
    <definedName name="价值类型2">定义!$B$54:$B$56</definedName>
    <definedName name="交通便捷度" localSheetId="13">[1]定义!$O$1:$O$6</definedName>
    <definedName name="交通便捷度" localSheetId="42">[1]定义!$O$1:$O$6</definedName>
    <definedName name="交通便捷度">定义!$O$1:$O$6</definedName>
    <definedName name="九级">区片价!$P$1:$P$46</definedName>
    <definedName name="居住社区成熟度" localSheetId="13">[1]定义!$K$1:$K$6</definedName>
    <definedName name="居住社区成熟度" localSheetId="42">[1]定义!$K$1:$K$6</definedName>
    <definedName name="居住社区成熟度">定义!$K$1:$K$6</definedName>
    <definedName name="类别" localSheetId="13">[1]定义!$J$1:$J$3</definedName>
    <definedName name="类别" localSheetId="42">[1]定义!$J$1:$J$3</definedName>
    <definedName name="类别">定义!$J$1:$J$3</definedName>
    <definedName name="临街状况" localSheetId="13">[1]定义!$T$1:$T$5</definedName>
    <definedName name="临街状况" localSheetId="42">[1]定义!$T$1:$T$5</definedName>
    <definedName name="临街状况">定义!$T$1:$T$5</definedName>
    <definedName name="六级">区片价!$M$1:$M$49</definedName>
    <definedName name="内部装修维护情况" localSheetId="13">[1]定义!$U$1:$U$6</definedName>
    <definedName name="内部装修维护情况" localSheetId="42">[1]定义!$U$1:$U$6</definedName>
    <definedName name="内部装修维护情况">定义!$U$1:$U$6</definedName>
    <definedName name="判定" localSheetId="13">[1]定义!$D$1:$D$4</definedName>
    <definedName name="判定" localSheetId="42">[1]定义!$D$1:$D$4</definedName>
    <definedName name="判定">定义!$D$1:$D$4</definedName>
    <definedName name="七级">区片价!$N$1:$N$49</definedName>
    <definedName name="七通一平" localSheetId="13">[1]修正!$A$6:$A$14</definedName>
    <definedName name="七通一平" localSheetId="42">[1]修正!$A$6:$A$14</definedName>
    <definedName name="七通一平">修正!$A$6:$A$14</definedName>
    <definedName name="区域土地利用方向" localSheetId="13">[1]定义!$P$1:$P$6</definedName>
    <definedName name="区域土地利用方向" localSheetId="42">[1]定义!$P$1:$P$6</definedName>
    <definedName name="区域土地利用方向">定义!$P$1:$P$6</definedName>
    <definedName name="三级">区片价!$J$1:$J$21</definedName>
    <definedName name="商业层高" localSheetId="13">'[1]比较法-商业'!$B$116:$M$116</definedName>
    <definedName name="商业层高" localSheetId="42">'[1]比较法-商业'!$B$116:$M$116</definedName>
    <definedName name="商业层高">'比较法-商业'!$B$116:$M$116</definedName>
    <definedName name="商业成新度">'比较法-商业'!$B$109:$M$109</definedName>
    <definedName name="商业繁华度" localSheetId="13">[1]定义!$L$1:$L$6</definedName>
    <definedName name="商业繁华度" localSheetId="42">[1]定义!$L$1:$L$6</definedName>
    <definedName name="商业繁华度">定义!$L$1:$L$6</definedName>
    <definedName name="商业公共部分装修" localSheetId="13">'[1]比较法-商业'!$B$107:$M$107</definedName>
    <definedName name="商业公共部分装修" localSheetId="42">'[1]比较法-商业'!$B$107:$M$107</definedName>
    <definedName name="商业公共部分装修">'比较法-商业'!$B$107:$M$107</definedName>
    <definedName name="商业基础设施水平" localSheetId="13">'[1]比较法-商业'!$B$112:$M$112</definedName>
    <definedName name="商业基础设施水平" localSheetId="42">'[1]比较法-商业'!$B$112:$M$112</definedName>
    <definedName name="商业基础设施水平">'比较法-商业'!$B$112:$M$112</definedName>
    <definedName name="商业建筑结构" localSheetId="13">'[1]比较法-商业'!$B$105:$M$105</definedName>
    <definedName name="商业建筑结构" localSheetId="42">'[1]比较法-商业'!$B$105:$M$105</definedName>
    <definedName name="商业建筑结构">'比较法-商业'!$B$105:$M$105</definedName>
    <definedName name="商业交易情况" localSheetId="13">'[1]比较法-商业'!$A$61:$M$61</definedName>
    <definedName name="商业交易情况" localSheetId="42">'[1]比较法-商业'!$A$61:$M$61</definedName>
    <definedName name="商业交易情况">'比较法-商业'!$A$61:$M$61</definedName>
    <definedName name="商业街名称" localSheetId="13">[1]修正!$C$59:$C$119</definedName>
    <definedName name="商业街名称" localSheetId="42">[1]修正!$C$59:$C$119</definedName>
    <definedName name="商业街名称">修正!$C$59:$C$119</definedName>
    <definedName name="商业进深比" localSheetId="13">'[1]比较法-商业'!$B$120:$M$120</definedName>
    <definedName name="商业进深比" localSheetId="42">'[1]比较法-商业'!$B$120:$M$120</definedName>
    <definedName name="商业进深比">'比较法-商业'!$B$120:$M$120</definedName>
    <definedName name="商业类型" localSheetId="13">'[1]比较法-商业'!$B$100:$M$100</definedName>
    <definedName name="商业类型" localSheetId="42">'[1]比较法-商业'!$B$100:$M$100</definedName>
    <definedName name="商业类型">'比较法-商业'!$B$100:$M$100</definedName>
    <definedName name="商业临街状况" localSheetId="13">'[1]比较法-商业'!$B$86:$M$86</definedName>
    <definedName name="商业临街状况" localSheetId="42">'[1]比较法-商业'!$B$86:$M$86</definedName>
    <definedName name="商业临街状况">'比较法-商业'!$B$86:$M$86</definedName>
    <definedName name="商业楼层" localSheetId="13">'[1]比较法-商业'!$B$92:$M$92</definedName>
    <definedName name="商业楼层" localSheetId="42">'[1]比较法-商业'!$B$92:$M$92</definedName>
    <definedName name="商业楼层">'比较法-商业'!$B$92:$M$92</definedName>
    <definedName name="商业内部装修" localSheetId="13">'[1]比较法-商业'!$B$122:$M$122</definedName>
    <definedName name="商业内部装修" localSheetId="42">'[1]比较法-商业'!$B$122:$M$122</definedName>
    <definedName name="商业内部装修">'比较法-商业'!$B$122:$M$122</definedName>
    <definedName name="商业人流量" localSheetId="13">'[1]比较法-商业'!$B$90:$M$90</definedName>
    <definedName name="商业人流量" localSheetId="42">'[1]比较法-商业'!$B$90:$M$90</definedName>
    <definedName name="商业人流量">'比较法-商业'!$B$90:$M$90</definedName>
    <definedName name="商业业态" localSheetId="13">'[1]比较法-商业'!$B$114:$M$114</definedName>
    <definedName name="商业业态" localSheetId="42">'[1]比较法-商业'!$B$114:$M$114</definedName>
    <definedName name="商业业态">'比较法-商业'!$B$114:$M$114</definedName>
    <definedName name="商业用途" localSheetId="13">'[1]比较法-商业'!$B$63:$M$63</definedName>
    <definedName name="商业用途" localSheetId="4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3">'[1]比较法-仓储'!$B$89:$M$89</definedName>
    <definedName name="是否封闭" localSheetId="42">'[1]比较法-仓储'!$B$89:$M$89</definedName>
    <definedName name="是否封闭">'比较法-仓储'!$B$89:$M$89</definedName>
    <definedName name="是否直接入户" localSheetId="13">'[1]比较法-车位'!$B$95:$M$95</definedName>
    <definedName name="是否直接入户" localSheetId="42">'[1]比较法-车位'!$B$95:$M$95</definedName>
    <definedName name="是否直接入户">'比较法-车位'!$B$95:$M$95</definedName>
    <definedName name="四级">区片价!$K$1:$K$28</definedName>
    <definedName name="套工道路等级" localSheetId="13">'[1]土地比较法-工业'!$B$97:$M$97</definedName>
    <definedName name="套工道路等级" localSheetId="42">'[1]土地比较法-工业'!$B$97:$M$97</definedName>
    <definedName name="套工道路等级">'土地比较法-工业'!$B$97:$M$97</definedName>
    <definedName name="套工地质条件" localSheetId="13">'[1]土地比较法-工业'!$B$114:$M$114</definedName>
    <definedName name="套工地质条件" localSheetId="42">'[1]土地比较法-工业'!$B$114:$M$114</definedName>
    <definedName name="套工地质条件">'土地比较法-工业'!$B$114:$M$114</definedName>
    <definedName name="套工交易情况" localSheetId="13">'[1]土地比较法-住宅、综合'!$A$73:$M$73</definedName>
    <definedName name="套工交易情况" localSheetId="42">'[1]土地比较法-住宅、综合'!$A$73:$M$73</definedName>
    <definedName name="套工交易情况">'土地比较法-住宅、综合'!$A$73:$M$73</definedName>
    <definedName name="套工土地级别" localSheetId="13">'[1]土地比较法-工业'!$B$99:$M$99</definedName>
    <definedName name="套工土地级别" localSheetId="42">'[1]土地比较法-工业'!$B$99:$M$99</definedName>
    <definedName name="套工土地级别">'土地比较法-工业'!$B$99:$M$99</definedName>
    <definedName name="套工用途" localSheetId="13">'[1]土地比较法-工业'!$B$70:$M$70</definedName>
    <definedName name="套工用途" localSheetId="42">'[1]土地比较法-工业'!$B$70:$M$70</definedName>
    <definedName name="套工用途">'土地比较法-工业'!$B$70:$M$70</definedName>
    <definedName name="套工宗地开发程度" localSheetId="13">'[1]土地比较法-工业'!$B$112:$M$112</definedName>
    <definedName name="套工宗地开发程度" localSheetId="42">'[1]土地比较法-工业'!$B$112:$M$112</definedName>
    <definedName name="套工宗地开发程度">'土地比较法-工业'!$B$112:$M$112</definedName>
    <definedName name="套工宗地形状" localSheetId="13">'[1]土地比较法-工业'!$B$110:$M$110</definedName>
    <definedName name="套工宗地形状" localSheetId="42">'[1]土地比较法-工业'!$B$110:$M$110</definedName>
    <definedName name="套工宗地形状">'土地比较法-工业'!$B$110:$M$110</definedName>
    <definedName name="套综道路等级" localSheetId="13">'[1]土地比较法-住宅、综合'!$B$106:$M$106</definedName>
    <definedName name="套综道路等级" localSheetId="42">'[1]土地比较法-住宅、综合'!$B$106:$M$106</definedName>
    <definedName name="套综道路等级">'土地比较法-住宅、综合'!$B$106:$M$106</definedName>
    <definedName name="套综工程地质条件" localSheetId="13">'[1]土地比较法-住宅、综合'!$B$125:$M$125</definedName>
    <definedName name="套综工程地质条件" localSheetId="42">'[1]土地比较法-住宅、综合'!$B$125:$M$125</definedName>
    <definedName name="套综工程地质条件">'土地比较法-住宅、综合'!$B$125:$M$125</definedName>
    <definedName name="套综交易情况" localSheetId="13">'[1]土地比较法-住宅、综合'!$A$73:$M$73</definedName>
    <definedName name="套综交易情况" localSheetId="42">'[1]土地比较法-住宅、综合'!$A$73:$M$73</definedName>
    <definedName name="套综交易情况">'土地比较法-住宅、综合'!$A$73:$M$73</definedName>
    <definedName name="套综临街宽度及深度" localSheetId="13">'[1]土地比较法-住宅、综合'!$B$121:$M$121</definedName>
    <definedName name="套综临街宽度及深度" localSheetId="42">'[1]土地比较法-住宅、综合'!$B$121:$M$121</definedName>
    <definedName name="套综临街宽度及深度">'土地比较法-住宅、综合'!$B$121:$M$121</definedName>
    <definedName name="套综土地级别" localSheetId="13">'[1]土地比较法-住宅、综合'!$B$108:$M$108</definedName>
    <definedName name="套综土地级别" localSheetId="42">'[1]土地比较法-住宅、综合'!$B$108:$M$108</definedName>
    <definedName name="套综土地级别">'土地比较法-住宅、综合'!$B$108:$M$108</definedName>
    <definedName name="套综用途" localSheetId="13">'[1]土地比较法-住宅、综合'!$B$75:$M$75</definedName>
    <definedName name="套综用途" localSheetId="42">'[1]土地比较法-住宅、综合'!$B$75:$M$75</definedName>
    <definedName name="套综用途">'土地比较法-住宅、综合'!$B$75:$M$75</definedName>
    <definedName name="套综宗地内开发程度" localSheetId="13">'[1]土地比较法-住宅、综合'!$B$123:$M$123</definedName>
    <definedName name="套综宗地内开发程度" localSheetId="42">'[1]土地比较法-住宅、综合'!$B$123:$M$123</definedName>
    <definedName name="套综宗地内开发程度">'土地比较法-住宅、综合'!$B$123:$M$123</definedName>
    <definedName name="套综宗地形状" localSheetId="13">'[1]土地比较法-住宅、综合'!$B$119:$M$119</definedName>
    <definedName name="套综宗地形状" localSheetId="42">'[1]土地比较法-住宅、综合'!$B$119:$M$119</definedName>
    <definedName name="套综宗地形状">'土地比较法-住宅、综合'!$B$119:$M$119</definedName>
    <definedName name="土地估价师">估价师及机构信息!$D$3:$D$24</definedName>
    <definedName name="土地级别" localSheetId="13">[1]定义!$C$1:$C$14</definedName>
    <definedName name="土地级别" localSheetId="42">[1]定义!$C$1:$C$14</definedName>
    <definedName name="土地级别">定义!$C$1:$C$14</definedName>
    <definedName name="土地利用方向">定义!$P$1:$P$6</definedName>
    <definedName name="土地年限区间" localSheetId="13">[1]定义!$I$1:$I$8</definedName>
    <definedName name="土地年限区间" localSheetId="42">[1]定义!$I$1:$I$8</definedName>
    <definedName name="土地年限区间">定义!$I$1:$I$8</definedName>
    <definedName name="位置" localSheetId="13">[1]定义!$E$2:$E$4</definedName>
    <definedName name="位置" localSheetId="42">[1]定义!$E$2:$E$4</definedName>
    <definedName name="位置">定义!$E$2:$E$4</definedName>
    <definedName name="五等判定" localSheetId="13">[1]定义!$W$1:$W$6</definedName>
    <definedName name="五等判定" localSheetId="42">[1]定义!$W$1:$W$6</definedName>
    <definedName name="五等判定">定义!$W$1:$W$6</definedName>
    <definedName name="五级">区片价!$L$1:$L$35</definedName>
    <definedName name="项目类型" localSheetId="13">'[1]数据-汇总表'!$C$17:$C$26</definedName>
    <definedName name="项目类型" localSheetId="42">'[1]数据-汇总表'!$C$17:$C$26</definedName>
    <definedName name="项目类型">'数据-汇总表'!$C$17:$C$26</definedName>
    <definedName name="写字楼等级" localSheetId="13">'[1]比较法-办公'!$B$113:$M$113</definedName>
    <definedName name="写字楼等级" localSheetId="42">'[1]比较法-办公'!$B$113:$M$113</definedName>
    <definedName name="写字楼等级">'比较法-办公'!$B$113:$M$113</definedName>
    <definedName name="一级">区片价!$H$1:$H$6</definedName>
    <definedName name="一修多修正项2" localSheetId="13">[1]典型户型修正!$5:$5</definedName>
    <definedName name="一修多修正项2" localSheetId="42">[1]典型户型修正!$5:$5</definedName>
    <definedName name="一修多修正项2">典型户型修正!$5:$5</definedName>
    <definedName name="一修多修正项3" localSheetId="13">[1]典型户型修正!$7:$7</definedName>
    <definedName name="一修多修正项3" localSheetId="42">[1]典型户型修正!$7:$7</definedName>
    <definedName name="一修多修正项3">典型户型修正!$7:$7</definedName>
    <definedName name="一修多修正项4" localSheetId="13">[1]典型户型修正!$9:$9</definedName>
    <definedName name="一修多修正项4" localSheetId="42">[1]典型户型修正!$9:$9</definedName>
    <definedName name="一修多修正项4">典型户型修正!$9:$9</definedName>
    <definedName name="一修多修正项5" localSheetId="13">[1]典型户型修正!$11:$11</definedName>
    <definedName name="一修多修正项5" localSheetId="42">[1]典型户型修正!$11:$11</definedName>
    <definedName name="一修多修正项5">典型户型修正!$11:$11</definedName>
    <definedName name="一修多修正项6" localSheetId="13">[1]典型户型修正!$13:$13</definedName>
    <definedName name="一修多修正项6" localSheetId="42">[1]典型户型修正!$13:$13</definedName>
    <definedName name="一修多修正项6">典型户型修正!$13:$13</definedName>
    <definedName name="一修多修正项7" localSheetId="13">[1]典型户型修正!$15:$15</definedName>
    <definedName name="一修多修正项7" localSheetId="42">[1]典型户型修正!$15:$15</definedName>
    <definedName name="一修多修正项7">典型户型修正!$15:$15</definedName>
    <definedName name="一修多修正项8" localSheetId="13">[1]典型户型修正!$17:$17</definedName>
    <definedName name="一修多修正项8" localSheetId="42">[1]典型户型修正!$17:$17</definedName>
    <definedName name="一修多修正项8">典型户型修正!$17:$17</definedName>
    <definedName name="用途明细" localSheetId="13">[1]定义!$A$1:$A$50</definedName>
    <definedName name="用途明细" localSheetId="42">[1]定义!$A$1:$A$50</definedName>
    <definedName name="用途明细">定义!$A$1:$A$50</definedName>
    <definedName name="有无电梯" localSheetId="13">'[1]比较法-仓储'!$B$84:$M$84</definedName>
    <definedName name="有无电梯" localSheetId="42">'[1]比较法-仓储'!$B$84:$M$84</definedName>
    <definedName name="有无电梯">'比较法-仓储'!$B$84:$M$84</definedName>
    <definedName name="主用途" localSheetId="13">[1]定义!$F$1:$F$10</definedName>
    <definedName name="主用途" localSheetId="42">[1]定义!$F$1:$F$10</definedName>
    <definedName name="主用途">定义!$F$1:$F$10</definedName>
    <definedName name="住宅朝向" localSheetId="13">'[1]比较法-住宅'!$B$88:$M$88</definedName>
    <definedName name="住宅朝向" localSheetId="42">'[1]比较法-住宅'!$B$88:$M$88</definedName>
    <definedName name="住宅朝向">'比较法-住宅'!$B$88:$M$88</definedName>
    <definedName name="住宅房型" localSheetId="13">'[1]比较法-住宅'!$B$118:$M$118</definedName>
    <definedName name="住宅房型" localSheetId="42">'[1]比较法-住宅'!$B$118:$M$118</definedName>
    <definedName name="住宅房型">'比较法-住宅'!$B$118:$M$118</definedName>
    <definedName name="住宅公共部分装修" localSheetId="13">'[1]比较法-住宅'!$B$109:$M$109</definedName>
    <definedName name="住宅公共部分装修" localSheetId="42">'[1]比较法-住宅'!$B$109:$M$109</definedName>
    <definedName name="住宅公共部分装修">'比较法-住宅'!$B$109:$M$109</definedName>
    <definedName name="住宅基础设施水平" localSheetId="13">'[1]比较法-住宅'!$B$116:$M$116</definedName>
    <definedName name="住宅基础设施水平" localSheetId="42">'[1]比较法-住宅'!$B$116:$M$116</definedName>
    <definedName name="住宅基础设施水平">'比较法-住宅'!$B$116:$M$116</definedName>
    <definedName name="住宅建筑结构" localSheetId="13">'[1]比较法-住宅'!$B$105:$M$105</definedName>
    <definedName name="住宅建筑结构" localSheetId="42">'[1]比较法-住宅'!$B$105:$M$105</definedName>
    <definedName name="住宅建筑结构">'比较法-住宅'!$B$105:$M$105</definedName>
    <definedName name="住宅建筑类型" localSheetId="13">'[1]比较法-住宅'!$B$100:$M$100</definedName>
    <definedName name="住宅建筑类型" localSheetId="42">'[1]比较法-住宅'!$B$100:$M$100</definedName>
    <definedName name="住宅建筑类型">'比较法-住宅'!$B$100:$M$100</definedName>
    <definedName name="住宅建筑品质" localSheetId="13">'[1]比较法-住宅'!$B$107:$M$107</definedName>
    <definedName name="住宅建筑品质" localSheetId="42">'[1]比较法-住宅'!$B$107:$M$107</definedName>
    <definedName name="住宅建筑品质">'比较法-住宅'!$B$107:$M$107</definedName>
    <definedName name="住宅交易情况" localSheetId="13">'[1]比较法-住宅'!$A$61:$M$61</definedName>
    <definedName name="住宅交易情况" localSheetId="42">'[1]比较法-住宅'!$A$61:$M$61</definedName>
    <definedName name="住宅交易情况">'比较法-住宅'!$A$61:$M$61</definedName>
    <definedName name="住宅楼层" localSheetId="13">'[1]比较法-住宅'!$B$86:$M$86</definedName>
    <definedName name="住宅楼层" localSheetId="42">'[1]比较法-住宅'!$B$86:$M$86</definedName>
    <definedName name="住宅楼层">'比较法-住宅'!$B$86:$M$86</definedName>
    <definedName name="住宅内部装修" localSheetId="13">'[1]比较法-住宅'!$B$122:$M$122</definedName>
    <definedName name="住宅内部装修" localSheetId="42">'[1]比较法-住宅'!$B$122:$M$122</definedName>
    <definedName name="住宅内部装修">'比较法-住宅'!$B$122:$M$122</definedName>
    <definedName name="住宅物业管理" localSheetId="13">'[1]比较法-住宅'!$B$114:$M$114</definedName>
    <definedName name="住宅物业管理" localSheetId="42">'[1]比较法-住宅'!$B$114:$M$114</definedName>
    <definedName name="住宅物业管理">'比较法-住宅'!$B$114:$M$114</definedName>
    <definedName name="住宅用途" localSheetId="13">'[1]比较法-住宅'!$B$63:$M$63</definedName>
    <definedName name="住宅用途" localSheetId="42">'[1]比较法-住宅'!$B$63:$M$63</definedName>
    <definedName name="住宅用途">'比较法-住宅'!$B$63:$M$63</definedName>
    <definedName name="住宅主力户型面积">'比较法-住宅'!$B$120:$M$120</definedName>
    <definedName name="注册房地产估价师" localSheetId="13">[1]估价师及机构信息!$A$3:$A$24</definedName>
    <definedName name="注册房地产估价师" localSheetId="42">[1]估价师及机构信息!$A$3:$A$24</definedName>
    <definedName name="注册房地产估价师">估价师及机构信息!$A$3:$A$24</definedName>
  </definedNames>
  <calcPr calcId="144525" iterate="1"/>
</workbook>
</file>

<file path=xl/calcChain.xml><?xml version="1.0" encoding="utf-8"?>
<calcChain xmlns="http://schemas.openxmlformats.org/spreadsheetml/2006/main">
  <c r="D15" i="74" l="1"/>
  <c r="G15" i="74"/>
  <c r="M4" i="88"/>
  <c r="G236" i="86" l="1"/>
  <c r="G235" i="86"/>
  <c r="G234" i="86"/>
  <c r="D236" i="86" l="1"/>
  <c r="D235" i="86"/>
  <c r="D234" i="86"/>
  <c r="C236" i="86"/>
  <c r="C235" i="86"/>
  <c r="C234" i="86"/>
  <c r="F38" i="6" l="1"/>
  <c r="F37" i="6"/>
  <c r="F36" i="6"/>
  <c r="C15" i="74"/>
  <c r="B15" i="74"/>
  <c r="C38" i="39" l="1"/>
  <c r="C6" i="82" l="1"/>
  <c r="B6" i="82"/>
  <c r="G127" i="88"/>
  <c r="G131" i="88" s="1"/>
  <c r="F127" i="88"/>
  <c r="K126" i="88"/>
  <c r="J126" i="88"/>
  <c r="K125" i="88"/>
  <c r="J125" i="88"/>
  <c r="K124" i="88"/>
  <c r="J124" i="88"/>
  <c r="K123" i="88"/>
  <c r="J123" i="88"/>
  <c r="K122" i="88"/>
  <c r="J122" i="88"/>
  <c r="K121" i="88"/>
  <c r="J121" i="88"/>
  <c r="K120" i="88"/>
  <c r="J120" i="88"/>
  <c r="K119" i="88"/>
  <c r="J119" i="88"/>
  <c r="K118" i="88"/>
  <c r="J118" i="88"/>
  <c r="K117" i="88"/>
  <c r="J117" i="88"/>
  <c r="L116" i="88"/>
  <c r="L117" i="88" s="1"/>
  <c r="L118" i="88" s="1"/>
  <c r="L119" i="88" s="1"/>
  <c r="L120" i="88" s="1"/>
  <c r="L121" i="88" s="1"/>
  <c r="L122" i="88" s="1"/>
  <c r="L123" i="88" s="1"/>
  <c r="L124" i="88" s="1"/>
  <c r="L125" i="88" s="1"/>
  <c r="L126" i="88" s="1"/>
  <c r="K116" i="88"/>
  <c r="J116" i="88"/>
  <c r="L115" i="88"/>
  <c r="K115" i="88"/>
  <c r="J115" i="88"/>
  <c r="K114" i="88"/>
  <c r="J114" i="88"/>
  <c r="K113" i="88"/>
  <c r="J113" i="88"/>
  <c r="K112" i="88"/>
  <c r="J112" i="88"/>
  <c r="K111" i="88"/>
  <c r="J111" i="88"/>
  <c r="K110" i="88"/>
  <c r="J110" i="88"/>
  <c r="K109" i="88"/>
  <c r="J109" i="88"/>
  <c r="K108" i="88"/>
  <c r="J108" i="88"/>
  <c r="K107" i="88"/>
  <c r="J107" i="88"/>
  <c r="K106" i="88"/>
  <c r="J106" i="88"/>
  <c r="K105" i="88"/>
  <c r="J105" i="88"/>
  <c r="K104" i="88"/>
  <c r="J104" i="88"/>
  <c r="K103" i="88"/>
  <c r="J103" i="88"/>
  <c r="K102" i="88"/>
  <c r="J102" i="88"/>
  <c r="L101" i="88"/>
  <c r="L102" i="88" s="1"/>
  <c r="L103" i="88" s="1"/>
  <c r="L104" i="88" s="1"/>
  <c r="L105" i="88" s="1"/>
  <c r="L106" i="88" s="1"/>
  <c r="L107" i="88" s="1"/>
  <c r="L108" i="88" s="1"/>
  <c r="L109" i="88" s="1"/>
  <c r="L110" i="88" s="1"/>
  <c r="L111" i="88" s="1"/>
  <c r="L112" i="88" s="1"/>
  <c r="L113" i="88" s="1"/>
  <c r="K101" i="88"/>
  <c r="J101" i="88"/>
  <c r="K100" i="88"/>
  <c r="J100" i="88"/>
  <c r="K99" i="88"/>
  <c r="J99" i="88"/>
  <c r="K98" i="88"/>
  <c r="J98" i="88"/>
  <c r="K97" i="88"/>
  <c r="J97" i="88"/>
  <c r="K96" i="88"/>
  <c r="J96" i="88"/>
  <c r="K95" i="88"/>
  <c r="J95" i="88"/>
  <c r="K94" i="88"/>
  <c r="J94" i="88"/>
  <c r="K93" i="88"/>
  <c r="J93" i="88"/>
  <c r="K92" i="88"/>
  <c r="J92" i="88"/>
  <c r="K91" i="88"/>
  <c r="J91" i="88"/>
  <c r="K90" i="88"/>
  <c r="J90" i="88"/>
  <c r="K89" i="88"/>
  <c r="J89" i="88"/>
  <c r="L88" i="88"/>
  <c r="L89" i="88" s="1"/>
  <c r="L90" i="88" s="1"/>
  <c r="L91" i="88" s="1"/>
  <c r="L92" i="88" s="1"/>
  <c r="L93" i="88" s="1"/>
  <c r="L94" i="88" s="1"/>
  <c r="L95" i="88" s="1"/>
  <c r="L96" i="88" s="1"/>
  <c r="L97" i="88" s="1"/>
  <c r="L98" i="88" s="1"/>
  <c r="L99" i="88" s="1"/>
  <c r="K88" i="88"/>
  <c r="J88" i="88"/>
  <c r="L87" i="88"/>
  <c r="K87" i="88"/>
  <c r="J87" i="88"/>
  <c r="K86" i="88"/>
  <c r="J86" i="88"/>
  <c r="K85" i="88"/>
  <c r="J85" i="88"/>
  <c r="K84" i="88"/>
  <c r="J84" i="88"/>
  <c r="K83" i="88"/>
  <c r="J83" i="88"/>
  <c r="K82" i="88"/>
  <c r="J82" i="88"/>
  <c r="K81" i="88"/>
  <c r="J81" i="88"/>
  <c r="K80" i="88"/>
  <c r="J80" i="88"/>
  <c r="K79" i="88"/>
  <c r="J79" i="88"/>
  <c r="K78" i="88"/>
  <c r="J78" i="88"/>
  <c r="K77" i="88"/>
  <c r="J77" i="88"/>
  <c r="K76" i="88"/>
  <c r="J76" i="88"/>
  <c r="K75" i="88"/>
  <c r="J75" i="88"/>
  <c r="K74" i="88"/>
  <c r="J74" i="88"/>
  <c r="L73" i="88"/>
  <c r="L74" i="88" s="1"/>
  <c r="L75" i="88" s="1"/>
  <c r="L76" i="88" s="1"/>
  <c r="L77" i="88" s="1"/>
  <c r="L78" i="88" s="1"/>
  <c r="L79" i="88" s="1"/>
  <c r="L80" i="88" s="1"/>
  <c r="L81" i="88" s="1"/>
  <c r="L82" i="88" s="1"/>
  <c r="L83" i="88" s="1"/>
  <c r="L84" i="88" s="1"/>
  <c r="L85" i="88" s="1"/>
  <c r="K73" i="88"/>
  <c r="J73" i="88"/>
  <c r="K72" i="88"/>
  <c r="J72" i="88"/>
  <c r="K71" i="88"/>
  <c r="J71" i="88"/>
  <c r="K70" i="88"/>
  <c r="J70" i="88"/>
  <c r="K69" i="88"/>
  <c r="J69" i="88"/>
  <c r="K68" i="88"/>
  <c r="J68" i="88"/>
  <c r="K67" i="88"/>
  <c r="J67" i="88"/>
  <c r="K66" i="88"/>
  <c r="J66" i="88"/>
  <c r="K65" i="88"/>
  <c r="J65" i="88"/>
  <c r="K64" i="88"/>
  <c r="J64" i="88"/>
  <c r="K63" i="88"/>
  <c r="J63" i="88"/>
  <c r="K62" i="88"/>
  <c r="J62" i="88"/>
  <c r="K61" i="88"/>
  <c r="J61" i="88"/>
  <c r="L60" i="88"/>
  <c r="L61" i="88" s="1"/>
  <c r="L62" i="88" s="1"/>
  <c r="L63" i="88" s="1"/>
  <c r="L64" i="88" s="1"/>
  <c r="L65" i="88" s="1"/>
  <c r="L66" i="88" s="1"/>
  <c r="L67" i="88" s="1"/>
  <c r="L68" i="88" s="1"/>
  <c r="L69" i="88" s="1"/>
  <c r="L70" i="88" s="1"/>
  <c r="L71" i="88" s="1"/>
  <c r="K60" i="88"/>
  <c r="J60" i="88"/>
  <c r="L59" i="88"/>
  <c r="K59" i="88"/>
  <c r="J59" i="88"/>
  <c r="K58" i="88"/>
  <c r="J58" i="88"/>
  <c r="K57" i="88"/>
  <c r="J57" i="88"/>
  <c r="K56" i="88"/>
  <c r="J56" i="88"/>
  <c r="K55" i="88"/>
  <c r="J55" i="88"/>
  <c r="K54" i="88"/>
  <c r="J54" i="88"/>
  <c r="K53" i="88"/>
  <c r="J53" i="88"/>
  <c r="K52" i="88"/>
  <c r="J52" i="88"/>
  <c r="K51" i="88"/>
  <c r="J51" i="88"/>
  <c r="K50" i="88"/>
  <c r="J50" i="88"/>
  <c r="K49" i="88"/>
  <c r="J49" i="88"/>
  <c r="K48" i="88"/>
  <c r="J48" i="88"/>
  <c r="K47" i="88"/>
  <c r="J47" i="88"/>
  <c r="K46" i="88"/>
  <c r="J46" i="88"/>
  <c r="L45" i="88"/>
  <c r="L46" i="88" s="1"/>
  <c r="L47" i="88" s="1"/>
  <c r="L48" i="88" s="1"/>
  <c r="L49" i="88" s="1"/>
  <c r="L50" i="88" s="1"/>
  <c r="L51" i="88" s="1"/>
  <c r="L52" i="88" s="1"/>
  <c r="L53" i="88" s="1"/>
  <c r="L54" i="88" s="1"/>
  <c r="L55" i="88" s="1"/>
  <c r="L56" i="88" s="1"/>
  <c r="L57" i="88" s="1"/>
  <c r="K45" i="88"/>
  <c r="J45" i="88"/>
  <c r="K44" i="88"/>
  <c r="J44" i="88"/>
  <c r="K43" i="88"/>
  <c r="J43" i="88"/>
  <c r="K42" i="88"/>
  <c r="J42" i="88"/>
  <c r="K41" i="88"/>
  <c r="J41" i="88"/>
  <c r="K40" i="88"/>
  <c r="J40" i="88"/>
  <c r="K39" i="88"/>
  <c r="J39" i="88"/>
  <c r="K38" i="88"/>
  <c r="J38" i="88"/>
  <c r="K37" i="88"/>
  <c r="J37" i="88"/>
  <c r="K36" i="88"/>
  <c r="J36" i="88"/>
  <c r="K35" i="88"/>
  <c r="J35" i="88"/>
  <c r="K34" i="88"/>
  <c r="J34" i="88"/>
  <c r="K33" i="88"/>
  <c r="J33" i="88"/>
  <c r="L32" i="88"/>
  <c r="L33" i="88" s="1"/>
  <c r="L34" i="88" s="1"/>
  <c r="L35" i="88" s="1"/>
  <c r="L36" i="88" s="1"/>
  <c r="L37" i="88" s="1"/>
  <c r="L38" i="88" s="1"/>
  <c r="L39" i="88" s="1"/>
  <c r="L40" i="88" s="1"/>
  <c r="L41" i="88" s="1"/>
  <c r="L42" i="88" s="1"/>
  <c r="L43" i="88" s="1"/>
  <c r="K32" i="88"/>
  <c r="J32" i="88"/>
  <c r="L31" i="88"/>
  <c r="K31" i="88"/>
  <c r="J31" i="88"/>
  <c r="K30" i="88"/>
  <c r="J30" i="88"/>
  <c r="K29" i="88"/>
  <c r="J29" i="88"/>
  <c r="K28" i="88"/>
  <c r="J28" i="88"/>
  <c r="K27" i="88"/>
  <c r="J27" i="88"/>
  <c r="K26" i="88"/>
  <c r="J26" i="88"/>
  <c r="K25" i="88"/>
  <c r="J25" i="88"/>
  <c r="K24" i="88"/>
  <c r="J24" i="88"/>
  <c r="K23" i="88"/>
  <c r="J23" i="88"/>
  <c r="K22" i="88"/>
  <c r="J22" i="88"/>
  <c r="K21" i="88"/>
  <c r="J21" i="88"/>
  <c r="K20" i="88"/>
  <c r="J20" i="88"/>
  <c r="K19" i="88"/>
  <c r="J19" i="88"/>
  <c r="K18" i="88"/>
  <c r="J18" i="88"/>
  <c r="L17" i="88"/>
  <c r="L18" i="88" s="1"/>
  <c r="L19" i="88" s="1"/>
  <c r="L20" i="88" s="1"/>
  <c r="L21" i="88" s="1"/>
  <c r="L22" i="88" s="1"/>
  <c r="L23" i="88" s="1"/>
  <c r="L24" i="88" s="1"/>
  <c r="L25" i="88" s="1"/>
  <c r="L26" i="88" s="1"/>
  <c r="L27" i="88" s="1"/>
  <c r="L28" i="88" s="1"/>
  <c r="L29" i="88" s="1"/>
  <c r="K17" i="88"/>
  <c r="J17" i="88"/>
  <c r="K16" i="88"/>
  <c r="J16" i="88"/>
  <c r="K15" i="88"/>
  <c r="J15" i="88"/>
  <c r="K14" i="88"/>
  <c r="J14" i="88"/>
  <c r="K13" i="88"/>
  <c r="J13" i="88"/>
  <c r="K12" i="88"/>
  <c r="J12" i="88"/>
  <c r="K11" i="88"/>
  <c r="J11" i="88"/>
  <c r="K10" i="88"/>
  <c r="J10" i="88"/>
  <c r="K9" i="88"/>
  <c r="J9" i="88"/>
  <c r="K8" i="88"/>
  <c r="J8" i="88"/>
  <c r="K7" i="88"/>
  <c r="J7" i="88"/>
  <c r="L6" i="88"/>
  <c r="L7" i="88" s="1"/>
  <c r="L8" i="88" s="1"/>
  <c r="L9" i="88" s="1"/>
  <c r="L10" i="88" s="1"/>
  <c r="L11" i="88" s="1"/>
  <c r="L12" i="88" s="1"/>
  <c r="L13" i="88" s="1"/>
  <c r="L14" i="88" s="1"/>
  <c r="L15" i="88" s="1"/>
  <c r="K6" i="88"/>
  <c r="J6" i="88"/>
  <c r="L5" i="88"/>
  <c r="K5" i="88"/>
  <c r="J5" i="88"/>
  <c r="F19" i="6"/>
  <c r="A3" i="3"/>
  <c r="C7" i="82"/>
  <c r="B7" i="82"/>
  <c r="C3" i="82"/>
  <c r="B3" i="82"/>
  <c r="I14" i="3"/>
  <c r="I13" i="3"/>
  <c r="G123" i="87"/>
  <c r="F123" i="87"/>
  <c r="J122" i="87"/>
  <c r="J121" i="87"/>
  <c r="J120" i="87"/>
  <c r="J119" i="87"/>
  <c r="J118" i="87"/>
  <c r="J117" i="87"/>
  <c r="J116" i="87"/>
  <c r="J115" i="87"/>
  <c r="J114" i="87"/>
  <c r="J113" i="87"/>
  <c r="J112" i="87"/>
  <c r="L111" i="87"/>
  <c r="L112" i="87" s="1"/>
  <c r="L113" i="87" s="1"/>
  <c r="L114" i="87" s="1"/>
  <c r="L115" i="87" s="1"/>
  <c r="L116" i="87" s="1"/>
  <c r="L117" i="87" s="1"/>
  <c r="L118" i="87" s="1"/>
  <c r="L119" i="87" s="1"/>
  <c r="L120" i="87" s="1"/>
  <c r="L121" i="87" s="1"/>
  <c r="L122" i="87" s="1"/>
  <c r="J111" i="87"/>
  <c r="J110" i="87"/>
  <c r="J109" i="87"/>
  <c r="J108" i="87"/>
  <c r="J107" i="87"/>
  <c r="J106" i="87"/>
  <c r="J105" i="87"/>
  <c r="J104" i="87"/>
  <c r="J103" i="87"/>
  <c r="J102" i="87"/>
  <c r="J101" i="87"/>
  <c r="J100" i="87"/>
  <c r="J99" i="87"/>
  <c r="J98" i="87"/>
  <c r="L97" i="87"/>
  <c r="L98" i="87" s="1"/>
  <c r="L99" i="87" s="1"/>
  <c r="L100" i="87" s="1"/>
  <c r="L101" i="87" s="1"/>
  <c r="L102" i="87" s="1"/>
  <c r="L103" i="87" s="1"/>
  <c r="L104" i="87" s="1"/>
  <c r="L105" i="87" s="1"/>
  <c r="L106" i="87" s="1"/>
  <c r="L107" i="87" s="1"/>
  <c r="L108" i="87" s="1"/>
  <c r="L109" i="87" s="1"/>
  <c r="J97" i="87"/>
  <c r="J96" i="87"/>
  <c r="J95" i="87"/>
  <c r="J94" i="87"/>
  <c r="J93" i="87"/>
  <c r="J92" i="87"/>
  <c r="J91" i="87"/>
  <c r="J90" i="87"/>
  <c r="J89" i="87"/>
  <c r="J88" i="87"/>
  <c r="L87" i="87"/>
  <c r="L88" i="87" s="1"/>
  <c r="L89" i="87" s="1"/>
  <c r="L90" i="87" s="1"/>
  <c r="L91" i="87" s="1"/>
  <c r="L92" i="87" s="1"/>
  <c r="L93" i="87" s="1"/>
  <c r="L94" i="87" s="1"/>
  <c r="L95" i="87" s="1"/>
  <c r="J87" i="87"/>
  <c r="J86" i="87"/>
  <c r="J85" i="87"/>
  <c r="J84" i="87"/>
  <c r="J83" i="87"/>
  <c r="J82" i="87"/>
  <c r="J81" i="87"/>
  <c r="J80" i="87"/>
  <c r="J79" i="87"/>
  <c r="J78" i="87"/>
  <c r="J77" i="87"/>
  <c r="J76" i="87"/>
  <c r="J75" i="87"/>
  <c r="J74" i="87"/>
  <c r="L73" i="87"/>
  <c r="L74" i="87" s="1"/>
  <c r="L75" i="87" s="1"/>
  <c r="L76" i="87" s="1"/>
  <c r="L77" i="87" s="1"/>
  <c r="L78" i="87" s="1"/>
  <c r="L79" i="87" s="1"/>
  <c r="L80" i="87" s="1"/>
  <c r="L81" i="87" s="1"/>
  <c r="L82" i="87" s="1"/>
  <c r="L83" i="87" s="1"/>
  <c r="L84" i="87" s="1"/>
  <c r="L85" i="87" s="1"/>
  <c r="J73" i="87"/>
  <c r="J72" i="87"/>
  <c r="J71" i="87"/>
  <c r="J70" i="87"/>
  <c r="J69" i="87"/>
  <c r="J68" i="87"/>
  <c r="J67" i="87"/>
  <c r="J66" i="87"/>
  <c r="J65" i="87"/>
  <c r="J64" i="87"/>
  <c r="J63" i="87"/>
  <c r="J62" i="87"/>
  <c r="J61" i="87"/>
  <c r="J60" i="87"/>
  <c r="L59" i="87"/>
  <c r="L60" i="87" s="1"/>
  <c r="L61" i="87" s="1"/>
  <c r="L62" i="87" s="1"/>
  <c r="L63" i="87" s="1"/>
  <c r="L64" i="87" s="1"/>
  <c r="L65" i="87" s="1"/>
  <c r="L66" i="87" s="1"/>
  <c r="L67" i="87" s="1"/>
  <c r="L68" i="87" s="1"/>
  <c r="L69" i="87" s="1"/>
  <c r="L70" i="87" s="1"/>
  <c r="L71" i="87" s="1"/>
  <c r="J59" i="87"/>
  <c r="J58" i="87"/>
  <c r="L57" i="87"/>
  <c r="J57" i="87"/>
  <c r="L56" i="87"/>
  <c r="J56" i="87"/>
  <c r="L55" i="87"/>
  <c r="J55" i="87"/>
  <c r="L54" i="87"/>
  <c r="J54" i="87"/>
  <c r="L53" i="87"/>
  <c r="J53" i="87"/>
  <c r="L52" i="87"/>
  <c r="J52" i="87"/>
  <c r="L51" i="87"/>
  <c r="J51" i="87"/>
  <c r="L50" i="87"/>
  <c r="J50" i="87"/>
  <c r="L49" i="87"/>
  <c r="J49" i="87"/>
  <c r="L48" i="87"/>
  <c r="J48" i="87"/>
  <c r="L47" i="87"/>
  <c r="J47" i="87"/>
  <c r="L46" i="87"/>
  <c r="J46" i="87"/>
  <c r="L45" i="87"/>
  <c r="J45" i="87"/>
  <c r="J44" i="87"/>
  <c r="L43" i="87"/>
  <c r="J43" i="87"/>
  <c r="L42" i="87"/>
  <c r="J42" i="87"/>
  <c r="L41" i="87"/>
  <c r="J41" i="87"/>
  <c r="L40" i="87"/>
  <c r="J40" i="87"/>
  <c r="L39" i="87"/>
  <c r="J39" i="87"/>
  <c r="L38" i="87"/>
  <c r="J38" i="87"/>
  <c r="L37" i="87"/>
  <c r="J37" i="87"/>
  <c r="L36" i="87"/>
  <c r="J36" i="87"/>
  <c r="L35" i="87"/>
  <c r="J35" i="87"/>
  <c r="L34" i="87"/>
  <c r="J34" i="87"/>
  <c r="L33" i="87"/>
  <c r="J33" i="87"/>
  <c r="L32" i="87"/>
  <c r="J32" i="87"/>
  <c r="L31" i="87"/>
  <c r="J31" i="87"/>
  <c r="J30" i="87"/>
  <c r="L29" i="87"/>
  <c r="J29" i="87"/>
  <c r="L28" i="87"/>
  <c r="J28" i="87"/>
  <c r="L27" i="87"/>
  <c r="J27" i="87"/>
  <c r="L26" i="87"/>
  <c r="J26" i="87"/>
  <c r="L25" i="87"/>
  <c r="J25" i="87"/>
  <c r="L24" i="87"/>
  <c r="J24" i="87"/>
  <c r="L23" i="87"/>
  <c r="J23" i="87"/>
  <c r="L22" i="87"/>
  <c r="J22" i="87"/>
  <c r="L21" i="87"/>
  <c r="J21" i="87"/>
  <c r="L20" i="87"/>
  <c r="J20" i="87"/>
  <c r="L19" i="87"/>
  <c r="J19" i="87"/>
  <c r="L18" i="87"/>
  <c r="J18" i="87"/>
  <c r="L17" i="87"/>
  <c r="J17" i="87"/>
  <c r="J16" i="87"/>
  <c r="L15" i="87"/>
  <c r="J15" i="87"/>
  <c r="L14" i="87"/>
  <c r="J14" i="87"/>
  <c r="L13" i="87"/>
  <c r="J13" i="87"/>
  <c r="L12" i="87"/>
  <c r="J12" i="87"/>
  <c r="L11" i="87"/>
  <c r="J11" i="87"/>
  <c r="L10" i="87"/>
  <c r="J10" i="87"/>
  <c r="L9" i="87"/>
  <c r="J9" i="87"/>
  <c r="L8" i="87"/>
  <c r="J8" i="87"/>
  <c r="L7" i="87"/>
  <c r="J7" i="87"/>
  <c r="L6" i="87"/>
  <c r="J6" i="87"/>
  <c r="L5" i="87"/>
  <c r="K5" i="87"/>
  <c r="K6" i="87" s="1"/>
  <c r="K7" i="87" s="1"/>
  <c r="K8" i="87" s="1"/>
  <c r="K9" i="87" s="1"/>
  <c r="K10" i="87" s="1"/>
  <c r="K11" i="87" s="1"/>
  <c r="K12" i="87" s="1"/>
  <c r="K13" i="87" s="1"/>
  <c r="K14" i="87" s="1"/>
  <c r="K15" i="87" s="1"/>
  <c r="K16" i="87" s="1"/>
  <c r="K17" i="87" s="1"/>
  <c r="K18" i="87" s="1"/>
  <c r="K19" i="87" s="1"/>
  <c r="K20" i="87" s="1"/>
  <c r="K21" i="87" s="1"/>
  <c r="K22" i="87" s="1"/>
  <c r="K23" i="87" s="1"/>
  <c r="K24" i="87" s="1"/>
  <c r="K25" i="87" s="1"/>
  <c r="K26" i="87" s="1"/>
  <c r="K27" i="87" s="1"/>
  <c r="K28" i="87" s="1"/>
  <c r="K29" i="87" s="1"/>
  <c r="K30" i="87" s="1"/>
  <c r="K31" i="87" s="1"/>
  <c r="K32" i="87" s="1"/>
  <c r="K33" i="87" s="1"/>
  <c r="K34" i="87" s="1"/>
  <c r="K35" i="87" s="1"/>
  <c r="K36" i="87" s="1"/>
  <c r="K37" i="87" s="1"/>
  <c r="K38" i="87" s="1"/>
  <c r="K39" i="87" s="1"/>
  <c r="K40" i="87" s="1"/>
  <c r="K41" i="87" s="1"/>
  <c r="K42" i="87" s="1"/>
  <c r="K43" i="87" s="1"/>
  <c r="K44" i="87" s="1"/>
  <c r="K45" i="87" s="1"/>
  <c r="K46" i="87" s="1"/>
  <c r="K47" i="87" s="1"/>
  <c r="K48" i="87" s="1"/>
  <c r="K49" i="87" s="1"/>
  <c r="K50" i="87" s="1"/>
  <c r="K51" i="87" s="1"/>
  <c r="K52" i="87" s="1"/>
  <c r="K53" i="87" s="1"/>
  <c r="K54" i="87" s="1"/>
  <c r="K55" i="87" s="1"/>
  <c r="K56" i="87" s="1"/>
  <c r="K57" i="87" s="1"/>
  <c r="K58" i="87" s="1"/>
  <c r="K59" i="87" s="1"/>
  <c r="K60" i="87" s="1"/>
  <c r="K61" i="87" s="1"/>
  <c r="K62" i="87" s="1"/>
  <c r="K63" i="87" s="1"/>
  <c r="K64" i="87" s="1"/>
  <c r="K65" i="87" s="1"/>
  <c r="K66" i="87" s="1"/>
  <c r="K67" i="87" s="1"/>
  <c r="K68" i="87" s="1"/>
  <c r="K69" i="87" s="1"/>
  <c r="K70" i="87" s="1"/>
  <c r="K71" i="87" s="1"/>
  <c r="K72" i="87" s="1"/>
  <c r="K73" i="87" s="1"/>
  <c r="K74" i="87" s="1"/>
  <c r="K75" i="87" s="1"/>
  <c r="K76" i="87" s="1"/>
  <c r="K77" i="87" s="1"/>
  <c r="K78" i="87" s="1"/>
  <c r="K79" i="87" s="1"/>
  <c r="K80" i="87" s="1"/>
  <c r="K81" i="87" s="1"/>
  <c r="K82" i="87" s="1"/>
  <c r="K83" i="87" s="1"/>
  <c r="K84" i="87" s="1"/>
  <c r="K85" i="87" s="1"/>
  <c r="K86" i="87" s="1"/>
  <c r="K87" i="87" s="1"/>
  <c r="K88" i="87" s="1"/>
  <c r="K89" i="87" s="1"/>
  <c r="K90" i="87" s="1"/>
  <c r="K91" i="87" s="1"/>
  <c r="K92" i="87" s="1"/>
  <c r="K93" i="87" s="1"/>
  <c r="K94" i="87" s="1"/>
  <c r="K95" i="87" s="1"/>
  <c r="K96" i="87" s="1"/>
  <c r="K97" i="87" s="1"/>
  <c r="K98" i="87" s="1"/>
  <c r="K99" i="87" s="1"/>
  <c r="K100" i="87" s="1"/>
  <c r="K101" i="87" s="1"/>
  <c r="K102" i="87" s="1"/>
  <c r="K103" i="87" s="1"/>
  <c r="K104" i="87" s="1"/>
  <c r="K105" i="87" s="1"/>
  <c r="K106" i="87" s="1"/>
  <c r="K107" i="87" s="1"/>
  <c r="K108" i="87" s="1"/>
  <c r="K109" i="87" s="1"/>
  <c r="K110" i="87" s="1"/>
  <c r="K111" i="87" s="1"/>
  <c r="K112" i="87" s="1"/>
  <c r="K113" i="87" s="1"/>
  <c r="K114" i="87" s="1"/>
  <c r="K115" i="87" s="1"/>
  <c r="K116" i="87" s="1"/>
  <c r="K117" i="87" s="1"/>
  <c r="K118" i="87" s="1"/>
  <c r="K119" i="87" s="1"/>
  <c r="K120" i="87" s="1"/>
  <c r="K121" i="87" s="1"/>
  <c r="K122" i="87" s="1"/>
  <c r="J5" i="87"/>
  <c r="I5" i="87"/>
  <c r="I6" i="87" s="1"/>
  <c r="I7" i="87" s="1"/>
  <c r="I8" i="87" s="1"/>
  <c r="I9" i="87" s="1"/>
  <c r="I10" i="87" s="1"/>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50" i="87" s="1"/>
  <c r="I51" i="87" s="1"/>
  <c r="I52" i="87" s="1"/>
  <c r="I53" i="87" s="1"/>
  <c r="I54" i="87" s="1"/>
  <c r="I55" i="87" s="1"/>
  <c r="I56" i="87" s="1"/>
  <c r="I57" i="87" s="1"/>
  <c r="I58" i="87" s="1"/>
  <c r="I59" i="87" s="1"/>
  <c r="I60" i="87" s="1"/>
  <c r="I61" i="87" s="1"/>
  <c r="I62" i="87" s="1"/>
  <c r="I63" i="87" s="1"/>
  <c r="I64" i="87" s="1"/>
  <c r="I65" i="87" s="1"/>
  <c r="I66" i="87" s="1"/>
  <c r="I67" i="87" s="1"/>
  <c r="I68" i="87" s="1"/>
  <c r="I69" i="87" s="1"/>
  <c r="I70" i="87" s="1"/>
  <c r="I71" i="87" s="1"/>
  <c r="I72" i="87" s="1"/>
  <c r="I73" i="87" s="1"/>
  <c r="I74" i="87" s="1"/>
  <c r="I75" i="87" s="1"/>
  <c r="I76" i="87" s="1"/>
  <c r="I77" i="87" s="1"/>
  <c r="I78" i="87" s="1"/>
  <c r="I79" i="87" s="1"/>
  <c r="I80" i="87" s="1"/>
  <c r="I81" i="87" s="1"/>
  <c r="I82" i="87" s="1"/>
  <c r="I83" i="87" s="1"/>
  <c r="I84" i="87" s="1"/>
  <c r="I85" i="87" s="1"/>
  <c r="I86" i="87" s="1"/>
  <c r="I87" i="87" s="1"/>
  <c r="I88" i="87" s="1"/>
  <c r="I89" i="87" s="1"/>
  <c r="I90" i="87" s="1"/>
  <c r="I91" i="87" s="1"/>
  <c r="I92" i="87" s="1"/>
  <c r="I93" i="87" s="1"/>
  <c r="I94" i="87" s="1"/>
  <c r="I95" i="87" s="1"/>
  <c r="I96" i="87" s="1"/>
  <c r="I97" i="87" s="1"/>
  <c r="I98" i="87" s="1"/>
  <c r="I99" i="87" s="1"/>
  <c r="I100" i="87" s="1"/>
  <c r="I101" i="87" s="1"/>
  <c r="I102" i="87" s="1"/>
  <c r="I103" i="87" s="1"/>
  <c r="I104" i="87" s="1"/>
  <c r="I105" i="87" s="1"/>
  <c r="I106" i="87" s="1"/>
  <c r="I107" i="87" s="1"/>
  <c r="I108" i="87" s="1"/>
  <c r="I109" i="87" s="1"/>
  <c r="I110" i="87" s="1"/>
  <c r="I111" i="87" s="1"/>
  <c r="I112" i="87" s="1"/>
  <c r="I113" i="87" s="1"/>
  <c r="I114" i="87" s="1"/>
  <c r="I115" i="87" s="1"/>
  <c r="I116" i="87" s="1"/>
  <c r="I117" i="87" s="1"/>
  <c r="I118" i="87" s="1"/>
  <c r="I119" i="87" s="1"/>
  <c r="I120" i="87" s="1"/>
  <c r="I121" i="87" s="1"/>
  <c r="I122" i="87" s="1"/>
  <c r="G229" i="86"/>
  <c r="F229" i="86"/>
  <c r="L228" i="86"/>
  <c r="K228" i="86"/>
  <c r="J228" i="86"/>
  <c r="L227" i="86"/>
  <c r="K227" i="86"/>
  <c r="J227" i="86"/>
  <c r="L226" i="86"/>
  <c r="K226" i="86"/>
  <c r="J226" i="86"/>
  <c r="L225" i="86"/>
  <c r="K225" i="86"/>
  <c r="J225" i="86"/>
  <c r="L224" i="86"/>
  <c r="K224" i="86"/>
  <c r="J224" i="86"/>
  <c r="L223" i="86"/>
  <c r="K223" i="86"/>
  <c r="J223" i="86"/>
  <c r="L222" i="86"/>
  <c r="K222" i="86"/>
  <c r="J222" i="86"/>
  <c r="L221" i="86"/>
  <c r="K221" i="86"/>
  <c r="J221" i="86"/>
  <c r="L220" i="86"/>
  <c r="K220" i="86"/>
  <c r="J220" i="86"/>
  <c r="L219" i="86"/>
  <c r="K219" i="86"/>
  <c r="J219" i="86"/>
  <c r="L218" i="86"/>
  <c r="K218" i="86"/>
  <c r="J218" i="86"/>
  <c r="K217" i="86"/>
  <c r="J217" i="86"/>
  <c r="L216" i="86"/>
  <c r="K216" i="86"/>
  <c r="J216" i="86"/>
  <c r="L215" i="86"/>
  <c r="K215" i="86"/>
  <c r="J215" i="86"/>
  <c r="L214" i="86"/>
  <c r="K214" i="86"/>
  <c r="J214" i="86"/>
  <c r="L213" i="86"/>
  <c r="K213" i="86"/>
  <c r="J213" i="86"/>
  <c r="L212" i="86"/>
  <c r="K212" i="86"/>
  <c r="J212" i="86"/>
  <c r="L211" i="86"/>
  <c r="K211" i="86"/>
  <c r="J211" i="86"/>
  <c r="L210" i="86"/>
  <c r="K210" i="86"/>
  <c r="J210" i="86"/>
  <c r="L209" i="86"/>
  <c r="K209" i="86"/>
  <c r="J209" i="86"/>
  <c r="L208" i="86"/>
  <c r="K208" i="86"/>
  <c r="J208" i="86"/>
  <c r="L207" i="86"/>
  <c r="K207" i="86"/>
  <c r="J207" i="86"/>
  <c r="L206" i="86"/>
  <c r="K206" i="86"/>
  <c r="J206" i="86"/>
  <c r="L205" i="86"/>
  <c r="K205" i="86"/>
  <c r="J205" i="86"/>
  <c r="L204" i="86"/>
  <c r="K204" i="86"/>
  <c r="J204" i="86"/>
  <c r="L203" i="86"/>
  <c r="K203" i="86"/>
  <c r="J203" i="86"/>
  <c r="L202" i="86"/>
  <c r="K202" i="86"/>
  <c r="J202" i="86"/>
  <c r="L201" i="86"/>
  <c r="K201" i="86"/>
  <c r="J201" i="86"/>
  <c r="L200" i="86"/>
  <c r="K200" i="86"/>
  <c r="J200" i="86"/>
  <c r="L199" i="86"/>
  <c r="K199" i="86"/>
  <c r="J199" i="86"/>
  <c r="L198" i="86"/>
  <c r="K198" i="86"/>
  <c r="J198" i="86"/>
  <c r="L197" i="86"/>
  <c r="K197" i="86"/>
  <c r="J197" i="86"/>
  <c r="L196" i="86"/>
  <c r="K196" i="86"/>
  <c r="J196" i="86"/>
  <c r="L195" i="86"/>
  <c r="K195" i="86"/>
  <c r="J195" i="86"/>
  <c r="K194" i="86"/>
  <c r="J194" i="86"/>
  <c r="L193" i="86"/>
  <c r="K193" i="86"/>
  <c r="J193" i="86"/>
  <c r="L192" i="86"/>
  <c r="K192" i="86"/>
  <c r="J192" i="86"/>
  <c r="L191" i="86"/>
  <c r="K191" i="86"/>
  <c r="J191" i="86"/>
  <c r="L190" i="86"/>
  <c r="K190" i="86"/>
  <c r="J190" i="86"/>
  <c r="L189" i="86"/>
  <c r="K189" i="86"/>
  <c r="J189" i="86"/>
  <c r="L188" i="86"/>
  <c r="K188" i="86"/>
  <c r="J188" i="86"/>
  <c r="L187" i="86"/>
  <c r="K187" i="86"/>
  <c r="J187" i="86"/>
  <c r="L186" i="86"/>
  <c r="K186" i="86"/>
  <c r="J186" i="86"/>
  <c r="L185" i="86"/>
  <c r="K185" i="86"/>
  <c r="J185" i="86"/>
  <c r="L184" i="86"/>
  <c r="K184" i="86"/>
  <c r="J184" i="86"/>
  <c r="L183" i="86"/>
  <c r="K183" i="86"/>
  <c r="J183" i="86"/>
  <c r="L182" i="86"/>
  <c r="K182" i="86"/>
  <c r="J182" i="86"/>
  <c r="L181" i="86"/>
  <c r="K181" i="86"/>
  <c r="J181" i="86"/>
  <c r="L180" i="86"/>
  <c r="K180" i="86"/>
  <c r="J180" i="86"/>
  <c r="L179" i="86"/>
  <c r="K179" i="86"/>
  <c r="J179" i="86"/>
  <c r="L178" i="86"/>
  <c r="K178" i="86"/>
  <c r="J178" i="86"/>
  <c r="L177" i="86"/>
  <c r="K177" i="86"/>
  <c r="J177" i="86"/>
  <c r="L176" i="86"/>
  <c r="K176" i="86"/>
  <c r="J176" i="86"/>
  <c r="L175" i="86"/>
  <c r="K175" i="86"/>
  <c r="J175" i="86"/>
  <c r="L174" i="86"/>
  <c r="K174" i="86"/>
  <c r="J174" i="86"/>
  <c r="L173" i="86"/>
  <c r="K173" i="86"/>
  <c r="J173" i="86"/>
  <c r="L172" i="86"/>
  <c r="K172" i="86"/>
  <c r="J172" i="86"/>
  <c r="K171" i="86"/>
  <c r="J171" i="86"/>
  <c r="L170" i="86"/>
  <c r="K170" i="86"/>
  <c r="J170" i="86"/>
  <c r="L169" i="86"/>
  <c r="K169" i="86"/>
  <c r="J169" i="86"/>
  <c r="L168" i="86"/>
  <c r="K168" i="86"/>
  <c r="J168" i="86"/>
  <c r="L167" i="86"/>
  <c r="K167" i="86"/>
  <c r="J167" i="86"/>
  <c r="L166" i="86"/>
  <c r="K166" i="86"/>
  <c r="J166" i="86"/>
  <c r="L165" i="86"/>
  <c r="K165" i="86"/>
  <c r="J165" i="86"/>
  <c r="L164" i="86"/>
  <c r="K164" i="86"/>
  <c r="J164" i="86"/>
  <c r="L163" i="86"/>
  <c r="K163" i="86"/>
  <c r="J163" i="86"/>
  <c r="L162" i="86"/>
  <c r="K162" i="86"/>
  <c r="J162" i="86"/>
  <c r="L161" i="86"/>
  <c r="K161" i="86"/>
  <c r="J161" i="86"/>
  <c r="L160" i="86"/>
  <c r="K160" i="86"/>
  <c r="J160" i="86"/>
  <c r="L159" i="86"/>
  <c r="K159" i="86"/>
  <c r="J159" i="86"/>
  <c r="L158" i="86"/>
  <c r="K158" i="86"/>
  <c r="J158" i="86"/>
  <c r="L157" i="86"/>
  <c r="K157" i="86"/>
  <c r="J157" i="86"/>
  <c r="L156" i="86"/>
  <c r="K156" i="86"/>
  <c r="J156" i="86"/>
  <c r="L155" i="86"/>
  <c r="K155" i="86"/>
  <c r="J155" i="86"/>
  <c r="L154" i="86"/>
  <c r="K154" i="86"/>
  <c r="J154" i="86"/>
  <c r="L153" i="86"/>
  <c r="K153" i="86"/>
  <c r="J153" i="86"/>
  <c r="L152" i="86"/>
  <c r="K152" i="86"/>
  <c r="J152" i="86"/>
  <c r="L151" i="86"/>
  <c r="K151" i="86"/>
  <c r="J151" i="86"/>
  <c r="K150" i="86"/>
  <c r="J150" i="86"/>
  <c r="L149" i="86"/>
  <c r="K149" i="86"/>
  <c r="J149" i="86"/>
  <c r="L148" i="86"/>
  <c r="K148" i="86"/>
  <c r="J148" i="86"/>
  <c r="L147" i="86"/>
  <c r="K147" i="86"/>
  <c r="J147" i="86"/>
  <c r="L146" i="86"/>
  <c r="K146" i="86"/>
  <c r="J146" i="86"/>
  <c r="L145" i="86"/>
  <c r="K145" i="86"/>
  <c r="J145" i="86"/>
  <c r="L144" i="86"/>
  <c r="K144" i="86"/>
  <c r="J144" i="86"/>
  <c r="L143" i="86"/>
  <c r="K143" i="86"/>
  <c r="J143" i="86"/>
  <c r="L142" i="86"/>
  <c r="K142" i="86"/>
  <c r="J142" i="86"/>
  <c r="L141" i="86"/>
  <c r="K141" i="86"/>
  <c r="J141" i="86"/>
  <c r="L140" i="86"/>
  <c r="K140" i="86"/>
  <c r="J140" i="86"/>
  <c r="L139" i="86"/>
  <c r="K139" i="86"/>
  <c r="J139" i="86"/>
  <c r="L138" i="86"/>
  <c r="K138" i="86"/>
  <c r="J138" i="86"/>
  <c r="L137" i="86"/>
  <c r="K137" i="86"/>
  <c r="J137" i="86"/>
  <c r="L136" i="86"/>
  <c r="K136" i="86"/>
  <c r="J136" i="86"/>
  <c r="L135" i="86"/>
  <c r="K135" i="86"/>
  <c r="J135" i="86"/>
  <c r="L134" i="86"/>
  <c r="K134" i="86"/>
  <c r="J134" i="86"/>
  <c r="L133" i="86"/>
  <c r="K133" i="86"/>
  <c r="J133" i="86"/>
  <c r="L132" i="86"/>
  <c r="K132" i="86"/>
  <c r="J132" i="86"/>
  <c r="L131" i="86"/>
  <c r="K131" i="86"/>
  <c r="J131" i="86"/>
  <c r="L130" i="86"/>
  <c r="K130" i="86"/>
  <c r="J130" i="86"/>
  <c r="K129" i="86"/>
  <c r="J129" i="86"/>
  <c r="L128" i="86"/>
  <c r="K128" i="86"/>
  <c r="J128" i="86"/>
  <c r="L127" i="86"/>
  <c r="K127" i="86"/>
  <c r="J127" i="86"/>
  <c r="L126" i="86"/>
  <c r="K126" i="86"/>
  <c r="J126" i="86"/>
  <c r="L125" i="86"/>
  <c r="K125" i="86"/>
  <c r="J125" i="86"/>
  <c r="L124" i="86"/>
  <c r="K124" i="86"/>
  <c r="J124" i="86"/>
  <c r="L123" i="86"/>
  <c r="K123" i="86"/>
  <c r="J123" i="86"/>
  <c r="L122" i="86"/>
  <c r="K122" i="86"/>
  <c r="J122" i="86"/>
  <c r="L121" i="86"/>
  <c r="K121" i="86"/>
  <c r="J121" i="86"/>
  <c r="L120" i="86"/>
  <c r="K120" i="86"/>
  <c r="J120" i="86"/>
  <c r="L119" i="86"/>
  <c r="K119" i="86"/>
  <c r="J119" i="86"/>
  <c r="L118" i="86"/>
  <c r="K118" i="86"/>
  <c r="J118" i="86"/>
  <c r="L117" i="86"/>
  <c r="K117" i="86"/>
  <c r="J117" i="86"/>
  <c r="L116" i="86"/>
  <c r="K116" i="86"/>
  <c r="J116" i="86"/>
  <c r="L115" i="86"/>
  <c r="K115" i="86"/>
  <c r="J115" i="86"/>
  <c r="L114" i="86"/>
  <c r="K114" i="86"/>
  <c r="J114" i="86"/>
  <c r="L113" i="86"/>
  <c r="K113" i="86"/>
  <c r="J113" i="86"/>
  <c r="L112" i="86"/>
  <c r="K112" i="86"/>
  <c r="J112" i="86"/>
  <c r="L111" i="86"/>
  <c r="K111" i="86"/>
  <c r="J111" i="86"/>
  <c r="L110" i="86"/>
  <c r="K110" i="86"/>
  <c r="J110" i="86"/>
  <c r="L109" i="86"/>
  <c r="K109" i="86"/>
  <c r="J109" i="86"/>
  <c r="K108" i="86"/>
  <c r="J108" i="86"/>
  <c r="L107" i="86"/>
  <c r="K107" i="86"/>
  <c r="J107" i="86"/>
  <c r="L106" i="86"/>
  <c r="K106" i="86"/>
  <c r="J106" i="86"/>
  <c r="L105" i="86"/>
  <c r="K105" i="86"/>
  <c r="J105" i="86"/>
  <c r="L104" i="86"/>
  <c r="K104" i="86"/>
  <c r="J104" i="86"/>
  <c r="L103" i="86"/>
  <c r="K103" i="86"/>
  <c r="J103" i="86"/>
  <c r="L102" i="86"/>
  <c r="K102" i="86"/>
  <c r="J102" i="86"/>
  <c r="L101" i="86"/>
  <c r="K101" i="86"/>
  <c r="J101" i="86"/>
  <c r="L100" i="86"/>
  <c r="K100" i="86"/>
  <c r="J100" i="86"/>
  <c r="L99" i="86"/>
  <c r="K99" i="86"/>
  <c r="J99" i="86"/>
  <c r="L98" i="86"/>
  <c r="K98" i="86"/>
  <c r="J98" i="86"/>
  <c r="L97" i="86"/>
  <c r="K97" i="86"/>
  <c r="J97" i="86"/>
  <c r="L96" i="86"/>
  <c r="K96" i="86"/>
  <c r="J96" i="86"/>
  <c r="L95" i="86"/>
  <c r="K95" i="86"/>
  <c r="J95" i="86"/>
  <c r="L94" i="86"/>
  <c r="K94" i="86"/>
  <c r="J94" i="86"/>
  <c r="L93" i="86"/>
  <c r="K93" i="86"/>
  <c r="J93" i="86"/>
  <c r="L92" i="86"/>
  <c r="K92" i="86"/>
  <c r="J92" i="86"/>
  <c r="L91" i="86"/>
  <c r="K91" i="86"/>
  <c r="J91" i="86"/>
  <c r="L90" i="86"/>
  <c r="K90" i="86"/>
  <c r="J90" i="86"/>
  <c r="L89" i="86"/>
  <c r="K89" i="86"/>
  <c r="J89" i="86"/>
  <c r="L88" i="86"/>
  <c r="K88" i="86"/>
  <c r="J88" i="86"/>
  <c r="K87" i="86"/>
  <c r="J87" i="86"/>
  <c r="L86" i="86"/>
  <c r="K86" i="86"/>
  <c r="J86" i="86"/>
  <c r="L85" i="86"/>
  <c r="K85" i="86"/>
  <c r="J85" i="86"/>
  <c r="L84" i="86"/>
  <c r="K84" i="86"/>
  <c r="J84" i="86"/>
  <c r="L83" i="86"/>
  <c r="K83" i="86"/>
  <c r="J83" i="86"/>
  <c r="L82" i="86"/>
  <c r="K82" i="86"/>
  <c r="J82" i="86"/>
  <c r="L81" i="86"/>
  <c r="K81" i="86"/>
  <c r="J81" i="86"/>
  <c r="L80" i="86"/>
  <c r="K80" i="86"/>
  <c r="J80" i="86"/>
  <c r="L79" i="86"/>
  <c r="K79" i="86"/>
  <c r="J79" i="86"/>
  <c r="L78" i="86"/>
  <c r="K78" i="86"/>
  <c r="J78" i="86"/>
  <c r="L77" i="86"/>
  <c r="K77" i="86"/>
  <c r="J77" i="86"/>
  <c r="L76" i="86"/>
  <c r="K76" i="86"/>
  <c r="J76" i="86"/>
  <c r="L75" i="86"/>
  <c r="K75" i="86"/>
  <c r="J75" i="86"/>
  <c r="L74" i="86"/>
  <c r="K74" i="86"/>
  <c r="J74" i="86"/>
  <c r="L73" i="86"/>
  <c r="K73" i="86"/>
  <c r="J73" i="86"/>
  <c r="L72" i="86"/>
  <c r="K72" i="86"/>
  <c r="J72" i="86"/>
  <c r="L71" i="86"/>
  <c r="K71" i="86"/>
  <c r="J71" i="86"/>
  <c r="L70" i="86"/>
  <c r="K70" i="86"/>
  <c r="J70" i="86"/>
  <c r="L69" i="86"/>
  <c r="K69" i="86"/>
  <c r="J69" i="86"/>
  <c r="L68" i="86"/>
  <c r="K68" i="86"/>
  <c r="J68" i="86"/>
  <c r="L67" i="86"/>
  <c r="K67" i="86"/>
  <c r="J67" i="86"/>
  <c r="L66" i="86"/>
  <c r="K66" i="86"/>
  <c r="J66" i="86"/>
  <c r="K65" i="86"/>
  <c r="J65" i="86"/>
  <c r="L64" i="86"/>
  <c r="K64" i="86"/>
  <c r="J64" i="86"/>
  <c r="L63" i="86"/>
  <c r="K63" i="86"/>
  <c r="J63" i="86"/>
  <c r="L62" i="86"/>
  <c r="K62" i="86"/>
  <c r="J62" i="86"/>
  <c r="L61" i="86"/>
  <c r="K61" i="86"/>
  <c r="J61" i="86"/>
  <c r="L60" i="86"/>
  <c r="K60" i="86"/>
  <c r="J60" i="86"/>
  <c r="L59" i="86"/>
  <c r="K59" i="86"/>
  <c r="J59" i="86"/>
  <c r="L58" i="86"/>
  <c r="K58" i="86"/>
  <c r="J58" i="86"/>
  <c r="L57" i="86"/>
  <c r="K57" i="86"/>
  <c r="J57" i="86"/>
  <c r="L56" i="86"/>
  <c r="K56" i="86"/>
  <c r="J56" i="86"/>
  <c r="L55" i="86"/>
  <c r="K55" i="86"/>
  <c r="J55" i="86"/>
  <c r="L54" i="86"/>
  <c r="K54" i="86"/>
  <c r="J54" i="86"/>
  <c r="L53" i="86"/>
  <c r="K53" i="86"/>
  <c r="J53" i="86"/>
  <c r="L52" i="86"/>
  <c r="K52" i="86"/>
  <c r="J52" i="86"/>
  <c r="L51" i="86"/>
  <c r="K51" i="86"/>
  <c r="J51" i="86"/>
  <c r="L50" i="86"/>
  <c r="K50" i="86"/>
  <c r="J50" i="86"/>
  <c r="L49" i="86"/>
  <c r="K49" i="86"/>
  <c r="J49" i="86"/>
  <c r="L48" i="86"/>
  <c r="K48" i="86"/>
  <c r="J48" i="86"/>
  <c r="L47" i="86"/>
  <c r="K47" i="86"/>
  <c r="J47" i="86"/>
  <c r="L46" i="86"/>
  <c r="K46" i="86"/>
  <c r="J46" i="86"/>
  <c r="L45" i="86"/>
  <c r="K45" i="86"/>
  <c r="J45" i="86"/>
  <c r="L44" i="86"/>
  <c r="K44" i="86"/>
  <c r="J44" i="86"/>
  <c r="K43" i="86"/>
  <c r="J43" i="86"/>
  <c r="L42" i="86"/>
  <c r="K42" i="86"/>
  <c r="J42" i="86"/>
  <c r="L41" i="86"/>
  <c r="K41" i="86"/>
  <c r="J41" i="86"/>
  <c r="L40" i="86"/>
  <c r="K40" i="86"/>
  <c r="J40" i="86"/>
  <c r="L39" i="86"/>
  <c r="K39" i="86"/>
  <c r="J39" i="86"/>
  <c r="L38" i="86"/>
  <c r="K38" i="86"/>
  <c r="J38" i="86"/>
  <c r="L37" i="86"/>
  <c r="K37" i="86"/>
  <c r="J37" i="86"/>
  <c r="L36" i="86"/>
  <c r="K36" i="86"/>
  <c r="J36" i="86"/>
  <c r="L35" i="86"/>
  <c r="K35" i="86"/>
  <c r="J35" i="86"/>
  <c r="L34" i="86"/>
  <c r="K34" i="86"/>
  <c r="J34" i="86"/>
  <c r="L33" i="86"/>
  <c r="K33" i="86"/>
  <c r="J33" i="86"/>
  <c r="L32" i="86"/>
  <c r="K32" i="86"/>
  <c r="J32" i="86"/>
  <c r="L31" i="86"/>
  <c r="K31" i="86"/>
  <c r="J31" i="86"/>
  <c r="L30" i="86"/>
  <c r="K30" i="86"/>
  <c r="J30" i="86"/>
  <c r="L29" i="86"/>
  <c r="K29" i="86"/>
  <c r="J29" i="86"/>
  <c r="L28" i="86"/>
  <c r="K28" i="86"/>
  <c r="J28" i="86"/>
  <c r="L27" i="86"/>
  <c r="K27" i="86"/>
  <c r="J27" i="86"/>
  <c r="L26" i="86"/>
  <c r="K26" i="86"/>
  <c r="J26" i="86"/>
  <c r="L25" i="86"/>
  <c r="K25" i="86"/>
  <c r="J25" i="86"/>
  <c r="L24" i="86"/>
  <c r="K24" i="86"/>
  <c r="J24" i="86"/>
  <c r="L23" i="86"/>
  <c r="K23" i="86"/>
  <c r="J23" i="86"/>
  <c r="L22" i="86"/>
  <c r="K22" i="86"/>
  <c r="J22" i="86"/>
  <c r="K21" i="86"/>
  <c r="J21" i="86"/>
  <c r="L20" i="86"/>
  <c r="K20" i="86"/>
  <c r="J20" i="86"/>
  <c r="L19" i="86"/>
  <c r="K19" i="86"/>
  <c r="J19" i="86"/>
  <c r="L18" i="86"/>
  <c r="K18" i="86"/>
  <c r="J18" i="86"/>
  <c r="L17" i="86"/>
  <c r="K17" i="86"/>
  <c r="J17" i="86"/>
  <c r="L16" i="86"/>
  <c r="K16" i="86"/>
  <c r="J16" i="86"/>
  <c r="L15" i="86"/>
  <c r="K15" i="86"/>
  <c r="J15" i="86"/>
  <c r="L14" i="86"/>
  <c r="K14" i="86"/>
  <c r="J14" i="86"/>
  <c r="L13" i="86"/>
  <c r="K13" i="86"/>
  <c r="J13" i="86"/>
  <c r="L12" i="86"/>
  <c r="K12" i="86"/>
  <c r="J12" i="86"/>
  <c r="L11" i="86"/>
  <c r="K11" i="86"/>
  <c r="J11" i="86"/>
  <c r="L10" i="86"/>
  <c r="K10" i="86"/>
  <c r="J10" i="86"/>
  <c r="L9" i="86"/>
  <c r="K9" i="86"/>
  <c r="J9" i="86"/>
  <c r="L8" i="86"/>
  <c r="K8" i="86"/>
  <c r="J8" i="86"/>
  <c r="L7" i="86"/>
  <c r="K7" i="86"/>
  <c r="J7" i="86"/>
  <c r="L6" i="86"/>
  <c r="K6" i="86"/>
  <c r="J6" i="86"/>
  <c r="L5" i="86"/>
  <c r="K5" i="86"/>
  <c r="J5" i="86"/>
  <c r="N4" i="88" l="1"/>
  <c r="O4" i="88" s="1"/>
  <c r="N6" i="88"/>
  <c r="O6" i="88" s="1"/>
  <c r="N8" i="88"/>
  <c r="O8" i="88" s="1"/>
  <c r="N10" i="88"/>
  <c r="O10" i="88" s="1"/>
  <c r="N12" i="88"/>
  <c r="O12" i="88" s="1"/>
  <c r="N14" i="88"/>
  <c r="O14" i="88" s="1"/>
  <c r="N16" i="88"/>
  <c r="O16" i="88" s="1"/>
  <c r="N18" i="88"/>
  <c r="O18" i="88" s="1"/>
  <c r="N20" i="88"/>
  <c r="O20" i="88" s="1"/>
  <c r="N22" i="88"/>
  <c r="O22" i="88" s="1"/>
  <c r="N24" i="88"/>
  <c r="O24" i="88" s="1"/>
  <c r="N26" i="88"/>
  <c r="O26" i="88" s="1"/>
  <c r="N28" i="88"/>
  <c r="O28" i="88" s="1"/>
  <c r="N30" i="88"/>
  <c r="O30" i="88" s="1"/>
  <c r="N32" i="88"/>
  <c r="O32" i="88" s="1"/>
  <c r="N34" i="88"/>
  <c r="O34" i="88" s="1"/>
  <c r="N36" i="88"/>
  <c r="O36" i="88" s="1"/>
  <c r="N38" i="88"/>
  <c r="O38" i="88" s="1"/>
  <c r="N40" i="88"/>
  <c r="O40" i="88" s="1"/>
  <c r="N42" i="88"/>
  <c r="O42" i="88" s="1"/>
  <c r="N44" i="88"/>
  <c r="O44" i="88" s="1"/>
  <c r="N46" i="88"/>
  <c r="O46" i="88" s="1"/>
  <c r="N48" i="88"/>
  <c r="O48" i="88" s="1"/>
  <c r="N50" i="88"/>
  <c r="O50" i="88" s="1"/>
  <c r="N52" i="88"/>
  <c r="O52" i="88" s="1"/>
  <c r="N54" i="88"/>
  <c r="O54" i="88" s="1"/>
  <c r="N56" i="88"/>
  <c r="O56" i="88" s="1"/>
  <c r="N58" i="88"/>
  <c r="O58" i="88" s="1"/>
  <c r="N60" i="88"/>
  <c r="O60" i="88" s="1"/>
  <c r="N62" i="88"/>
  <c r="O62" i="88" s="1"/>
  <c r="N64" i="88"/>
  <c r="O64" i="88" s="1"/>
  <c r="N66" i="88"/>
  <c r="O66" i="88" s="1"/>
  <c r="N68" i="88"/>
  <c r="O68" i="88" s="1"/>
  <c r="N70" i="88"/>
  <c r="O70" i="88" s="1"/>
  <c r="N72" i="88"/>
  <c r="O72" i="88" s="1"/>
  <c r="N74" i="88"/>
  <c r="O74" i="88" s="1"/>
  <c r="N76" i="88"/>
  <c r="O76" i="88" s="1"/>
  <c r="N78" i="88"/>
  <c r="O78" i="88" s="1"/>
  <c r="N80" i="88"/>
  <c r="O80" i="88" s="1"/>
  <c r="N82" i="88"/>
  <c r="O82" i="88" s="1"/>
  <c r="N84" i="88"/>
  <c r="O84" i="88" s="1"/>
  <c r="N86" i="88"/>
  <c r="O86" i="88" s="1"/>
  <c r="N88" i="88"/>
  <c r="O88" i="88" s="1"/>
  <c r="N90" i="88"/>
  <c r="O90" i="88" s="1"/>
  <c r="N92" i="88"/>
  <c r="O92" i="88" s="1"/>
  <c r="N94" i="88"/>
  <c r="O94" i="88" s="1"/>
  <c r="N96" i="88"/>
  <c r="O96" i="88" s="1"/>
  <c r="N98" i="88"/>
  <c r="O98" i="88" s="1"/>
  <c r="N100" i="88"/>
  <c r="O100" i="88" s="1"/>
  <c r="N102" i="88"/>
  <c r="O102" i="88" s="1"/>
  <c r="N104" i="88"/>
  <c r="O104" i="88" s="1"/>
  <c r="N106" i="88"/>
  <c r="O106" i="88" s="1"/>
  <c r="N108" i="88"/>
  <c r="O108" i="88" s="1"/>
  <c r="N110" i="88"/>
  <c r="O110" i="88" s="1"/>
  <c r="N112" i="88"/>
  <c r="O112" i="88" s="1"/>
  <c r="N114" i="88"/>
  <c r="O114" i="88" s="1"/>
  <c r="N116" i="88"/>
  <c r="O116" i="88" s="1"/>
  <c r="N118" i="88"/>
  <c r="O118" i="88" s="1"/>
  <c r="N120" i="88"/>
  <c r="O120" i="88" s="1"/>
  <c r="N122" i="88"/>
  <c r="O122" i="88" s="1"/>
  <c r="N124" i="88"/>
  <c r="O124" i="88" s="1"/>
  <c r="N126" i="88"/>
  <c r="O126" i="88" s="1"/>
  <c r="N5" i="88"/>
  <c r="O5" i="88" s="1"/>
  <c r="N7" i="88"/>
  <c r="O7" i="88" s="1"/>
  <c r="N9" i="88"/>
  <c r="O9" i="88" s="1"/>
  <c r="N11" i="88"/>
  <c r="O11" i="88" s="1"/>
  <c r="N13" i="88"/>
  <c r="O13" i="88" s="1"/>
  <c r="N15" i="88"/>
  <c r="O15" i="88" s="1"/>
  <c r="N17" i="88"/>
  <c r="O17" i="88" s="1"/>
  <c r="N19" i="88"/>
  <c r="O19" i="88" s="1"/>
  <c r="N21" i="88"/>
  <c r="O21" i="88" s="1"/>
  <c r="N23" i="88"/>
  <c r="O23" i="88" s="1"/>
  <c r="N25" i="88"/>
  <c r="O25" i="88" s="1"/>
  <c r="N27" i="88"/>
  <c r="O27" i="88" s="1"/>
  <c r="N29" i="88"/>
  <c r="O29" i="88" s="1"/>
  <c r="N31" i="88"/>
  <c r="O31" i="88" s="1"/>
  <c r="N33" i="88"/>
  <c r="O33" i="88" s="1"/>
  <c r="N35" i="88"/>
  <c r="O35" i="88" s="1"/>
  <c r="N37" i="88"/>
  <c r="O37" i="88" s="1"/>
  <c r="N39" i="88"/>
  <c r="O39" i="88" s="1"/>
  <c r="N41" i="88"/>
  <c r="O41" i="88" s="1"/>
  <c r="N43" i="88"/>
  <c r="O43" i="88" s="1"/>
  <c r="N45" i="88"/>
  <c r="O45" i="88" s="1"/>
  <c r="N47" i="88"/>
  <c r="O47" i="88" s="1"/>
  <c r="N49" i="88"/>
  <c r="O49" i="88" s="1"/>
  <c r="N51" i="88"/>
  <c r="O51" i="88" s="1"/>
  <c r="N55" i="88"/>
  <c r="O55" i="88" s="1"/>
  <c r="N59" i="88"/>
  <c r="O59" i="88" s="1"/>
  <c r="N63" i="88"/>
  <c r="O63" i="88" s="1"/>
  <c r="N67" i="88"/>
  <c r="O67" i="88" s="1"/>
  <c r="N71" i="88"/>
  <c r="O71" i="88" s="1"/>
  <c r="N75" i="88"/>
  <c r="O75" i="88" s="1"/>
  <c r="N79" i="88"/>
  <c r="O79" i="88" s="1"/>
  <c r="N83" i="88"/>
  <c r="O83" i="88" s="1"/>
  <c r="N87" i="88"/>
  <c r="O87" i="88" s="1"/>
  <c r="N91" i="88"/>
  <c r="O91" i="88" s="1"/>
  <c r="N95" i="88"/>
  <c r="O95" i="88" s="1"/>
  <c r="N99" i="88"/>
  <c r="O99" i="88" s="1"/>
  <c r="N103" i="88"/>
  <c r="O103" i="88" s="1"/>
  <c r="N107" i="88"/>
  <c r="O107" i="88" s="1"/>
  <c r="N111" i="88"/>
  <c r="O111" i="88" s="1"/>
  <c r="N115" i="88"/>
  <c r="O115" i="88" s="1"/>
  <c r="N119" i="88"/>
  <c r="O119" i="88" s="1"/>
  <c r="N123" i="88"/>
  <c r="O123" i="88" s="1"/>
  <c r="N53" i="88"/>
  <c r="O53" i="88" s="1"/>
  <c r="N57" i="88"/>
  <c r="O57" i="88" s="1"/>
  <c r="N61" i="88"/>
  <c r="O61" i="88" s="1"/>
  <c r="N65" i="88"/>
  <c r="O65" i="88" s="1"/>
  <c r="N69" i="88"/>
  <c r="O69" i="88" s="1"/>
  <c r="N73" i="88"/>
  <c r="O73" i="88" s="1"/>
  <c r="N77" i="88"/>
  <c r="O77" i="88" s="1"/>
  <c r="N81" i="88"/>
  <c r="O81" i="88" s="1"/>
  <c r="N85" i="88"/>
  <c r="O85" i="88" s="1"/>
  <c r="N89" i="88"/>
  <c r="O89" i="88" s="1"/>
  <c r="N93" i="88"/>
  <c r="O93" i="88" s="1"/>
  <c r="N97" i="88"/>
  <c r="O97" i="88" s="1"/>
  <c r="N101" i="88"/>
  <c r="O101" i="88" s="1"/>
  <c r="N105" i="88"/>
  <c r="O105" i="88" s="1"/>
  <c r="N109" i="88"/>
  <c r="O109" i="88" s="1"/>
  <c r="N113" i="88"/>
  <c r="O113" i="88" s="1"/>
  <c r="N117" i="88"/>
  <c r="O117" i="88" s="1"/>
  <c r="N121" i="88"/>
  <c r="O121" i="88" s="1"/>
  <c r="N125" i="88"/>
  <c r="O125" i="88" s="1"/>
  <c r="O127" i="88" l="1"/>
  <c r="F235" i="86" s="1"/>
  <c r="H235" i="86" s="1"/>
  <c r="N127" i="88"/>
  <c r="J9" i="85" l="1"/>
  <c r="E235" i="86"/>
  <c r="F6" i="82"/>
  <c r="B9" i="82"/>
  <c r="F11" i="85" l="1"/>
  <c r="G11" i="85"/>
  <c r="I11" i="85" s="1"/>
  <c r="I9" i="85"/>
  <c r="I10" i="85"/>
  <c r="I8" i="85"/>
  <c r="F38" i="84" l="1"/>
  <c r="E37" i="84"/>
  <c r="F36" i="84"/>
  <c r="F35" i="84"/>
  <c r="F21" i="84"/>
  <c r="C40" i="84" s="1"/>
  <c r="F20" i="84"/>
  <c r="E10" i="84"/>
  <c r="E9" i="84"/>
  <c r="C8" i="84"/>
  <c r="F7" i="84"/>
  <c r="F38" i="83"/>
  <c r="E37" i="83"/>
  <c r="F36" i="83"/>
  <c r="F35" i="83"/>
  <c r="F21" i="83"/>
  <c r="C21" i="83" s="1"/>
  <c r="F20" i="83"/>
  <c r="E10" i="83"/>
  <c r="E9" i="83"/>
  <c r="C8" i="83"/>
  <c r="F7" i="83"/>
  <c r="G30" i="82"/>
  <c r="L9" i="82"/>
  <c r="L8" i="82"/>
  <c r="J8" i="82"/>
  <c r="F8" i="82" s="1"/>
  <c r="E7" i="82"/>
  <c r="J6" i="82"/>
  <c r="F3" i="82"/>
  <c r="C9" i="82"/>
  <c r="E2" i="83"/>
  <c r="E2" i="84"/>
  <c r="C21" i="84" l="1"/>
  <c r="C40" i="83"/>
  <c r="E9" i="82"/>
  <c r="D3" i="82"/>
  <c r="F7" i="82"/>
  <c r="F9" i="82" l="1"/>
  <c r="Q72" i="79"/>
  <c r="Q59" i="79"/>
  <c r="K59" i="79"/>
  <c r="P61" i="79" s="1"/>
  <c r="F59" i="79"/>
  <c r="Q58" i="79"/>
  <c r="Q51" i="79"/>
  <c r="J50" i="79"/>
  <c r="M47" i="79"/>
  <c r="D46" i="79"/>
  <c r="F33" i="79"/>
  <c r="F61" i="79" s="1"/>
  <c r="F31" i="79"/>
  <c r="F23" i="79"/>
  <c r="D24" i="79" s="1"/>
  <c r="D22" i="79"/>
  <c r="F21" i="79"/>
  <c r="F20" i="79"/>
  <c r="M19" i="79"/>
  <c r="F18" i="79"/>
  <c r="M17" i="79"/>
  <c r="F17" i="79"/>
  <c r="F15" i="79"/>
  <c r="D23" i="79" l="1"/>
  <c r="P74" i="79"/>
  <c r="N22" i="1" l="1"/>
  <c r="E38" i="39"/>
  <c r="I38" i="39"/>
  <c r="G38" i="39"/>
  <c r="M9" i="78"/>
  <c r="G9" i="78"/>
  <c r="M8" i="78"/>
  <c r="G8" i="78"/>
  <c r="M7" i="78"/>
  <c r="G7" i="78"/>
  <c r="M6" i="78"/>
  <c r="G6" i="78"/>
  <c r="M5" i="78"/>
  <c r="I46" i="39" s="1"/>
  <c r="G5" i="78"/>
  <c r="M4" i="78"/>
  <c r="G46" i="39" s="1"/>
  <c r="G4" i="78"/>
  <c r="M3" i="78"/>
  <c r="G3" i="78"/>
  <c r="M2" i="78"/>
  <c r="E46" i="39" s="1"/>
  <c r="G2" i="78"/>
  <c r="E23" i="78" l="1"/>
  <c r="D3" i="4" l="1"/>
  <c r="AD5" i="71" l="1"/>
  <c r="AH5" i="71"/>
  <c r="AG5" i="71"/>
  <c r="AE5" i="71"/>
  <c r="AF5" i="71" s="1"/>
  <c r="Q5" i="71"/>
  <c r="P5" i="71"/>
  <c r="O5" i="71"/>
  <c r="N5" i="71"/>
  <c r="G20" i="43" l="1"/>
  <c r="E41" i="43" s="1"/>
  <c r="C41" i="43" s="1"/>
  <c r="L3" i="71"/>
  <c r="AH3" i="71" s="1"/>
  <c r="K3" i="71"/>
  <c r="J3" i="71"/>
  <c r="AE3" i="71" s="1"/>
  <c r="I3" i="71"/>
  <c r="AH6" i="71"/>
  <c r="AG6" i="71"/>
  <c r="AE6" i="71"/>
  <c r="AF6" i="71" s="1"/>
  <c r="AD6" i="71"/>
  <c r="Q6" i="71"/>
  <c r="Q7" i="71"/>
  <c r="P6" i="71"/>
  <c r="P7" i="71"/>
  <c r="O6" i="71"/>
  <c r="O7" i="71"/>
  <c r="N6" i="71"/>
  <c r="N7" i="71"/>
  <c r="N8" i="71"/>
  <c r="AH7" i="71"/>
  <c r="AG7" i="71"/>
  <c r="AE7" i="71"/>
  <c r="AF7" i="71"/>
  <c r="AD7" i="71"/>
  <c r="Q8" i="71"/>
  <c r="P8" i="71"/>
  <c r="O8" i="71"/>
  <c r="M19" i="43"/>
  <c r="J53" i="67"/>
  <c r="D10" i="71"/>
  <c r="AH8" i="71"/>
  <c r="AG8" i="71"/>
  <c r="AE8" i="71"/>
  <c r="AF8" i="71" s="1"/>
  <c r="AD8" i="71"/>
  <c r="AD9" i="71"/>
  <c r="AG9" i="71"/>
  <c r="AH9" i="71"/>
  <c r="AE9" i="71"/>
  <c r="AF9" i="71" s="1"/>
  <c r="N9" i="71"/>
  <c r="Q9" i="71"/>
  <c r="P9" i="71"/>
  <c r="E9" i="71" s="1"/>
  <c r="O9" i="71"/>
  <c r="Q10" i="71"/>
  <c r="F9" i="71"/>
  <c r="P10" i="71"/>
  <c r="O10" i="71"/>
  <c r="N10" i="71"/>
  <c r="A2" i="53"/>
  <c r="K59" i="67"/>
  <c r="K59" i="15"/>
  <c r="P74" i="15" s="1"/>
  <c r="D116" i="39"/>
  <c r="E116" i="39"/>
  <c r="F116" i="39"/>
  <c r="G116" i="39"/>
  <c r="H116" i="39"/>
  <c r="I116" i="39"/>
  <c r="J116" i="39"/>
  <c r="K116" i="39"/>
  <c r="L116" i="39"/>
  <c r="M116" i="39"/>
  <c r="C116" i="39"/>
  <c r="A21" i="62"/>
  <c r="B67" i="72" s="1"/>
  <c r="A20" i="62"/>
  <c r="B66" i="72" s="1"/>
  <c r="A22" i="51"/>
  <c r="A21" i="51"/>
  <c r="B16" i="72" s="1"/>
  <c r="A20" i="51"/>
  <c r="A14" i="62"/>
  <c r="A13" i="62"/>
  <c r="B59" i="72" s="1"/>
  <c r="A19" i="62"/>
  <c r="A12" i="62"/>
  <c r="B58" i="72" s="1"/>
  <c r="A120" i="9"/>
  <c r="H2" i="52"/>
  <c r="A1" i="52"/>
  <c r="A3" i="53"/>
  <c r="Q11" i="71"/>
  <c r="P11" i="71"/>
  <c r="O11" i="71"/>
  <c r="N11" i="71"/>
  <c r="A15" i="51"/>
  <c r="C76" i="9"/>
  <c r="I107" i="40"/>
  <c r="K6" i="4"/>
  <c r="B22" i="31"/>
  <c r="N56" i="9"/>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B74" i="72"/>
  <c r="Y12" i="43"/>
  <c r="Y10" i="43"/>
  <c r="AJ9" i="43"/>
  <c r="AJ12" i="43" s="1"/>
  <c r="AI9" i="43"/>
  <c r="AH9" i="43"/>
  <c r="AG9" i="43"/>
  <c r="AF9" i="43"/>
  <c r="AF12" i="43" s="1"/>
  <c r="AE9" i="43"/>
  <c r="AD9" i="43"/>
  <c r="AC9" i="43"/>
  <c r="AB9" i="43"/>
  <c r="AB12" i="43" s="1"/>
  <c r="AA9" i="43"/>
  <c r="AA12" i="43" s="1"/>
  <c r="Z9" i="43"/>
  <c r="AA10" i="43"/>
  <c r="AB10" i="43"/>
  <c r="AF10" i="43"/>
  <c r="AJ10" i="43"/>
  <c r="K49" i="9"/>
  <c r="E107" i="9"/>
  <c r="A122" i="9" s="1"/>
  <c r="A8" i="52" s="1"/>
  <c r="B54" i="72" s="1"/>
  <c r="E111" i="9"/>
  <c r="A126" i="9" s="1"/>
  <c r="A12" i="52" s="1"/>
  <c r="B56" i="72" s="1"/>
  <c r="E109" i="9"/>
  <c r="A124" i="9" s="1"/>
  <c r="A10" i="52" s="1"/>
  <c r="B55" i="72" s="1"/>
  <c r="B44" i="72"/>
  <c r="B42" i="72"/>
  <c r="B69" i="72"/>
  <c r="B68" i="72"/>
  <c r="B63" i="72"/>
  <c r="B62" i="72"/>
  <c r="B65" i="72"/>
  <c r="B60" i="72"/>
  <c r="B12" i="72"/>
  <c r="B10" i="72"/>
  <c r="C53" i="10"/>
  <c r="B51" i="10"/>
  <c r="B19" i="72"/>
  <c r="A18" i="51"/>
  <c r="B13" i="72" s="1"/>
  <c r="B49" i="48"/>
  <c r="B5" i="72" s="1"/>
  <c r="I19" i="43"/>
  <c r="D74" i="71"/>
  <c r="F73" i="71"/>
  <c r="F72" i="71" s="1"/>
  <c r="F71" i="71" s="1"/>
  <c r="E73" i="71"/>
  <c r="E72" i="71"/>
  <c r="E71" i="71" s="1"/>
  <c r="C73" i="71"/>
  <c r="D73" i="71" s="1"/>
  <c r="B73" i="71"/>
  <c r="B72" i="71" s="1"/>
  <c r="B71" i="71" s="1"/>
  <c r="D70" i="71"/>
  <c r="F69" i="71"/>
  <c r="F68" i="71" s="1"/>
  <c r="F67" i="71" s="1"/>
  <c r="E69" i="71"/>
  <c r="E68" i="71"/>
  <c r="E67" i="71" s="1"/>
  <c r="C69" i="71"/>
  <c r="D69" i="71" s="1"/>
  <c r="B69" i="71"/>
  <c r="B68" i="71" s="1"/>
  <c r="B67" i="71"/>
  <c r="D66" i="71"/>
  <c r="Q65" i="71"/>
  <c r="P65" i="71"/>
  <c r="O65" i="71"/>
  <c r="N65" i="71"/>
  <c r="F65" i="71"/>
  <c r="V65" i="71" s="1"/>
  <c r="E65" i="71"/>
  <c r="U65" i="71" s="1"/>
  <c r="C65" i="71"/>
  <c r="B65" i="71"/>
  <c r="S65" i="71" s="1"/>
  <c r="Q64" i="71"/>
  <c r="P64" i="71"/>
  <c r="O64" i="71"/>
  <c r="N64" i="71"/>
  <c r="F64" i="71"/>
  <c r="F63" i="71" s="1"/>
  <c r="B64" i="71"/>
  <c r="B63" i="71" s="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s="1"/>
  <c r="E57" i="71"/>
  <c r="U57" i="71" s="1"/>
  <c r="C57" i="71"/>
  <c r="B57" i="71"/>
  <c r="S57" i="71" s="1"/>
  <c r="Q56" i="71"/>
  <c r="P56" i="71"/>
  <c r="O56" i="71"/>
  <c r="N56" i="71"/>
  <c r="F56" i="71"/>
  <c r="F55" i="71" s="1"/>
  <c r="B56" i="71"/>
  <c r="B55" i="71" s="1"/>
  <c r="Q55" i="71"/>
  <c r="P55" i="71"/>
  <c r="O55" i="71"/>
  <c r="N55" i="71"/>
  <c r="Q54" i="71"/>
  <c r="P54" i="71"/>
  <c r="O54" i="71"/>
  <c r="N54" i="71"/>
  <c r="D54" i="71"/>
  <c r="F53" i="71"/>
  <c r="V53" i="71"/>
  <c r="E53" i="71"/>
  <c r="P53" i="71"/>
  <c r="C53" i="71"/>
  <c r="B53" i="71"/>
  <c r="F52" i="71"/>
  <c r="F51" i="71" s="1"/>
  <c r="Q51" i="71"/>
  <c r="D50" i="71"/>
  <c r="Q49" i="71"/>
  <c r="P49" i="71"/>
  <c r="O49" i="71"/>
  <c r="N49" i="71"/>
  <c r="Q48" i="71"/>
  <c r="P48" i="71"/>
  <c r="O48" i="71"/>
  <c r="N48" i="71"/>
  <c r="Q47" i="71"/>
  <c r="P47" i="71"/>
  <c r="O47" i="71"/>
  <c r="N47" i="71"/>
  <c r="Q46" i="71"/>
  <c r="F47" i="71"/>
  <c r="F48" i="71" s="1"/>
  <c r="F49" i="71"/>
  <c r="V49" i="71" s="1"/>
  <c r="P46" i="71"/>
  <c r="E47" i="71" s="1"/>
  <c r="O46" i="71"/>
  <c r="C47" i="71" s="1"/>
  <c r="C48" i="71" s="1"/>
  <c r="N46" i="71"/>
  <c r="B47" i="71" s="1"/>
  <c r="B48" i="71"/>
  <c r="B49" i="71" s="1"/>
  <c r="S49" i="71" s="1"/>
  <c r="D46" i="71"/>
  <c r="Q45" i="71"/>
  <c r="P45" i="71"/>
  <c r="O45" i="71"/>
  <c r="N45" i="71"/>
  <c r="Q44" i="71"/>
  <c r="P44" i="71"/>
  <c r="O44" i="71"/>
  <c r="N44" i="71"/>
  <c r="Q43" i="71"/>
  <c r="P43" i="71"/>
  <c r="O43" i="71"/>
  <c r="N43" i="71"/>
  <c r="Q42" i="71"/>
  <c r="F43" i="71"/>
  <c r="F44" i="71" s="1"/>
  <c r="F45" i="71"/>
  <c r="V45" i="71" s="1"/>
  <c r="P42" i="71"/>
  <c r="E43" i="71" s="1"/>
  <c r="E44" i="71" s="1"/>
  <c r="O42" i="71"/>
  <c r="C43" i="71" s="1"/>
  <c r="N42" i="71"/>
  <c r="B43" i="71" s="1"/>
  <c r="B44" i="71"/>
  <c r="B45" i="71" s="1"/>
  <c r="S45" i="71" s="1"/>
  <c r="D42" i="71"/>
  <c r="Q41" i="71"/>
  <c r="P41" i="71"/>
  <c r="O41" i="71"/>
  <c r="N41" i="71"/>
  <c r="Q40" i="71"/>
  <c r="P40" i="71"/>
  <c r="O40" i="71"/>
  <c r="N40" i="71"/>
  <c r="Q39" i="71"/>
  <c r="P39" i="71"/>
  <c r="O39" i="71"/>
  <c r="N39" i="71"/>
  <c r="Q38" i="71"/>
  <c r="F39" i="71"/>
  <c r="F40" i="71" s="1"/>
  <c r="F41" i="71"/>
  <c r="V41" i="71" s="1"/>
  <c r="P38" i="71"/>
  <c r="E39" i="71" s="1"/>
  <c r="O38" i="71"/>
  <c r="C39" i="71" s="1"/>
  <c r="C40" i="71" s="1"/>
  <c r="C41" i="71" s="1"/>
  <c r="N38" i="71"/>
  <c r="B39" i="71"/>
  <c r="B40" i="71" s="1"/>
  <c r="B41" i="71" s="1"/>
  <c r="S41" i="71" s="1"/>
  <c r="D38" i="71"/>
  <c r="Q37" i="71"/>
  <c r="P37" i="71"/>
  <c r="O37" i="71"/>
  <c r="N37" i="71"/>
  <c r="Q36" i="71"/>
  <c r="P36" i="71"/>
  <c r="O36" i="71"/>
  <c r="N36" i="71"/>
  <c r="Q35" i="71"/>
  <c r="P35" i="71"/>
  <c r="O35" i="71"/>
  <c r="N35" i="71"/>
  <c r="Q34" i="71"/>
  <c r="F35" i="71"/>
  <c r="F36" i="71" s="1"/>
  <c r="P34" i="71"/>
  <c r="E35" i="71"/>
  <c r="E36" i="71" s="1"/>
  <c r="E37" i="71" s="1"/>
  <c r="U37" i="71" s="1"/>
  <c r="O34" i="71"/>
  <c r="C35" i="71" s="1"/>
  <c r="N34" i="71"/>
  <c r="B35" i="71" s="1"/>
  <c r="B36" i="71"/>
  <c r="B37" i="71" s="1"/>
  <c r="S37" i="71" s="1"/>
  <c r="D34" i="71"/>
  <c r="T33" i="71"/>
  <c r="Q33" i="71"/>
  <c r="P33" i="71"/>
  <c r="O33" i="71"/>
  <c r="N33" i="71"/>
  <c r="D33" i="71"/>
  <c r="Q32" i="71"/>
  <c r="P32" i="71"/>
  <c r="O32" i="71"/>
  <c r="N32" i="71"/>
  <c r="Q31" i="71"/>
  <c r="P31" i="71"/>
  <c r="O31" i="71"/>
  <c r="N31" i="71"/>
  <c r="F33" i="71"/>
  <c r="V33" i="71" s="1"/>
  <c r="Q30" i="71"/>
  <c r="F31" i="71" s="1"/>
  <c r="F32" i="71" s="1"/>
  <c r="P30" i="71"/>
  <c r="E31" i="71"/>
  <c r="E32" i="71" s="1"/>
  <c r="E33" i="71"/>
  <c r="U33" i="71" s="1"/>
  <c r="O30" i="71"/>
  <c r="C31" i="71" s="1"/>
  <c r="N30" i="71"/>
  <c r="B31" i="71" s="1"/>
  <c r="B32" i="71" s="1"/>
  <c r="B33" i="71" s="1"/>
  <c r="S33" i="71" s="1"/>
  <c r="D30" i="71"/>
  <c r="Q29" i="71"/>
  <c r="P29" i="71"/>
  <c r="O29" i="71"/>
  <c r="N29" i="71"/>
  <c r="Q28" i="71"/>
  <c r="P28" i="71"/>
  <c r="O28" i="71"/>
  <c r="N28" i="71"/>
  <c r="Q27" i="71"/>
  <c r="P27" i="71"/>
  <c r="O27" i="71"/>
  <c r="N27" i="71"/>
  <c r="Q26" i="71"/>
  <c r="F27" i="71" s="1"/>
  <c r="F28" i="71" s="1"/>
  <c r="F29" i="71" s="1"/>
  <c r="V29" i="71" s="1"/>
  <c r="P26" i="71"/>
  <c r="E27" i="71"/>
  <c r="E28" i="71" s="1"/>
  <c r="E29" i="71" s="1"/>
  <c r="U29" i="71" s="1"/>
  <c r="O26" i="71"/>
  <c r="C27" i="71" s="1"/>
  <c r="D27" i="71" s="1"/>
  <c r="N26" i="71"/>
  <c r="B27" i="71" s="1"/>
  <c r="B28" i="71"/>
  <c r="B29" i="71" s="1"/>
  <c r="S29" i="71" s="1"/>
  <c r="D26" i="71"/>
  <c r="Q25" i="71"/>
  <c r="P25" i="71"/>
  <c r="O25" i="71"/>
  <c r="N25" i="71"/>
  <c r="AB24" i="71"/>
  <c r="Q24" i="71"/>
  <c r="P24" i="71"/>
  <c r="O24" i="71"/>
  <c r="Y24" i="71" s="1"/>
  <c r="Z24" i="71" s="1"/>
  <c r="N24" i="71"/>
  <c r="X24" i="71"/>
  <c r="Q23" i="71"/>
  <c r="AB23" i="71"/>
  <c r="P23" i="71"/>
  <c r="O23" i="71"/>
  <c r="N23" i="71"/>
  <c r="Q22" i="71"/>
  <c r="P22" i="71"/>
  <c r="O22" i="71"/>
  <c r="C23" i="71" s="1"/>
  <c r="N22" i="71"/>
  <c r="D22" i="71"/>
  <c r="Q21" i="71"/>
  <c r="AB21" i="71"/>
  <c r="P21" i="71"/>
  <c r="O21" i="71"/>
  <c r="Y21" i="71" s="1"/>
  <c r="Z21" i="71" s="1"/>
  <c r="N21" i="71"/>
  <c r="Q20" i="71"/>
  <c r="P20" i="71"/>
  <c r="O20" i="71"/>
  <c r="N20" i="71"/>
  <c r="Q19" i="71"/>
  <c r="P19" i="71"/>
  <c r="O19" i="71"/>
  <c r="N19" i="71"/>
  <c r="F19" i="71"/>
  <c r="F20" i="71" s="1"/>
  <c r="F21" i="71" s="1"/>
  <c r="V21" i="71" s="1"/>
  <c r="Q18" i="71"/>
  <c r="P18" i="71"/>
  <c r="O18" i="71"/>
  <c r="C19" i="71" s="1"/>
  <c r="N18" i="71"/>
  <c r="D18" i="71"/>
  <c r="Q17" i="71"/>
  <c r="P17" i="71"/>
  <c r="O17" i="71"/>
  <c r="N17" i="71"/>
  <c r="Q16" i="71"/>
  <c r="P16" i="71"/>
  <c r="O16" i="71"/>
  <c r="Y16" i="71"/>
  <c r="Z16" i="71" s="1"/>
  <c r="N16" i="71"/>
  <c r="X14" i="71" s="1"/>
  <c r="Q15" i="71"/>
  <c r="P15" i="71"/>
  <c r="O15" i="71"/>
  <c r="N15" i="71"/>
  <c r="Q14" i="71"/>
  <c r="P14" i="71"/>
  <c r="O14" i="71"/>
  <c r="N14" i="71"/>
  <c r="D14" i="71"/>
  <c r="O13" i="71"/>
  <c r="N13" i="71"/>
  <c r="B15" i="71"/>
  <c r="B16" i="71"/>
  <c r="B17" i="71" s="1"/>
  <c r="S17" i="71" s="1"/>
  <c r="E15" i="71"/>
  <c r="E16" i="71" s="1"/>
  <c r="AA14" i="71"/>
  <c r="B19" i="71"/>
  <c r="B20" i="71"/>
  <c r="B21" i="71" s="1"/>
  <c r="S21" i="71" s="1"/>
  <c r="B23" i="71"/>
  <c r="B24" i="71" s="1"/>
  <c r="B25" i="71" s="1"/>
  <c r="S25" i="71" s="1"/>
  <c r="X22" i="71"/>
  <c r="E23" i="71"/>
  <c r="E24" i="71"/>
  <c r="E25" i="71" s="1"/>
  <c r="U25" i="71" s="1"/>
  <c r="E19" i="71"/>
  <c r="E20" i="71"/>
  <c r="E21" i="71" s="1"/>
  <c r="U21" i="71" s="1"/>
  <c r="C15" i="71"/>
  <c r="C16" i="71" s="1"/>
  <c r="X15" i="71"/>
  <c r="X16" i="71"/>
  <c r="X17" i="71"/>
  <c r="Y18" i="71"/>
  <c r="Z18" i="71" s="1"/>
  <c r="AA19" i="71"/>
  <c r="X21" i="71"/>
  <c r="AA21" i="71"/>
  <c r="Y22" i="71"/>
  <c r="Z22" i="71" s="1"/>
  <c r="X23" i="71"/>
  <c r="AA23" i="71"/>
  <c r="F37" i="71"/>
  <c r="V37" i="71" s="1"/>
  <c r="C13" i="71"/>
  <c r="Y12" i="71"/>
  <c r="Z12" i="71" s="1"/>
  <c r="X11" i="71"/>
  <c r="C28" i="71"/>
  <c r="C29" i="71" s="1"/>
  <c r="C32" i="71"/>
  <c r="D32" i="71" s="1"/>
  <c r="D31" i="71"/>
  <c r="P13" i="71"/>
  <c r="E40" i="71"/>
  <c r="E41" i="71" s="1"/>
  <c r="U41" i="71"/>
  <c r="E45" i="71"/>
  <c r="U45" i="71" s="1"/>
  <c r="E48" i="71"/>
  <c r="E49" i="71" s="1"/>
  <c r="U49" i="71" s="1"/>
  <c r="Q50" i="71"/>
  <c r="U53" i="71"/>
  <c r="E52" i="71"/>
  <c r="Q13" i="71"/>
  <c r="D39" i="71"/>
  <c r="Q52" i="71"/>
  <c r="T53" i="71"/>
  <c r="O53" i="71"/>
  <c r="D53" i="71"/>
  <c r="C52" i="71"/>
  <c r="Q53" i="71"/>
  <c r="E56" i="71"/>
  <c r="E55" i="71" s="1"/>
  <c r="C60" i="71"/>
  <c r="E60" i="71"/>
  <c r="E59" i="71" s="1"/>
  <c r="D61" i="71"/>
  <c r="E64" i="71"/>
  <c r="E63" i="71" s="1"/>
  <c r="C68" i="71"/>
  <c r="C72" i="71"/>
  <c r="C71" i="71" s="1"/>
  <c r="D71" i="71" s="1"/>
  <c r="C12" i="71"/>
  <c r="F13" i="71"/>
  <c r="F12" i="71" s="1"/>
  <c r="F11" i="71" s="1"/>
  <c r="AB11" i="71"/>
  <c r="E13" i="71"/>
  <c r="E12" i="71"/>
  <c r="AA13" i="71"/>
  <c r="C51" i="71"/>
  <c r="O52" i="71"/>
  <c r="D52" i="71"/>
  <c r="D68" i="71"/>
  <c r="C67" i="71"/>
  <c r="D67" i="71"/>
  <c r="D60" i="71"/>
  <c r="C59" i="71"/>
  <c r="D59" i="71" s="1"/>
  <c r="D72" i="71"/>
  <c r="D40" i="71"/>
  <c r="P52" i="71"/>
  <c r="E51" i="71"/>
  <c r="P50" i="71" s="1"/>
  <c r="V13" i="71"/>
  <c r="O51" i="71"/>
  <c r="D51" i="71"/>
  <c r="O5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3" i="39"/>
  <c r="E103" i="39"/>
  <c r="F29" i="39"/>
  <c r="AA29" i="39" s="1"/>
  <c r="Q18" i="36"/>
  <c r="Z18" i="36" s="1"/>
  <c r="D66" i="36"/>
  <c r="E66" i="36" s="1"/>
  <c r="F66" i="36" s="1"/>
  <c r="H18" i="36"/>
  <c r="AB18" i="36"/>
  <c r="F18" i="36"/>
  <c r="AA18" i="36"/>
  <c r="C18" i="36"/>
  <c r="Z18" i="35"/>
  <c r="Q18" i="35"/>
  <c r="D68" i="35"/>
  <c r="E68" i="35" s="1"/>
  <c r="F18" i="35"/>
  <c r="AA18" i="35" s="1"/>
  <c r="C18" i="35"/>
  <c r="Q21" i="37"/>
  <c r="Z21" i="37" s="1"/>
  <c r="D77" i="37"/>
  <c r="E77" i="37"/>
  <c r="F77" i="37" s="1"/>
  <c r="G77" i="37" s="1"/>
  <c r="C21" i="37"/>
  <c r="Z21" i="34"/>
  <c r="Q21" i="34"/>
  <c r="D84" i="34"/>
  <c r="E84" i="34" s="1"/>
  <c r="F21" i="34"/>
  <c r="AA21" i="34" s="1"/>
  <c r="C21" i="34"/>
  <c r="Q21" i="33"/>
  <c r="Z21" i="33" s="1"/>
  <c r="D83" i="33"/>
  <c r="E83" i="33"/>
  <c r="C21" i="33"/>
  <c r="C21" i="21"/>
  <c r="Q21" i="21"/>
  <c r="Z21" i="21"/>
  <c r="H19" i="21"/>
  <c r="D83" i="21"/>
  <c r="F21" i="21"/>
  <c r="AA21" i="21"/>
  <c r="D81" i="21"/>
  <c r="G20" i="20"/>
  <c r="B86" i="43" s="1"/>
  <c r="C22" i="20"/>
  <c r="C25" i="40"/>
  <c r="S25" i="40"/>
  <c r="S18" i="36"/>
  <c r="U18" i="36"/>
  <c r="S21" i="34"/>
  <c r="F94" i="40"/>
  <c r="H25" i="40"/>
  <c r="G94" i="40"/>
  <c r="J25" i="40"/>
  <c r="F103" i="39"/>
  <c r="H29" i="39"/>
  <c r="AB29" i="39" s="1"/>
  <c r="G103" i="39"/>
  <c r="J29" i="39"/>
  <c r="AC29" i="39" s="1"/>
  <c r="G66" i="36"/>
  <c r="J18" i="36"/>
  <c r="F68" i="35"/>
  <c r="G68" i="35" s="1"/>
  <c r="H18" i="35"/>
  <c r="S18" i="35"/>
  <c r="J18" i="35"/>
  <c r="W18" i="35" s="1"/>
  <c r="H21" i="37"/>
  <c r="U21" i="37" s="1"/>
  <c r="F21" i="37"/>
  <c r="F84" i="34"/>
  <c r="G84" i="34" s="1"/>
  <c r="H21" i="34"/>
  <c r="F83" i="33"/>
  <c r="G83" i="33" s="1"/>
  <c r="H21" i="33"/>
  <c r="F21" i="33"/>
  <c r="S21" i="33" s="1"/>
  <c r="E83" i="21"/>
  <c r="S21" i="21"/>
  <c r="H1" i="69"/>
  <c r="AC25" i="40"/>
  <c r="W25" i="40"/>
  <c r="AB25" i="40"/>
  <c r="U25" i="40"/>
  <c r="AC18" i="36"/>
  <c r="W18" i="36"/>
  <c r="AB21" i="37"/>
  <c r="AA21" i="37"/>
  <c r="S21" i="37"/>
  <c r="AB21" i="34"/>
  <c r="U21" i="34"/>
  <c r="U21" i="33"/>
  <c r="AB21" i="33"/>
  <c r="AB18" i="35"/>
  <c r="U18" i="35"/>
  <c r="AC18" i="35"/>
  <c r="J21" i="37"/>
  <c r="J21" i="34"/>
  <c r="J21" i="33"/>
  <c r="F83" i="21"/>
  <c r="G83" i="21" s="1"/>
  <c r="H21" i="21"/>
  <c r="F38" i="69"/>
  <c r="E37" i="69"/>
  <c r="F36" i="69"/>
  <c r="F35" i="69"/>
  <c r="F21" i="69"/>
  <c r="C21" i="69" s="1"/>
  <c r="F20" i="69"/>
  <c r="E10" i="69"/>
  <c r="E9" i="69"/>
  <c r="F7" i="69"/>
  <c r="C7" i="69" s="1"/>
  <c r="AC21" i="37"/>
  <c r="W21" i="37"/>
  <c r="AC21" i="34"/>
  <c r="W21" i="34"/>
  <c r="AC21" i="33"/>
  <c r="W21" i="33"/>
  <c r="AB21" i="21"/>
  <c r="U21" i="21"/>
  <c r="J21" i="21"/>
  <c r="AC21" i="21" s="1"/>
  <c r="F38" i="68"/>
  <c r="E37" i="68"/>
  <c r="F36" i="68"/>
  <c r="F35" i="68"/>
  <c r="F21" i="68"/>
  <c r="C21" i="68" s="1"/>
  <c r="F20" i="68"/>
  <c r="E10" i="68"/>
  <c r="E9" i="68"/>
  <c r="F7" i="68"/>
  <c r="W21" i="21"/>
  <c r="Q72" i="67"/>
  <c r="Q59" i="67"/>
  <c r="Q58" i="67"/>
  <c r="Q51" i="67"/>
  <c r="J50" i="67"/>
  <c r="M47" i="67"/>
  <c r="D46" i="67"/>
  <c r="F33" i="67"/>
  <c r="F61" i="67"/>
  <c r="F23" i="67"/>
  <c r="D24" i="67" s="1"/>
  <c r="F21" i="67"/>
  <c r="F20" i="67"/>
  <c r="M19" i="67"/>
  <c r="F18" i="67"/>
  <c r="F17" i="67"/>
  <c r="F15" i="67"/>
  <c r="D23"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79" s="1"/>
  <c r="F15" i="4"/>
  <c r="F8" i="1"/>
  <c r="F9" i="1"/>
  <c r="F10" i="1"/>
  <c r="F11" i="1"/>
  <c r="F12" i="1"/>
  <c r="F13" i="1"/>
  <c r="D6" i="1"/>
  <c r="D9" i="1"/>
  <c r="D10" i="1"/>
  <c r="D11" i="1"/>
  <c r="D12" i="1"/>
  <c r="G12" i="1" s="1"/>
  <c r="D13" i="1"/>
  <c r="D7" i="1"/>
  <c r="D8" i="1"/>
  <c r="A7" i="1"/>
  <c r="B7" i="1" s="1"/>
  <c r="E7" i="1" s="1"/>
  <c r="A8" i="1"/>
  <c r="B8" i="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BA97" i="3" s="1"/>
  <c r="AX97" i="3"/>
  <c r="AW97" i="3"/>
  <c r="AV97" i="3"/>
  <c r="AC97" i="3"/>
  <c r="H97" i="3"/>
  <c r="G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G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G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G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c r="A4" i="62"/>
  <c r="B70" i="72"/>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J55" i="9"/>
  <c r="B31" i="1"/>
  <c r="B52" i="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A542" i="3" s="1"/>
  <c r="BC542" i="3"/>
  <c r="BD542" i="3"/>
  <c r="BE542" i="3"/>
  <c r="BF542" i="3"/>
  <c r="BG542" i="3"/>
  <c r="BH542" i="3"/>
  <c r="BI542" i="3"/>
  <c r="BJ542" i="3"/>
  <c r="BK542" i="3"/>
  <c r="BM542" i="3"/>
  <c r="BL542" i="3" s="1"/>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A544" i="3" s="1"/>
  <c r="BD544" i="3"/>
  <c r="BE544" i="3"/>
  <c r="BF544" i="3"/>
  <c r="BG544" i="3"/>
  <c r="BH544" i="3"/>
  <c r="BI544" i="3"/>
  <c r="BJ544" i="3"/>
  <c r="BK544" i="3"/>
  <c r="BM544" i="3"/>
  <c r="BN544" i="3"/>
  <c r="BL544" i="3" s="1"/>
  <c r="BO544" i="3"/>
  <c r="BP544" i="3"/>
  <c r="BQ544" i="3"/>
  <c r="BR544" i="3"/>
  <c r="BS544" i="3"/>
  <c r="BT544" i="3"/>
  <c r="H545" i="3"/>
  <c r="AC545" i="3"/>
  <c r="BB545" i="3"/>
  <c r="BC545" i="3"/>
  <c r="BA545" i="3" s="1"/>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A548" i="3" s="1"/>
  <c r="AZ548" i="3" s="1"/>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L550" i="3"/>
  <c r="BP550" i="3"/>
  <c r="BQ550" i="3"/>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A552" i="3" s="1"/>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BB554" i="3"/>
  <c r="BC554" i="3"/>
  <c r="BA554" i="3" s="1"/>
  <c r="BD554" i="3"/>
  <c r="BE554" i="3"/>
  <c r="BF554" i="3"/>
  <c r="BG554" i="3"/>
  <c r="BH554" i="3"/>
  <c r="BI554" i="3"/>
  <c r="BJ554" i="3"/>
  <c r="BK554" i="3"/>
  <c r="BM554" i="3"/>
  <c r="BN554" i="3"/>
  <c r="BL554" i="3" s="1"/>
  <c r="BO554" i="3"/>
  <c r="BP554" i="3"/>
  <c r="BQ554" i="3"/>
  <c r="BR554" i="3"/>
  <c r="BS554" i="3"/>
  <c r="BT554" i="3"/>
  <c r="H555" i="3"/>
  <c r="AC555" i="3"/>
  <c r="BB555" i="3"/>
  <c r="BC555" i="3"/>
  <c r="BA555" i="3" s="1"/>
  <c r="BD555" i="3"/>
  <c r="BE555" i="3"/>
  <c r="BF555" i="3"/>
  <c r="BG555" i="3"/>
  <c r="BH555" i="3"/>
  <c r="BI555" i="3"/>
  <c r="BJ555" i="3"/>
  <c r="BK555" i="3"/>
  <c r="BM555" i="3"/>
  <c r="BN555" i="3"/>
  <c r="BO555" i="3"/>
  <c r="BP555" i="3"/>
  <c r="BR555" i="3"/>
  <c r="BS555" i="3"/>
  <c r="BT555" i="3"/>
  <c r="H556" i="3"/>
  <c r="G556" i="3" s="1"/>
  <c r="AC556" i="3"/>
  <c r="BB556" i="3"/>
  <c r="BC556" i="3"/>
  <c r="BA556" i="3" s="1"/>
  <c r="BD556" i="3"/>
  <c r="BE556" i="3"/>
  <c r="BF556" i="3"/>
  <c r="BG556" i="3"/>
  <c r="BH556" i="3"/>
  <c r="BI556" i="3"/>
  <c r="BJ556" i="3"/>
  <c r="BK556" i="3"/>
  <c r="BM556" i="3"/>
  <c r="BN556" i="3"/>
  <c r="BL556" i="3" s="1"/>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L566" i="3" s="1"/>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BB569" i="3"/>
  <c r="BC569" i="3"/>
  <c r="BA569" i="3" s="1"/>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L572" i="3" s="1"/>
  <c r="BN572" i="3"/>
  <c r="BO572" i="3"/>
  <c r="BP572" i="3"/>
  <c r="BQ572" i="3"/>
  <c r="BR572" i="3"/>
  <c r="BS572" i="3"/>
  <c r="BT572" i="3"/>
  <c r="H573" i="3"/>
  <c r="AC573" i="3"/>
  <c r="BB573" i="3"/>
  <c r="BA573" i="3" s="1"/>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L582" i="3" s="1"/>
  <c r="BN582" i="3"/>
  <c r="BO582" i="3"/>
  <c r="BP582" i="3"/>
  <c r="BQ582" i="3"/>
  <c r="BR582" i="3"/>
  <c r="BS582" i="3"/>
  <c r="BT582" i="3"/>
  <c r="H583" i="3"/>
  <c r="G583" i="3" s="1"/>
  <c r="AC583" i="3"/>
  <c r="BB583" i="3"/>
  <c r="BA583" i="3" s="1"/>
  <c r="BC583" i="3"/>
  <c r="BD583" i="3"/>
  <c r="BE583" i="3"/>
  <c r="BF583" i="3"/>
  <c r="BG583" i="3"/>
  <c r="BH583" i="3"/>
  <c r="BI583" i="3"/>
  <c r="BJ583" i="3"/>
  <c r="BK583" i="3"/>
  <c r="BM583" i="3"/>
  <c r="BN583" i="3"/>
  <c r="BO583" i="3"/>
  <c r="BP583" i="3"/>
  <c r="BR583" i="3"/>
  <c r="BS583" i="3"/>
  <c r="BT583" i="3"/>
  <c r="H584" i="3"/>
  <c r="AC584" i="3"/>
  <c r="G584" i="3" s="1"/>
  <c r="BB584" i="3"/>
  <c r="BC584" i="3"/>
  <c r="BA584" i="3" s="1"/>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J30" i="36"/>
  <c r="W30" i="36" s="1"/>
  <c r="H30" i="36"/>
  <c r="F30" i="36"/>
  <c r="AA30" i="36" s="1"/>
  <c r="C26" i="35"/>
  <c r="C79" i="35" s="1"/>
  <c r="J31" i="35"/>
  <c r="W31" i="35" s="1"/>
  <c r="H31" i="35"/>
  <c r="F31" i="35"/>
  <c r="D87" i="35"/>
  <c r="E87" i="35" s="1"/>
  <c r="F87" i="35"/>
  <c r="G87" i="35" s="1"/>
  <c r="H87" i="35" s="1"/>
  <c r="I87" i="35" s="1"/>
  <c r="J87" i="35" s="1"/>
  <c r="K87" i="35" s="1"/>
  <c r="L87" i="35" s="1"/>
  <c r="M87" i="35" s="1"/>
  <c r="H34" i="37"/>
  <c r="AB34" i="37" s="1"/>
  <c r="D101" i="37"/>
  <c r="F34" i="37"/>
  <c r="S34" i="37" s="1"/>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F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c r="G105" i="39" s="1"/>
  <c r="H105" i="39" s="1"/>
  <c r="I105" i="39" s="1"/>
  <c r="J105" i="39" s="1"/>
  <c r="K105" i="39" s="1"/>
  <c r="L105" i="39" s="1"/>
  <c r="M105" i="39" s="1"/>
  <c r="D101" i="39"/>
  <c r="E101" i="39" s="1"/>
  <c r="F101" i="39" s="1"/>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AB35" i="39"/>
  <c r="B104" i="39"/>
  <c r="D97" i="39"/>
  <c r="E97" i="39" s="1"/>
  <c r="J23" i="39" s="1"/>
  <c r="AC23" i="39" s="1"/>
  <c r="D95" i="39"/>
  <c r="E95" i="39" s="1"/>
  <c r="F95" i="39"/>
  <c r="G95" i="39" s="1"/>
  <c r="D93" i="39"/>
  <c r="E93" i="39" s="1"/>
  <c r="D91" i="39"/>
  <c r="E91" i="39" s="1"/>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c r="F79" i="37" s="1"/>
  <c r="G79" i="37" s="1"/>
  <c r="D75" i="37"/>
  <c r="E75" i="37"/>
  <c r="F75" i="37" s="1"/>
  <c r="D73" i="37"/>
  <c r="E73" i="37"/>
  <c r="F73" i="37" s="1"/>
  <c r="G73" i="37" s="1"/>
  <c r="D71" i="37"/>
  <c r="H15" i="37"/>
  <c r="AB15" i="37"/>
  <c r="B68" i="37"/>
  <c r="H14" i="37"/>
  <c r="AB14" i="37" s="1"/>
  <c r="B66" i="37"/>
  <c r="H13" i="37" s="1"/>
  <c r="B64" i="37"/>
  <c r="D63" i="37"/>
  <c r="E63" i="37" s="1"/>
  <c r="F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s="1"/>
  <c r="Q17" i="37"/>
  <c r="Z17" i="37" s="1"/>
  <c r="Q15" i="37"/>
  <c r="Z15" i="37" s="1"/>
  <c r="Q14" i="37"/>
  <c r="Z14" i="37" s="1"/>
  <c r="Q13" i="37"/>
  <c r="Z13" i="37" s="1"/>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H33" i="36"/>
  <c r="AB33" i="36" s="1"/>
  <c r="B91" i="36"/>
  <c r="F32" i="36"/>
  <c r="S32" i="36" s="1"/>
  <c r="B95" i="36"/>
  <c r="H34" i="36"/>
  <c r="AB34" i="36" s="1"/>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AC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J35" i="35" s="1"/>
  <c r="W35" i="35" s="1"/>
  <c r="B97" i="35"/>
  <c r="B77" i="35"/>
  <c r="J25" i="35" s="1"/>
  <c r="B75" i="35"/>
  <c r="J24" i="35"/>
  <c r="AC24" i="35" s="1"/>
  <c r="B73" i="35"/>
  <c r="H23" i="35" s="1"/>
  <c r="U23" i="35" s="1"/>
  <c r="B57" i="35"/>
  <c r="B61" i="35"/>
  <c r="F13" i="35" s="1"/>
  <c r="B59" i="35"/>
  <c r="B131" i="34"/>
  <c r="H47" i="34" s="1"/>
  <c r="B129" i="34"/>
  <c r="B127" i="34"/>
  <c r="H45" i="34" s="1"/>
  <c r="AB45" i="34" s="1"/>
  <c r="B99" i="34"/>
  <c r="B97" i="34"/>
  <c r="J31" i="34" s="1"/>
  <c r="B95" i="34"/>
  <c r="B93" i="34"/>
  <c r="F29" i="34" s="1"/>
  <c r="B75" i="34"/>
  <c r="B73" i="34"/>
  <c r="B71" i="34"/>
  <c r="B130" i="33"/>
  <c r="B128" i="33"/>
  <c r="B126" i="33"/>
  <c r="H44" i="33" s="1"/>
  <c r="AB44" i="33" s="1"/>
  <c r="B98" i="33"/>
  <c r="B96" i="33"/>
  <c r="H30" i="33" s="1"/>
  <c r="U30" i="33" s="1"/>
  <c r="B94" i="33"/>
  <c r="B74" i="33"/>
  <c r="B72" i="33"/>
  <c r="B70" i="33"/>
  <c r="J12" i="33" s="1"/>
  <c r="AC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W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U9" i="34" s="1"/>
  <c r="F9" i="34"/>
  <c r="AA9" i="34"/>
  <c r="J8" i="34"/>
  <c r="AC8" i="34"/>
  <c r="H8" i="34"/>
  <c r="U8" i="34"/>
  <c r="F8" i="34"/>
  <c r="D121" i="33"/>
  <c r="E121" i="33" s="1"/>
  <c r="F121" i="33" s="1"/>
  <c r="F109" i="33"/>
  <c r="E109" i="33"/>
  <c r="D109" i="33"/>
  <c r="C109" i="33"/>
  <c r="D91" i="33"/>
  <c r="E91" i="33" s="1"/>
  <c r="B88" i="33"/>
  <c r="J26" i="33" s="1"/>
  <c r="AC26" i="33" s="1"/>
  <c r="C23" i="33"/>
  <c r="C19" i="33"/>
  <c r="C17" i="33"/>
  <c r="C15" i="33"/>
  <c r="C15" i="21"/>
  <c r="D125" i="33"/>
  <c r="D123" i="33"/>
  <c r="E123" i="33" s="1"/>
  <c r="F123" i="33" s="1"/>
  <c r="D117" i="33"/>
  <c r="E117" i="33"/>
  <c r="F117" i="33" s="1"/>
  <c r="G117" i="33" s="1"/>
  <c r="D115" i="33"/>
  <c r="E115" i="33"/>
  <c r="F115" i="33" s="1"/>
  <c r="G115" i="33" s="1"/>
  <c r="H115" i="33" s="1"/>
  <c r="I115" i="33" s="1"/>
  <c r="J115" i="33" s="1"/>
  <c r="K115" i="33" s="1"/>
  <c r="L115" i="33" s="1"/>
  <c r="M115" i="33" s="1"/>
  <c r="D108" i="33"/>
  <c r="E108" i="33"/>
  <c r="F108" i="33" s="1"/>
  <c r="G108" i="33" s="1"/>
  <c r="D106" i="33"/>
  <c r="E106" i="33" s="1"/>
  <c r="M102" i="33"/>
  <c r="L102" i="33"/>
  <c r="K102" i="33"/>
  <c r="J102" i="33"/>
  <c r="I102" i="33"/>
  <c r="H102" i="33"/>
  <c r="G102" i="33"/>
  <c r="F102" i="33"/>
  <c r="E102" i="33"/>
  <c r="D102" i="33"/>
  <c r="C102" i="33"/>
  <c r="D101" i="33"/>
  <c r="E101" i="33"/>
  <c r="B92" i="33"/>
  <c r="B90" i="33"/>
  <c r="F27" i="33" s="1"/>
  <c r="S27" i="33" s="1"/>
  <c r="D87" i="33"/>
  <c r="E87" i="33"/>
  <c r="D85" i="33"/>
  <c r="E85" i="33"/>
  <c r="D81" i="33"/>
  <c r="E81" i="33"/>
  <c r="D79" i="33"/>
  <c r="E79" i="33"/>
  <c r="F79" i="33" s="1"/>
  <c r="G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F42" i="21"/>
  <c r="AA42" i="21" s="1"/>
  <c r="D119" i="21"/>
  <c r="E119" i="21" s="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H46" i="21" s="1"/>
  <c r="AB46" i="21" s="1"/>
  <c r="B128" i="21"/>
  <c r="J45" i="21"/>
  <c r="W45" i="21" s="1"/>
  <c r="B126" i="21"/>
  <c r="J44" i="21" s="1"/>
  <c r="B98" i="21"/>
  <c r="H31" i="21"/>
  <c r="AB31" i="21" s="1"/>
  <c r="B96" i="21"/>
  <c r="B94" i="21"/>
  <c r="J29" i="21" s="1"/>
  <c r="AC29" i="21" s="1"/>
  <c r="B92" i="21"/>
  <c r="B90" i="21"/>
  <c r="J27" i="21" s="1"/>
  <c r="B74" i="21"/>
  <c r="B72" i="21"/>
  <c r="H13" i="21" s="1"/>
  <c r="AB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9" i="11" s="1"/>
  <c r="C9" i="11"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H38" i="21"/>
  <c r="U38" i="21" s="1"/>
  <c r="H43" i="21"/>
  <c r="AB43" i="21" s="1"/>
  <c r="F38" i="21"/>
  <c r="F36" i="21"/>
  <c r="S36" i="21" s="1"/>
  <c r="F39" i="21"/>
  <c r="AA39" i="21" s="1"/>
  <c r="J40" i="21"/>
  <c r="H35" i="21"/>
  <c r="J8" i="21"/>
  <c r="AC8" i="21" s="1"/>
  <c r="H8" i="21"/>
  <c r="H10" i="21"/>
  <c r="H39" i="21"/>
  <c r="U39" i="21" s="1"/>
  <c r="J34" i="21"/>
  <c r="H36" i="21"/>
  <c r="U36" i="21" s="1"/>
  <c r="F35" i="21"/>
  <c r="J10" i="21"/>
  <c r="AC10" i="21" s="1"/>
  <c r="H26" i="21"/>
  <c r="AB19" i="21"/>
  <c r="J19" i="21"/>
  <c r="W19" i="21"/>
  <c r="J26" i="21"/>
  <c r="W26" i="21"/>
  <c r="F26" i="21"/>
  <c r="S26" i="21"/>
  <c r="AB41" i="21"/>
  <c r="S41" i="21"/>
  <c r="AA41" i="21"/>
  <c r="F45" i="39"/>
  <c r="J45" i="39"/>
  <c r="J44" i="39"/>
  <c r="AC44" i="39" s="1"/>
  <c r="F36" i="39"/>
  <c r="S36" i="39" s="1"/>
  <c r="H36" i="39"/>
  <c r="J35" i="39"/>
  <c r="AC35" i="39" s="1"/>
  <c r="F35" i="39"/>
  <c r="AA35" i="39" s="1"/>
  <c r="J36" i="39"/>
  <c r="U9" i="39"/>
  <c r="W25" i="37"/>
  <c r="W31" i="37"/>
  <c r="E103" i="37"/>
  <c r="F103" i="37"/>
  <c r="G103" i="37" s="1"/>
  <c r="H103" i="37"/>
  <c r="I103" i="37" s="1"/>
  <c r="J103" i="37" s="1"/>
  <c r="K103" i="37" s="1"/>
  <c r="L103" i="37" s="1"/>
  <c r="M103" i="37" s="1"/>
  <c r="F39" i="37"/>
  <c r="S39" i="37" s="1"/>
  <c r="U14" i="37"/>
  <c r="F29" i="36"/>
  <c r="AA29" i="36"/>
  <c r="W8" i="36"/>
  <c r="F16" i="36"/>
  <c r="AA16" i="36" s="1"/>
  <c r="U9" i="36"/>
  <c r="W28" i="36"/>
  <c r="S30" i="36"/>
  <c r="AC31" i="36"/>
  <c r="W31" i="36"/>
  <c r="U31" i="36"/>
  <c r="J33" i="36"/>
  <c r="W33" i="36"/>
  <c r="H22" i="35"/>
  <c r="AB22" i="35"/>
  <c r="AC27" i="35"/>
  <c r="W28" i="35"/>
  <c r="U31" i="35"/>
  <c r="S34" i="35"/>
  <c r="W36" i="35"/>
  <c r="W22" i="35"/>
  <c r="S31" i="35"/>
  <c r="F36" i="34"/>
  <c r="S36" i="34" s="1"/>
  <c r="J35" i="34"/>
  <c r="W9" i="34"/>
  <c r="U34" i="34"/>
  <c r="H39" i="33"/>
  <c r="AB39" i="33"/>
  <c r="U33" i="33"/>
  <c r="S40" i="33"/>
  <c r="W39" i="33"/>
  <c r="H39" i="37"/>
  <c r="AB39" i="37"/>
  <c r="S27" i="35"/>
  <c r="F11" i="40"/>
  <c r="H11" i="40"/>
  <c r="AB11" i="40" s="1"/>
  <c r="W8" i="40"/>
  <c r="AC40" i="40"/>
  <c r="AA9" i="40"/>
  <c r="AC9" i="40"/>
  <c r="U9" i="40"/>
  <c r="S34" i="40"/>
  <c r="S40" i="40"/>
  <c r="U34" i="40"/>
  <c r="U40" i="40"/>
  <c r="F42" i="39"/>
  <c r="AA42" i="39"/>
  <c r="F41" i="39"/>
  <c r="S41" i="39" s="1"/>
  <c r="H40" i="39"/>
  <c r="H39" i="39"/>
  <c r="U39" i="39" s="1"/>
  <c r="S34" i="39"/>
  <c r="H34" i="39"/>
  <c r="U34" i="39" s="1"/>
  <c r="E109" i="39"/>
  <c r="H31" i="39"/>
  <c r="AB31" i="39" s="1"/>
  <c r="F31" i="39"/>
  <c r="AA31" i="39" s="1"/>
  <c r="J23" i="40"/>
  <c r="F21" i="40"/>
  <c r="AA21" i="40" s="1"/>
  <c r="J21" i="40"/>
  <c r="W21" i="40" s="1"/>
  <c r="H42" i="39"/>
  <c r="J34" i="39"/>
  <c r="AC34" i="39" s="1"/>
  <c r="F109" i="39"/>
  <c r="G109" i="39" s="1"/>
  <c r="H109" i="39"/>
  <c r="I109" i="39" s="1"/>
  <c r="J109" i="39" s="1"/>
  <c r="K109" i="39" s="1"/>
  <c r="L109" i="39" s="1"/>
  <c r="M109" i="39" s="1"/>
  <c r="J31" i="39"/>
  <c r="AC31" i="39" s="1"/>
  <c r="H27" i="39"/>
  <c r="U27" i="39" s="1"/>
  <c r="F27" i="39"/>
  <c r="S27" i="39" s="1"/>
  <c r="F11" i="21"/>
  <c r="S11" i="21"/>
  <c r="S40" i="21"/>
  <c r="U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W32" i="40"/>
  <c r="S44" i="39"/>
  <c r="F37" i="39"/>
  <c r="AA37" i="39"/>
  <c r="J34" i="36"/>
  <c r="W34" i="36"/>
  <c r="U30" i="36"/>
  <c r="J30" i="35"/>
  <c r="W30" i="35" s="1"/>
  <c r="H30" i="35"/>
  <c r="F22" i="35"/>
  <c r="H10" i="35"/>
  <c r="AC16" i="36"/>
  <c r="F33" i="36"/>
  <c r="AA33" i="36"/>
  <c r="H16" i="36"/>
  <c r="AB16" i="36" s="1"/>
  <c r="E85" i="36"/>
  <c r="F85" i="36" s="1"/>
  <c r="G85" i="36" s="1"/>
  <c r="H85" i="36" s="1"/>
  <c r="I85" i="36" s="1"/>
  <c r="J85" i="36" s="1"/>
  <c r="K85" i="36" s="1"/>
  <c r="L85" i="36" s="1"/>
  <c r="M85" i="36" s="1"/>
  <c r="J29" i="36"/>
  <c r="AC29" i="36"/>
  <c r="F24" i="36"/>
  <c r="AA24" i="36" s="1"/>
  <c r="F34" i="36"/>
  <c r="S10" i="36"/>
  <c r="AB8" i="36"/>
  <c r="S8" i="36"/>
  <c r="U8" i="35"/>
  <c r="F14" i="35"/>
  <c r="F23" i="35"/>
  <c r="J32" i="35"/>
  <c r="J16" i="35"/>
  <c r="H16" i="35"/>
  <c r="F16" i="35"/>
  <c r="S16" i="35" s="1"/>
  <c r="H14" i="35"/>
  <c r="AB14" i="35" s="1"/>
  <c r="J29" i="35"/>
  <c r="AC29" i="35" s="1"/>
  <c r="H33" i="35"/>
  <c r="AB33" i="35"/>
  <c r="AC8" i="35"/>
  <c r="J20" i="35"/>
  <c r="W20" i="35" s="1"/>
  <c r="F35" i="37"/>
  <c r="E101" i="37"/>
  <c r="F101" i="37" s="1"/>
  <c r="G101" i="37" s="1"/>
  <c r="H101" i="37" s="1"/>
  <c r="I101" i="37" s="1"/>
  <c r="J101" i="37" s="1"/>
  <c r="K101" i="37" s="1"/>
  <c r="L101" i="37" s="1"/>
  <c r="M101" i="37" s="1"/>
  <c r="J34" i="37"/>
  <c r="W34" i="37"/>
  <c r="S10" i="37"/>
  <c r="AA39" i="37"/>
  <c r="J33" i="37"/>
  <c r="AC33" i="37" s="1"/>
  <c r="U42" i="34"/>
  <c r="H40" i="34"/>
  <c r="U40" i="34"/>
  <c r="E114" i="34"/>
  <c r="H36" i="34"/>
  <c r="U36" i="34" s="1"/>
  <c r="F37" i="34"/>
  <c r="AA37" i="34" s="1"/>
  <c r="S35" i="34"/>
  <c r="F28" i="34"/>
  <c r="AA28" i="34"/>
  <c r="F25" i="34"/>
  <c r="S25" i="34"/>
  <c r="H23" i="34"/>
  <c r="U23" i="34"/>
  <c r="J23" i="34"/>
  <c r="F19" i="34"/>
  <c r="S19" i="34" s="1"/>
  <c r="H17" i="34"/>
  <c r="U17" i="34"/>
  <c r="F15" i="34"/>
  <c r="J15" i="34"/>
  <c r="W15" i="34" s="1"/>
  <c r="H15" i="34"/>
  <c r="AB15" i="34"/>
  <c r="S9" i="34"/>
  <c r="W8" i="34"/>
  <c r="J28" i="34"/>
  <c r="W28" i="34"/>
  <c r="F41" i="33"/>
  <c r="AA41" i="33"/>
  <c r="E113" i="33"/>
  <c r="F113" i="33" s="1"/>
  <c r="F32" i="33"/>
  <c r="AA32" i="33"/>
  <c r="J19" i="33"/>
  <c r="AC19" i="33"/>
  <c r="J15" i="33"/>
  <c r="AC15" i="33"/>
  <c r="F11" i="33"/>
  <c r="AA11" i="33"/>
  <c r="U40" i="33"/>
  <c r="W40" i="33"/>
  <c r="U8" i="33"/>
  <c r="F37" i="40"/>
  <c r="AA37" i="40" s="1"/>
  <c r="F36" i="40"/>
  <c r="AA36" i="40" s="1"/>
  <c r="H28" i="40"/>
  <c r="F23" i="40"/>
  <c r="F17" i="40"/>
  <c r="AA17" i="40" s="1"/>
  <c r="J17" i="40"/>
  <c r="W17" i="40" s="1"/>
  <c r="F15" i="40"/>
  <c r="H15" i="40"/>
  <c r="AC11" i="40"/>
  <c r="AB30" i="36"/>
  <c r="AC34" i="36"/>
  <c r="U33" i="35"/>
  <c r="F29" i="35"/>
  <c r="S29" i="35"/>
  <c r="H29" i="35"/>
  <c r="AB29" i="35"/>
  <c r="H33" i="37"/>
  <c r="AB33" i="37"/>
  <c r="F33" i="37"/>
  <c r="AA33" i="37"/>
  <c r="W33" i="37"/>
  <c r="AA34" i="37"/>
  <c r="J43" i="34"/>
  <c r="AB42" i="34"/>
  <c r="J40" i="34"/>
  <c r="F114" i="34"/>
  <c r="G114" i="34" s="1"/>
  <c r="H114" i="34" s="1"/>
  <c r="I114" i="34" s="1"/>
  <c r="J114" i="34" s="1"/>
  <c r="K114" i="34" s="1"/>
  <c r="L114" i="34" s="1"/>
  <c r="M114" i="34" s="1"/>
  <c r="H38" i="34"/>
  <c r="J36" i="34"/>
  <c r="H37" i="34"/>
  <c r="U37" i="34" s="1"/>
  <c r="H25" i="34"/>
  <c r="J25" i="34"/>
  <c r="AB23" i="34"/>
  <c r="F23" i="34"/>
  <c r="AA23" i="34"/>
  <c r="J19" i="34"/>
  <c r="AC19" i="34"/>
  <c r="F17" i="34"/>
  <c r="AA17" i="34"/>
  <c r="J17" i="34"/>
  <c r="W17" i="34"/>
  <c r="AB17" i="34"/>
  <c r="AA15" i="34"/>
  <c r="S15" i="34"/>
  <c r="S41" i="33"/>
  <c r="G113" i="33"/>
  <c r="H113" i="33" s="1"/>
  <c r="I113" i="33" s="1"/>
  <c r="J113" i="33" s="1"/>
  <c r="K113" i="33" s="1"/>
  <c r="L113" i="33" s="1"/>
  <c r="M113" i="33" s="1"/>
  <c r="H37" i="33"/>
  <c r="AB37" i="33"/>
  <c r="H15" i="33"/>
  <c r="AB15" i="33"/>
  <c r="H11" i="33"/>
  <c r="AB11" i="33"/>
  <c r="F28" i="40"/>
  <c r="AA28" i="40"/>
  <c r="AA29" i="35"/>
  <c r="AA42" i="34"/>
  <c r="S42" i="34"/>
  <c r="AC38" i="34"/>
  <c r="AA38" i="34"/>
  <c r="J37" i="34"/>
  <c r="J11" i="33"/>
  <c r="S28" i="34"/>
  <c r="U23" i="40"/>
  <c r="G123" i="21"/>
  <c r="H123" i="21" s="1"/>
  <c r="I123" i="21"/>
  <c r="J123" i="21" s="1"/>
  <c r="K123" i="21" s="1"/>
  <c r="L123" i="21" s="1"/>
  <c r="M123" i="21" s="1"/>
  <c r="J42" i="21"/>
  <c r="AC42" i="21"/>
  <c r="H42" i="21"/>
  <c r="U42" i="21"/>
  <c r="J44" i="34"/>
  <c r="F44" i="34"/>
  <c r="AA44" i="34" s="1"/>
  <c r="J10" i="35"/>
  <c r="BL587" i="3"/>
  <c r="J14" i="21"/>
  <c r="W14" i="21"/>
  <c r="F14" i="21"/>
  <c r="S14" i="21"/>
  <c r="H14" i="21"/>
  <c r="U14" i="21"/>
  <c r="H28" i="21"/>
  <c r="AB28" i="21"/>
  <c r="F28" i="21"/>
  <c r="AA28" i="21"/>
  <c r="J28" i="21"/>
  <c r="W28" i="21"/>
  <c r="H30" i="21"/>
  <c r="U30" i="21"/>
  <c r="F30" i="21"/>
  <c r="S30" i="21"/>
  <c r="J30" i="21"/>
  <c r="AC30" i="21"/>
  <c r="AC44" i="21"/>
  <c r="U46" i="21"/>
  <c r="F119" i="21"/>
  <c r="G119" i="21" s="1"/>
  <c r="H119" i="21"/>
  <c r="I119" i="21" s="1"/>
  <c r="J119" i="21" s="1"/>
  <c r="K119" i="21" s="1"/>
  <c r="L119" i="21" s="1"/>
  <c r="M119" i="21" s="1"/>
  <c r="H26" i="33"/>
  <c r="H28" i="33"/>
  <c r="F28" i="33"/>
  <c r="AA28" i="33" s="1"/>
  <c r="J28" i="33"/>
  <c r="F33" i="35"/>
  <c r="J33" i="35"/>
  <c r="F30" i="35"/>
  <c r="S30" i="35" s="1"/>
  <c r="E89" i="35"/>
  <c r="F89" i="35" s="1"/>
  <c r="G89" i="35" s="1"/>
  <c r="H89" i="35" s="1"/>
  <c r="I89" i="35" s="1"/>
  <c r="J89" i="35" s="1"/>
  <c r="K89" i="35" s="1"/>
  <c r="L89" i="35" s="1"/>
  <c r="M89" i="35" s="1"/>
  <c r="H10" i="36"/>
  <c r="AB10" i="36"/>
  <c r="J14" i="36"/>
  <c r="AC14" i="36"/>
  <c r="H14" i="36"/>
  <c r="U14" i="36"/>
  <c r="F28" i="36"/>
  <c r="AA28" i="36"/>
  <c r="J31" i="21"/>
  <c r="AC31" i="21"/>
  <c r="F31" i="21"/>
  <c r="S31" i="21"/>
  <c r="F45" i="21"/>
  <c r="AA45" i="21"/>
  <c r="AA27" i="33"/>
  <c r="J13" i="33"/>
  <c r="H13" i="33"/>
  <c r="AB13" i="33" s="1"/>
  <c r="F13" i="33"/>
  <c r="S13" i="33" s="1"/>
  <c r="J29" i="33"/>
  <c r="H29" i="33"/>
  <c r="U29" i="33" s="1"/>
  <c r="F29" i="33"/>
  <c r="J31" i="33"/>
  <c r="H31" i="33"/>
  <c r="AB31" i="33" s="1"/>
  <c r="F31" i="33"/>
  <c r="H45" i="33"/>
  <c r="U45" i="33" s="1"/>
  <c r="J45" i="33"/>
  <c r="W45" i="33" s="1"/>
  <c r="F45" i="33"/>
  <c r="J14" i="34"/>
  <c r="W14" i="34" s="1"/>
  <c r="F14" i="34"/>
  <c r="S14" i="34" s="1"/>
  <c r="H14" i="34"/>
  <c r="AB14" i="34" s="1"/>
  <c r="H30" i="34"/>
  <c r="F30" i="34"/>
  <c r="S30" i="34" s="1"/>
  <c r="J30" i="34"/>
  <c r="H32" i="34"/>
  <c r="AB32" i="34" s="1"/>
  <c r="F32" i="34"/>
  <c r="J32" i="34"/>
  <c r="H46" i="34"/>
  <c r="U46" i="34" s="1"/>
  <c r="F46" i="34"/>
  <c r="AA46" i="34" s="1"/>
  <c r="J46" i="34"/>
  <c r="H11" i="35"/>
  <c r="U11" i="35" s="1"/>
  <c r="J11" i="35"/>
  <c r="F11" i="35"/>
  <c r="S11" i="35" s="1"/>
  <c r="J26" i="36"/>
  <c r="H28" i="36"/>
  <c r="H32" i="36"/>
  <c r="J32" i="36"/>
  <c r="J11" i="36"/>
  <c r="AC11" i="36" s="1"/>
  <c r="H11" i="36"/>
  <c r="F11" i="36"/>
  <c r="H13" i="36"/>
  <c r="AB13" i="36" s="1"/>
  <c r="J13" i="36"/>
  <c r="AC13" i="36" s="1"/>
  <c r="F13" i="36"/>
  <c r="S13" i="36"/>
  <c r="E89" i="37"/>
  <c r="F89" i="37"/>
  <c r="G89" i="37" s="1"/>
  <c r="H89" i="37" s="1"/>
  <c r="I89" i="37" s="1"/>
  <c r="J89" i="37" s="1"/>
  <c r="K89" i="37" s="1"/>
  <c r="L89" i="37" s="1"/>
  <c r="M89" i="37" s="1"/>
  <c r="J29" i="37"/>
  <c r="F29" i="37"/>
  <c r="S29" i="37" s="1"/>
  <c r="F105" i="37"/>
  <c r="H36" i="37"/>
  <c r="AB36" i="37"/>
  <c r="F107" i="37"/>
  <c r="J37" i="37"/>
  <c r="AC37" i="37" s="1"/>
  <c r="H37" i="37"/>
  <c r="H40" i="37"/>
  <c r="U40" i="37" s="1"/>
  <c r="J40" i="37"/>
  <c r="AC40" i="37" s="1"/>
  <c r="F40" i="37"/>
  <c r="AC12" i="40"/>
  <c r="W12" i="40"/>
  <c r="H14" i="33"/>
  <c r="U14" i="33" s="1"/>
  <c r="F14" i="33"/>
  <c r="J14" i="33"/>
  <c r="W14" i="33" s="1"/>
  <c r="AB30" i="33"/>
  <c r="J30" i="33"/>
  <c r="W30" i="33" s="1"/>
  <c r="J44" i="33"/>
  <c r="F44" i="33"/>
  <c r="J46" i="33"/>
  <c r="F46" i="33"/>
  <c r="H46" i="33"/>
  <c r="AB46" i="33" s="1"/>
  <c r="H13" i="34"/>
  <c r="U13" i="34" s="1"/>
  <c r="J13" i="34"/>
  <c r="W13" i="34" s="1"/>
  <c r="F13" i="34"/>
  <c r="J29" i="34"/>
  <c r="W29" i="34" s="1"/>
  <c r="S29" i="34"/>
  <c r="AC31" i="34"/>
  <c r="U45" i="34"/>
  <c r="U47" i="34"/>
  <c r="S13" i="35"/>
  <c r="W25" i="35"/>
  <c r="AC35" i="35"/>
  <c r="J25" i="36"/>
  <c r="W25" i="36"/>
  <c r="F25" i="36"/>
  <c r="S25" i="36"/>
  <c r="H25" i="36"/>
  <c r="AB25" i="36"/>
  <c r="AB13" i="37"/>
  <c r="F28" i="37"/>
  <c r="AA28" i="37"/>
  <c r="J28" i="37"/>
  <c r="AC28" i="37"/>
  <c r="H28" i="37"/>
  <c r="U28" i="37"/>
  <c r="H38" i="37"/>
  <c r="AB38" i="37"/>
  <c r="J38" i="37"/>
  <c r="AC38" i="37"/>
  <c r="F38" i="37"/>
  <c r="S38" i="37"/>
  <c r="F43" i="39"/>
  <c r="AA43" i="39"/>
  <c r="H43" i="39"/>
  <c r="J14" i="39"/>
  <c r="F14" i="39"/>
  <c r="AA14" i="39" s="1"/>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H13" i="39"/>
  <c r="AB13" i="39" s="1"/>
  <c r="H14" i="40"/>
  <c r="AB14" i="40"/>
  <c r="J14" i="40"/>
  <c r="W14" i="40"/>
  <c r="F14" i="40"/>
  <c r="AA14" i="40"/>
  <c r="J14" i="37"/>
  <c r="AC14" i="37"/>
  <c r="J27" i="37"/>
  <c r="AC27" i="37"/>
  <c r="AA13" i="35"/>
  <c r="U46" i="33"/>
  <c r="J36" i="37"/>
  <c r="AC36" i="37" s="1"/>
  <c r="G105" i="37"/>
  <c r="AB11" i="35"/>
  <c r="J10" i="36"/>
  <c r="AC10" i="36"/>
  <c r="AB30" i="21"/>
  <c r="AA14" i="37"/>
  <c r="W31" i="34"/>
  <c r="W13" i="36"/>
  <c r="W11" i="36"/>
  <c r="AB46" i="34"/>
  <c r="AA14" i="34"/>
  <c r="AB45" i="33"/>
  <c r="U31" i="33"/>
  <c r="U13" i="33"/>
  <c r="AC28" i="21"/>
  <c r="S44" i="34"/>
  <c r="BA585" i="3"/>
  <c r="AZ585" i="3" s="1"/>
  <c r="F17" i="21"/>
  <c r="AA17" i="21"/>
  <c r="H17" i="21"/>
  <c r="AB17" i="21"/>
  <c r="F15" i="21"/>
  <c r="S15" i="21"/>
  <c r="AB11" i="21"/>
  <c r="J41" i="39"/>
  <c r="W41" i="39" s="1"/>
  <c r="W44" i="39"/>
  <c r="W35" i="39"/>
  <c r="S35" i="39"/>
  <c r="G540" i="3"/>
  <c r="G536" i="3"/>
  <c r="G535" i="3"/>
  <c r="G532" i="3"/>
  <c r="G531" i="3"/>
  <c r="G528" i="3"/>
  <c r="G527" i="3"/>
  <c r="G523" i="3"/>
  <c r="G518" i="3"/>
  <c r="G514" i="3"/>
  <c r="G510" i="3"/>
  <c r="G508" i="3"/>
  <c r="G504" i="3"/>
  <c r="G500" i="3"/>
  <c r="G496" i="3"/>
  <c r="G580" i="3"/>
  <c r="G576" i="3"/>
  <c r="G572" i="3"/>
  <c r="G564" i="3"/>
  <c r="G560" i="3"/>
  <c r="G554" i="3"/>
  <c r="G550" i="3"/>
  <c r="BL584" i="3"/>
  <c r="BL580" i="3"/>
  <c r="BL576" i="3"/>
  <c r="BL568" i="3"/>
  <c r="BL564" i="3"/>
  <c r="BL560" i="3"/>
  <c r="BL546" i="3"/>
  <c r="BL538" i="3"/>
  <c r="BL534" i="3"/>
  <c r="BL530" i="3"/>
  <c r="AZ530" i="3" s="1"/>
  <c r="BL526" i="3"/>
  <c r="BL522" i="3"/>
  <c r="BL516" i="3"/>
  <c r="BL512" i="3"/>
  <c r="BL506" i="3"/>
  <c r="BL502" i="3"/>
  <c r="BL498" i="3"/>
  <c r="BL494" i="3"/>
  <c r="BL578" i="3"/>
  <c r="BL574" i="3"/>
  <c r="BL570" i="3"/>
  <c r="BL562" i="3"/>
  <c r="BL552" i="3"/>
  <c r="BL540" i="3"/>
  <c r="BL536" i="3"/>
  <c r="G533" i="3"/>
  <c r="BL532" i="3"/>
  <c r="G529" i="3"/>
  <c r="BL528" i="3"/>
  <c r="G525" i="3"/>
  <c r="BL524" i="3"/>
  <c r="BL518" i="3"/>
  <c r="BL514" i="3"/>
  <c r="BL510" i="3"/>
  <c r="AZ510" i="3" s="1"/>
  <c r="BL504" i="3"/>
  <c r="BL500" i="3"/>
  <c r="BL496" i="3"/>
  <c r="G493"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BA560" i="3"/>
  <c r="BA558" i="3"/>
  <c r="AZ558" i="3"/>
  <c r="AZ556" i="3"/>
  <c r="AZ554" i="3"/>
  <c r="AZ552" i="3"/>
  <c r="BA546" i="3"/>
  <c r="AZ544" i="3"/>
  <c r="AZ542" i="3"/>
  <c r="BA540" i="3"/>
  <c r="AZ540" i="3"/>
  <c r="BA538" i="3"/>
  <c r="AZ538" i="3"/>
  <c r="BA536" i="3"/>
  <c r="AZ536" i="3"/>
  <c r="BA534" i="3"/>
  <c r="AZ534" i="3"/>
  <c r="BA532" i="3"/>
  <c r="AZ532" i="3"/>
  <c r="BA530" i="3"/>
  <c r="BA528" i="3"/>
  <c r="AZ528" i="3" s="1"/>
  <c r="BA526" i="3"/>
  <c r="AZ526" i="3" s="1"/>
  <c r="BA524" i="3"/>
  <c r="AZ524" i="3" s="1"/>
  <c r="BA522" i="3"/>
  <c r="BA520" i="3"/>
  <c r="AZ520" i="3" s="1"/>
  <c r="BA518" i="3"/>
  <c r="BA516" i="3"/>
  <c r="AZ516" i="3" s="1"/>
  <c r="BA514" i="3"/>
  <c r="AZ514" i="3" s="1"/>
  <c r="BA512" i="3"/>
  <c r="BA510" i="3"/>
  <c r="BA508" i="3"/>
  <c r="BA506" i="3"/>
  <c r="AZ506" i="3" s="1"/>
  <c r="BA504" i="3"/>
  <c r="AZ504" i="3" s="1"/>
  <c r="BA502" i="3"/>
  <c r="AZ502" i="3" s="1"/>
  <c r="BA500" i="3"/>
  <c r="BA498" i="3"/>
  <c r="AZ498" i="3" s="1"/>
  <c r="BA496" i="3"/>
  <c r="BA494" i="3"/>
  <c r="BA581" i="3"/>
  <c r="BA579" i="3"/>
  <c r="AZ579" i="3" s="1"/>
  <c r="BA577" i="3"/>
  <c r="BA575" i="3"/>
  <c r="AZ575" i="3" s="1"/>
  <c r="BA571" i="3"/>
  <c r="BA567" i="3"/>
  <c r="AZ567" i="3" s="1"/>
  <c r="BA565" i="3"/>
  <c r="BA563" i="3"/>
  <c r="BA561" i="3"/>
  <c r="BA559" i="3"/>
  <c r="AZ559" i="3" s="1"/>
  <c r="BA553" i="3"/>
  <c r="BA549" i="3"/>
  <c r="BA547" i="3"/>
  <c r="BA543" i="3"/>
  <c r="BA541" i="3"/>
  <c r="BA539" i="3"/>
  <c r="AZ539" i="3" s="1"/>
  <c r="BA537" i="3"/>
  <c r="BA535" i="3"/>
  <c r="AZ535" i="3" s="1"/>
  <c r="BA533" i="3"/>
  <c r="BA531" i="3"/>
  <c r="AZ531" i="3" s="1"/>
  <c r="BA529" i="3"/>
  <c r="BA527" i="3"/>
  <c r="BA525" i="3"/>
  <c r="BA523" i="3"/>
  <c r="BA519" i="3"/>
  <c r="BA517" i="3"/>
  <c r="BA515" i="3"/>
  <c r="BA513" i="3"/>
  <c r="BA511" i="3"/>
  <c r="BA507" i="3"/>
  <c r="BA505" i="3"/>
  <c r="BA503" i="3"/>
  <c r="BA501" i="3"/>
  <c r="BA499" i="3"/>
  <c r="BA497" i="3"/>
  <c r="BA495" i="3"/>
  <c r="BA493" i="3"/>
  <c r="AZ560" i="3"/>
  <c r="G581" i="3"/>
  <c r="G579" i="3"/>
  <c r="G577" i="3"/>
  <c r="G575" i="3"/>
  <c r="G573" i="3"/>
  <c r="G569" i="3"/>
  <c r="G565" i="3"/>
  <c r="G563" i="3"/>
  <c r="G561" i="3"/>
  <c r="BL558" i="3"/>
  <c r="BA557" i="3"/>
  <c r="AC557" i="3"/>
  <c r="G557" i="3" s="1"/>
  <c r="BQ557" i="3"/>
  <c r="BQ583" i="3"/>
  <c r="BQ581" i="3"/>
  <c r="BL581" i="3"/>
  <c r="BQ579" i="3"/>
  <c r="BL579" i="3"/>
  <c r="BQ577" i="3"/>
  <c r="BL577" i="3" s="1"/>
  <c r="AZ577" i="3" s="1"/>
  <c r="BQ575" i="3"/>
  <c r="BL575" i="3"/>
  <c r="BQ573" i="3"/>
  <c r="BQ571" i="3"/>
  <c r="BL571" i="3"/>
  <c r="BQ569" i="3"/>
  <c r="BQ567" i="3"/>
  <c r="BL567" i="3"/>
  <c r="BQ565" i="3"/>
  <c r="BL565" i="3" s="1"/>
  <c r="AZ565" i="3" s="1"/>
  <c r="BQ563" i="3"/>
  <c r="BL563" i="3"/>
  <c r="BQ561" i="3"/>
  <c r="BL561" i="3"/>
  <c r="AZ561" i="3" s="1"/>
  <c r="BQ559" i="3"/>
  <c r="BL559" i="3" s="1"/>
  <c r="G559" i="3"/>
  <c r="G555" i="3"/>
  <c r="G549" i="3"/>
  <c r="G545" i="3"/>
  <c r="G541" i="3"/>
  <c r="G539" i="3"/>
  <c r="G537" i="3"/>
  <c r="BQ555" i="3"/>
  <c r="BL555" i="3"/>
  <c r="BQ553" i="3"/>
  <c r="BQ551" i="3"/>
  <c r="BL551" i="3"/>
  <c r="BQ549" i="3"/>
  <c r="BQ547" i="3"/>
  <c r="BQ545" i="3"/>
  <c r="BL545" i="3"/>
  <c r="BQ543" i="3"/>
  <c r="BQ541" i="3"/>
  <c r="BL541" i="3"/>
  <c r="AZ541" i="3" s="1"/>
  <c r="BQ539" i="3"/>
  <c r="BL539" i="3" s="1"/>
  <c r="BQ537" i="3"/>
  <c r="BL537" i="3"/>
  <c r="AZ537" i="3" s="1"/>
  <c r="BQ535" i="3"/>
  <c r="BL535" i="3" s="1"/>
  <c r="BQ533" i="3"/>
  <c r="BL533" i="3"/>
  <c r="AZ533" i="3" s="1"/>
  <c r="BQ531" i="3"/>
  <c r="BL531" i="3" s="1"/>
  <c r="BQ529" i="3"/>
  <c r="BL529" i="3"/>
  <c r="AZ529" i="3" s="1"/>
  <c r="BQ527" i="3"/>
  <c r="BL527" i="3" s="1"/>
  <c r="BQ525" i="3"/>
  <c r="BL525" i="3" s="1"/>
  <c r="AZ525" i="3" s="1"/>
  <c r="BQ523" i="3"/>
  <c r="BL523" i="3" s="1"/>
  <c r="BA521" i="3"/>
  <c r="AC521" i="3"/>
  <c r="G521" i="3"/>
  <c r="BQ521" i="3"/>
  <c r="BL521" i="3" s="1"/>
  <c r="AZ521" i="3" s="1"/>
  <c r="BL520" i="3"/>
  <c r="G519" i="3"/>
  <c r="G517" i="3"/>
  <c r="G515" i="3"/>
  <c r="G513" i="3"/>
  <c r="G511" i="3"/>
  <c r="BQ519" i="3"/>
  <c r="BL519" i="3" s="1"/>
  <c r="AZ519" i="3"/>
  <c r="BQ517" i="3"/>
  <c r="BL517" i="3"/>
  <c r="BQ515" i="3"/>
  <c r="BL515" i="3" s="1"/>
  <c r="AZ515" i="3"/>
  <c r="BQ513" i="3"/>
  <c r="BL513" i="3"/>
  <c r="BQ511" i="3"/>
  <c r="BL511" i="3" s="1"/>
  <c r="AZ511" i="3"/>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J25" i="21"/>
  <c r="E125" i="33"/>
  <c r="F125" i="33" s="1"/>
  <c r="G125" i="33" s="1"/>
  <c r="H43" i="33"/>
  <c r="AB43" i="33" s="1"/>
  <c r="H17" i="37"/>
  <c r="U17" i="37" s="1"/>
  <c r="AB27" i="37"/>
  <c r="U32" i="33"/>
  <c r="AA36" i="39"/>
  <c r="F39" i="33"/>
  <c r="AA39" i="33"/>
  <c r="F42" i="33"/>
  <c r="AA42" i="33" s="1"/>
  <c r="H28" i="34"/>
  <c r="AB28" i="34" s="1"/>
  <c r="F14" i="36"/>
  <c r="F22" i="36"/>
  <c r="S22" i="36" s="1"/>
  <c r="F26" i="36"/>
  <c r="S26" i="36" s="1"/>
  <c r="H27" i="34"/>
  <c r="H35" i="34"/>
  <c r="F41" i="34"/>
  <c r="S41" i="34" s="1"/>
  <c r="H41" i="34"/>
  <c r="U41" i="34" s="1"/>
  <c r="J41" i="34"/>
  <c r="F10" i="35"/>
  <c r="S10" i="35" s="1"/>
  <c r="F24" i="35"/>
  <c r="AA24" i="35" s="1"/>
  <c r="H24" i="35"/>
  <c r="H23" i="37"/>
  <c r="AB23" i="37" s="1"/>
  <c r="J32" i="37"/>
  <c r="F36" i="37"/>
  <c r="AA36" i="37" s="1"/>
  <c r="F37" i="37"/>
  <c r="F31" i="40"/>
  <c r="H31" i="40"/>
  <c r="F32" i="40"/>
  <c r="H32" i="40"/>
  <c r="AB32" i="40" s="1"/>
  <c r="J36" i="40"/>
  <c r="AA41" i="34"/>
  <c r="H19" i="37"/>
  <c r="AB19" i="37"/>
  <c r="G123" i="33"/>
  <c r="H123" i="33" s="1"/>
  <c r="I123" i="33"/>
  <c r="J123" i="33" s="1"/>
  <c r="K123" i="33" s="1"/>
  <c r="L123" i="33" s="1"/>
  <c r="M123" i="33" s="1"/>
  <c r="H42" i="33"/>
  <c r="AB42" i="33"/>
  <c r="J43" i="33"/>
  <c r="AC43" i="33" s="1"/>
  <c r="U43" i="33"/>
  <c r="S28" i="31"/>
  <c r="S27" i="31"/>
  <c r="S26" i="31"/>
  <c r="U14" i="40"/>
  <c r="AC33" i="36"/>
  <c r="AA12" i="35"/>
  <c r="W14" i="37"/>
  <c r="AB28" i="37"/>
  <c r="U33" i="37"/>
  <c r="U39" i="37"/>
  <c r="W26" i="37"/>
  <c r="AC8" i="37"/>
  <c r="U26" i="37"/>
  <c r="AB13" i="34"/>
  <c r="AB37" i="34"/>
  <c r="AA13" i="33"/>
  <c r="AC45" i="33"/>
  <c r="U11" i="33"/>
  <c r="U19" i="21"/>
  <c r="W44" i="21"/>
  <c r="AB38" i="21"/>
  <c r="F43" i="33"/>
  <c r="AA43" i="33"/>
  <c r="AC15" i="34"/>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E94" i="37"/>
  <c r="F31" i="37"/>
  <c r="S31" i="37"/>
  <c r="F12" i="39"/>
  <c r="S12" i="39"/>
  <c r="J42" i="39"/>
  <c r="AC42" i="39"/>
  <c r="H21" i="40"/>
  <c r="AB21" i="40"/>
  <c r="AC12" i="37"/>
  <c r="F94" i="37"/>
  <c r="G94" i="37" s="1"/>
  <c r="H94" i="37"/>
  <c r="I94" i="37" s="1"/>
  <c r="J94" i="37" s="1"/>
  <c r="K94" i="37" s="1"/>
  <c r="L94" i="37" s="1"/>
  <c r="M94" i="37" s="1"/>
  <c r="H31" i="37"/>
  <c r="U31" i="37" s="1"/>
  <c r="F71" i="37"/>
  <c r="G71" i="37" s="1"/>
  <c r="J15" i="37"/>
  <c r="W15" i="37" s="1"/>
  <c r="U12" i="37"/>
  <c r="AT6" i="3"/>
  <c r="H5" i="3"/>
  <c r="C12" i="43"/>
  <c r="H19" i="40"/>
  <c r="U19" i="40"/>
  <c r="G88" i="40"/>
  <c r="F19" i="40"/>
  <c r="S19" i="40"/>
  <c r="S14" i="40"/>
  <c r="AC13" i="40"/>
  <c r="AB33" i="40"/>
  <c r="W23" i="39"/>
  <c r="AC43" i="39"/>
  <c r="W43" i="39"/>
  <c r="U45" i="39"/>
  <c r="AB45" i="39"/>
  <c r="AB44" i="39"/>
  <c r="U44" i="39"/>
  <c r="H37" i="39"/>
  <c r="AB37" i="39" s="1"/>
  <c r="AC37" i="39"/>
  <c r="W37" i="39"/>
  <c r="H25" i="39"/>
  <c r="AB25" i="39" s="1"/>
  <c r="J25" i="39"/>
  <c r="W25" i="39" s="1"/>
  <c r="F25" i="39"/>
  <c r="AA25" i="39" s="1"/>
  <c r="F15" i="39"/>
  <c r="AA15" i="39"/>
  <c r="H15" i="39"/>
  <c r="U15" i="39"/>
  <c r="J15" i="39"/>
  <c r="W15" i="39"/>
  <c r="H41" i="39"/>
  <c r="AB41" i="39" s="1"/>
  <c r="AB34" i="39"/>
  <c r="S42" i="39"/>
  <c r="W9" i="39"/>
  <c r="W8" i="39"/>
  <c r="J19" i="40"/>
  <c r="AC19" i="40" s="1"/>
  <c r="J50" i="40"/>
  <c r="H103" i="9"/>
  <c r="D8" i="53"/>
  <c r="B16" i="53"/>
  <c r="B33" i="72" s="1"/>
  <c r="C7" i="37"/>
  <c r="C7" i="34"/>
  <c r="C7" i="36"/>
  <c r="C46" i="36" s="1"/>
  <c r="D46" i="36" s="1"/>
  <c r="W35" i="40"/>
  <c r="A118" i="9"/>
  <c r="A4" i="52"/>
  <c r="B41" i="72"/>
  <c r="G4" i="4"/>
  <c r="I4" i="4"/>
  <c r="K5" i="4"/>
  <c r="B47" i="48" s="1"/>
  <c r="A2" i="9"/>
  <c r="N2" i="43"/>
  <c r="F59" i="43"/>
  <c r="BL549" i="3"/>
  <c r="AZ522" i="3"/>
  <c r="AZ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AZ341" i="3" s="1"/>
  <c r="BL341" i="3"/>
  <c r="BA343" i="3"/>
  <c r="BA345" i="3"/>
  <c r="BL355" i="3"/>
  <c r="G356" i="3"/>
  <c r="BL357" i="3"/>
  <c r="BA359" i="3"/>
  <c r="AZ359" i="3" s="1"/>
  <c r="BA360" i="3"/>
  <c r="AZ360" i="3" s="1"/>
  <c r="BL360" i="3"/>
  <c r="G361" i="3"/>
  <c r="BA362" i="3"/>
  <c r="G370" i="3"/>
  <c r="BL371" i="3"/>
  <c r="G372" i="3"/>
  <c r="BL373" i="3"/>
  <c r="BA375" i="3"/>
  <c r="AZ375" i="3" s="1"/>
  <c r="BA376" i="3"/>
  <c r="BL376" i="3"/>
  <c r="G377" i="3"/>
  <c r="BA378" i="3"/>
  <c r="AZ378" i="3" s="1"/>
  <c r="BL378" i="3"/>
  <c r="G379" i="3"/>
  <c r="BA380" i="3"/>
  <c r="G388" i="3"/>
  <c r="BL389" i="3"/>
  <c r="G390" i="3"/>
  <c r="BL391" i="3"/>
  <c r="BA393" i="3"/>
  <c r="AZ393" i="3" s="1"/>
  <c r="BA394" i="3"/>
  <c r="BL394" i="3"/>
  <c r="G113" i="3"/>
  <c r="BA115" i="3"/>
  <c r="BL116" i="3"/>
  <c r="G117" i="3"/>
  <c r="BA119" i="3"/>
  <c r="BL120" i="3"/>
  <c r="AZ120" i="3" s="1"/>
  <c r="G121" i="3"/>
  <c r="BA123" i="3"/>
  <c r="AZ123" i="3" s="1"/>
  <c r="BL124" i="3"/>
  <c r="G125" i="3"/>
  <c r="BA127" i="3"/>
  <c r="BL128" i="3"/>
  <c r="G129" i="3"/>
  <c r="BA131" i="3"/>
  <c r="AZ131" i="3" s="1"/>
  <c r="BL132" i="3"/>
  <c r="G133" i="3"/>
  <c r="BA135" i="3"/>
  <c r="BL136" i="3"/>
  <c r="AZ136" i="3" s="1"/>
  <c r="G137" i="3"/>
  <c r="BA139" i="3"/>
  <c r="BL140" i="3"/>
  <c r="G141" i="3"/>
  <c r="BA143" i="3"/>
  <c r="BL144" i="3"/>
  <c r="G145" i="3"/>
  <c r="BA147" i="3"/>
  <c r="AZ147" i="3" s="1"/>
  <c r="BL148" i="3"/>
  <c r="G149" i="3"/>
  <c r="BA151" i="3"/>
  <c r="BL152" i="3"/>
  <c r="G153" i="3"/>
  <c r="BA155" i="3"/>
  <c r="BL156" i="3"/>
  <c r="G157" i="3"/>
  <c r="BA159" i="3"/>
  <c r="BL160" i="3"/>
  <c r="G161" i="3"/>
  <c r="BA163" i="3"/>
  <c r="BL164" i="3"/>
  <c r="AZ164" i="3" s="1"/>
  <c r="G165" i="3"/>
  <c r="BA167" i="3"/>
  <c r="BL168" i="3"/>
  <c r="G169" i="3"/>
  <c r="BA171" i="3"/>
  <c r="BL172" i="3"/>
  <c r="G173" i="3"/>
  <c r="BA175" i="3"/>
  <c r="BL176" i="3"/>
  <c r="G177" i="3"/>
  <c r="BA179" i="3"/>
  <c r="BL180" i="3"/>
  <c r="AZ180" i="3" s="1"/>
  <c r="G181" i="3"/>
  <c r="BA183" i="3"/>
  <c r="BL184" i="3"/>
  <c r="G185" i="3"/>
  <c r="BA187" i="3"/>
  <c r="BL188" i="3"/>
  <c r="G189" i="3"/>
  <c r="BA191" i="3"/>
  <c r="BL192" i="3"/>
  <c r="G193" i="3"/>
  <c r="BA195" i="3"/>
  <c r="BL196" i="3"/>
  <c r="G197" i="3"/>
  <c r="BA199" i="3"/>
  <c r="BL200" i="3"/>
  <c r="G201" i="3"/>
  <c r="BA203" i="3"/>
  <c r="BL204" i="3"/>
  <c r="AZ43" i="3"/>
  <c r="AZ47" i="3"/>
  <c r="AZ51"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BA346" i="3"/>
  <c r="AZ346" i="3" s="1"/>
  <c r="BA347" i="3"/>
  <c r="BL347" i="3"/>
  <c r="G350" i="3"/>
  <c r="BA351" i="3"/>
  <c r="BL351" i="3"/>
  <c r="G352" i="3"/>
  <c r="G354" i="3"/>
  <c r="BA355" i="3"/>
  <c r="BA356" i="3"/>
  <c r="BL356" i="3"/>
  <c r="G357" i="3"/>
  <c r="G360" i="3"/>
  <c r="BL361" i="3"/>
  <c r="BA363" i="3"/>
  <c r="AZ363" i="3" s="1"/>
  <c r="BA364" i="3"/>
  <c r="AZ364" i="3" s="1"/>
  <c r="BL364" i="3"/>
  <c r="G365" i="3"/>
  <c r="G368" i="3"/>
  <c r="BL369" i="3"/>
  <c r="BA371" i="3"/>
  <c r="AZ371" i="3" s="1"/>
  <c r="BA372" i="3"/>
  <c r="AZ372" i="3" s="1"/>
  <c r="BL372" i="3"/>
  <c r="G373" i="3"/>
  <c r="G376" i="3"/>
  <c r="BL377" i="3"/>
  <c r="BL379" i="3"/>
  <c r="BA381" i="3"/>
  <c r="AZ381" i="3" s="1"/>
  <c r="BA382" i="3"/>
  <c r="AZ382" i="3" s="1"/>
  <c r="BL382" i="3"/>
  <c r="G383" i="3"/>
  <c r="G386" i="3"/>
  <c r="BL387" i="3"/>
  <c r="BA389" i="3"/>
  <c r="AZ389" i="3" s="1"/>
  <c r="BA390" i="3"/>
  <c r="BL390" i="3"/>
  <c r="G391" i="3"/>
  <c r="G394" i="3"/>
  <c r="BA16" i="3"/>
  <c r="BL303" i="3"/>
  <c r="G304" i="3"/>
  <c r="BA306" i="3"/>
  <c r="BL307" i="3"/>
  <c r="G308" i="3"/>
  <c r="BA310" i="3"/>
  <c r="AZ310" i="3" s="1"/>
  <c r="BL311" i="3"/>
  <c r="G312" i="3"/>
  <c r="BA314" i="3"/>
  <c r="BL315" i="3"/>
  <c r="G316" i="3"/>
  <c r="BA318" i="3"/>
  <c r="AZ318" i="3" s="1"/>
  <c r="BL319" i="3"/>
  <c r="G320" i="3"/>
  <c r="BA322" i="3"/>
  <c r="AZ322" i="3" s="1"/>
  <c r="BL323" i="3"/>
  <c r="G324" i="3"/>
  <c r="BA326" i="3"/>
  <c r="AZ326" i="3" s="1"/>
  <c r="BL327" i="3"/>
  <c r="G328" i="3"/>
  <c r="BA330" i="3"/>
  <c r="BL331" i="3"/>
  <c r="G332" i="3"/>
  <c r="BA334" i="3"/>
  <c r="AZ334" i="3" s="1"/>
  <c r="BL335" i="3"/>
  <c r="G336" i="3"/>
  <c r="BA338" i="3"/>
  <c r="BL339" i="3"/>
  <c r="G340" i="3"/>
  <c r="BL343" i="3"/>
  <c r="G344" i="3"/>
  <c r="G348" i="3"/>
  <c r="G355" i="3"/>
  <c r="G342" i="3"/>
  <c r="BL345" i="3"/>
  <c r="G346" i="3"/>
  <c r="BL349" i="3"/>
  <c r="AZ349" i="3"/>
  <c r="BL352" i="3"/>
  <c r="G353" i="3"/>
  <c r="BA357" i="3"/>
  <c r="AZ357" i="3"/>
  <c r="BL358" i="3"/>
  <c r="G359" i="3"/>
  <c r="BA361" i="3"/>
  <c r="BL362" i="3"/>
  <c r="AZ362" i="3" s="1"/>
  <c r="G363" i="3"/>
  <c r="BA365" i="3"/>
  <c r="BL366" i="3"/>
  <c r="G367" i="3"/>
  <c r="BA369" i="3"/>
  <c r="BL370" i="3"/>
  <c r="G371" i="3"/>
  <c r="BA373" i="3"/>
  <c r="AZ373" i="3" s="1"/>
  <c r="BL374" i="3"/>
  <c r="G375" i="3"/>
  <c r="BA377" i="3"/>
  <c r="BA379" i="3"/>
  <c r="AZ379" i="3" s="1"/>
  <c r="BL380" i="3"/>
  <c r="AZ380" i="3" s="1"/>
  <c r="G381" i="3"/>
  <c r="BA383" i="3"/>
  <c r="AZ383" i="3" s="1"/>
  <c r="BL384" i="3"/>
  <c r="G385" i="3"/>
  <c r="BA387" i="3"/>
  <c r="AZ387" i="3" s="1"/>
  <c r="BL388" i="3"/>
  <c r="G389" i="3"/>
  <c r="BA391" i="3"/>
  <c r="AZ391" i="3" s="1"/>
  <c r="BL392" i="3"/>
  <c r="G393" i="3"/>
  <c r="BO5" i="3"/>
  <c r="BJ5" i="3"/>
  <c r="BF5" i="3"/>
  <c r="AZ309" i="3"/>
  <c r="BQ5" i="3"/>
  <c r="AZ549" i="3"/>
  <c r="AZ496" i="3"/>
  <c r="G538" i="3"/>
  <c r="G520" i="3"/>
  <c r="G502" i="3"/>
  <c r="BP5" i="3"/>
  <c r="BK5" i="3"/>
  <c r="BG5" i="3"/>
  <c r="BC5" i="3"/>
  <c r="G17" i="3"/>
  <c r="BA17" i="3"/>
  <c r="BA15" i="3"/>
  <c r="BR5" i="3"/>
  <c r="AZ384" i="3"/>
  <c r="AZ509" i="3"/>
  <c r="BL493" i="3"/>
  <c r="AZ493" i="3" s="1"/>
  <c r="U36" i="40"/>
  <c r="N4" i="43"/>
  <c r="F36" i="43"/>
  <c r="F81" i="43"/>
  <c r="H83" i="43"/>
  <c r="H113" i="43"/>
  <c r="F48" i="43"/>
  <c r="N7" i="43"/>
  <c r="F70" i="43"/>
  <c r="H73" i="43"/>
  <c r="M6" i="43"/>
  <c r="M11" i="43"/>
  <c r="E17" i="43"/>
  <c r="F39" i="43"/>
  <c r="I17" i="43"/>
  <c r="F35" i="43"/>
  <c r="J17" i="43"/>
  <c r="F6" i="1"/>
  <c r="G6" i="1" s="1"/>
  <c r="U43" i="21"/>
  <c r="AC35" i="21"/>
  <c r="G8" i="1"/>
  <c r="G9" i="1"/>
  <c r="G10" i="1"/>
  <c r="F48" i="9"/>
  <c r="O52" i="9" s="1"/>
  <c r="AZ563" i="3"/>
  <c r="W37" i="37"/>
  <c r="W44" i="34"/>
  <c r="AC44" i="34"/>
  <c r="U13" i="37"/>
  <c r="U12" i="40"/>
  <c r="AA12" i="40"/>
  <c r="J37" i="33"/>
  <c r="W37" i="33"/>
  <c r="AC17" i="34"/>
  <c r="F106" i="33"/>
  <c r="G106" i="33" s="1"/>
  <c r="H106" i="33"/>
  <c r="I106" i="33" s="1"/>
  <c r="J106" i="33" s="1"/>
  <c r="K106" i="33" s="1"/>
  <c r="L106" i="33" s="1"/>
  <c r="M106" i="33" s="1"/>
  <c r="J34" i="33"/>
  <c r="F33" i="34"/>
  <c r="W12" i="36"/>
  <c r="H20" i="36"/>
  <c r="J20" i="36"/>
  <c r="W24" i="36"/>
  <c r="J27" i="36"/>
  <c r="W27" i="36"/>
  <c r="AB25" i="37"/>
  <c r="AC33" i="40"/>
  <c r="G111" i="40"/>
  <c r="H111" i="40" s="1"/>
  <c r="I111" i="40"/>
  <c r="J111" i="40" s="1"/>
  <c r="K111" i="40" s="1"/>
  <c r="L111" i="40" s="1"/>
  <c r="M111" i="40" s="1"/>
  <c r="H35" i="40"/>
  <c r="AB35" i="40"/>
  <c r="W29" i="35"/>
  <c r="H35" i="37"/>
  <c r="U35" i="37"/>
  <c r="H20" i="35"/>
  <c r="F20" i="35"/>
  <c r="AB23" i="35"/>
  <c r="U29" i="36"/>
  <c r="H32" i="37"/>
  <c r="AB32" i="37"/>
  <c r="F96" i="37"/>
  <c r="H27" i="40"/>
  <c r="U27" i="40" s="1"/>
  <c r="J27" i="40"/>
  <c r="F27" i="40"/>
  <c r="S27" i="40" s="1"/>
  <c r="J30" i="40"/>
  <c r="F30" i="40"/>
  <c r="AC21" i="40"/>
  <c r="E98" i="40"/>
  <c r="F98" i="40" s="1"/>
  <c r="G98" i="40"/>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F39" i="39"/>
  <c r="S39" i="39" s="1"/>
  <c r="J39" i="39"/>
  <c r="F97" i="39"/>
  <c r="G97" i="39" s="1"/>
  <c r="C40" i="11"/>
  <c r="AZ130" i="3"/>
  <c r="AZ42" i="3"/>
  <c r="AZ50" i="3"/>
  <c r="H75" i="43"/>
  <c r="H74" i="43"/>
  <c r="H50" i="43"/>
  <c r="H48" i="43"/>
  <c r="I20" i="43"/>
  <c r="C20" i="43" s="1"/>
  <c r="F23" i="39"/>
  <c r="AA23" i="39" s="1"/>
  <c r="H27" i="36"/>
  <c r="U27" i="36"/>
  <c r="F27" i="36"/>
  <c r="AA27" i="36"/>
  <c r="H33" i="34"/>
  <c r="U33" i="34"/>
  <c r="F32" i="37"/>
  <c r="AA32" i="37"/>
  <c r="G96" i="37"/>
  <c r="H96" i="37"/>
  <c r="I96" i="37" s="1"/>
  <c r="J96" i="37" s="1"/>
  <c r="K96" i="37" s="1"/>
  <c r="L96" i="37" s="1"/>
  <c r="M96" i="37" s="1"/>
  <c r="F20" i="36"/>
  <c r="AA20" i="36" s="1"/>
  <c r="J33" i="34"/>
  <c r="H23" i="39"/>
  <c r="U23" i="39" s="1"/>
  <c r="D48" i="9"/>
  <c r="M52" i="9"/>
  <c r="H86" i="43"/>
  <c r="H82" i="43"/>
  <c r="H87" i="43"/>
  <c r="K9" i="1"/>
  <c r="M9" i="1" s="1"/>
  <c r="AE9" i="1"/>
  <c r="D93" i="9"/>
  <c r="W26" i="33"/>
  <c r="AC27" i="34"/>
  <c r="U34" i="36"/>
  <c r="U33" i="36"/>
  <c r="AC12" i="39"/>
  <c r="W12" i="39"/>
  <c r="W12" i="33"/>
  <c r="AA32" i="36"/>
  <c r="AZ551" i="3"/>
  <c r="AZ441" i="3"/>
  <c r="AZ457" i="3"/>
  <c r="AZ473" i="3"/>
  <c r="AA39" i="34"/>
  <c r="BL14" i="3"/>
  <c r="AC13" i="34"/>
  <c r="W28" i="37"/>
  <c r="H12" i="39"/>
  <c r="AB12" i="39" s="1"/>
  <c r="F39" i="40"/>
  <c r="S39" i="40" s="1"/>
  <c r="BA14" i="3"/>
  <c r="AZ41" i="3"/>
  <c r="S12" i="1"/>
  <c r="R12" i="1"/>
  <c r="B12" i="1"/>
  <c r="E12" i="1" s="1"/>
  <c r="S10" i="1"/>
  <c r="R10" i="1"/>
  <c r="B10" i="1"/>
  <c r="E10" i="1" s="1"/>
  <c r="D1" i="66"/>
  <c r="E10" i="66" s="1"/>
  <c r="K12" i="1"/>
  <c r="M12" i="1" s="1"/>
  <c r="S13" i="1"/>
  <c r="R13" i="1"/>
  <c r="S11" i="1"/>
  <c r="R11" i="1"/>
  <c r="S9" i="1"/>
  <c r="R9" i="1"/>
  <c r="J51" i="67"/>
  <c r="C42" i="1"/>
  <c r="C24" i="12" s="1"/>
  <c r="H100" i="43"/>
  <c r="C30" i="66"/>
  <c r="E26" i="66"/>
  <c r="AA34" i="33"/>
  <c r="B41" i="1"/>
  <c r="S22" i="31"/>
  <c r="R22" i="31" s="1"/>
  <c r="J100" i="43"/>
  <c r="AB37" i="40"/>
  <c r="S35" i="40"/>
  <c r="U35" i="40"/>
  <c r="S17" i="40"/>
  <c r="AC17" i="40"/>
  <c r="AC15" i="40"/>
  <c r="AB27" i="40"/>
  <c r="AA19" i="40"/>
  <c r="S28" i="40"/>
  <c r="AA27" i="40"/>
  <c r="U21" i="40"/>
  <c r="AB19" i="40"/>
  <c r="W42" i="39"/>
  <c r="U37" i="39"/>
  <c r="S43" i="39"/>
  <c r="S37" i="39"/>
  <c r="U35" i="39"/>
  <c r="F107" i="39"/>
  <c r="G107" i="39" s="1"/>
  <c r="H107" i="39" s="1"/>
  <c r="S25" i="39"/>
  <c r="J21" i="39"/>
  <c r="F21" i="39"/>
  <c r="AA21" i="39" s="1"/>
  <c r="H21" i="39"/>
  <c r="AB21" i="39" s="1"/>
  <c r="AC15" i="39"/>
  <c r="S15" i="39"/>
  <c r="AB15" i="39"/>
  <c r="AA12" i="39"/>
  <c r="S9" i="39"/>
  <c r="U14" i="39"/>
  <c r="U12" i="39"/>
  <c r="S23" i="36"/>
  <c r="U13" i="36"/>
  <c r="AC27" i="36"/>
  <c r="AB27" i="36"/>
  <c r="U26" i="36"/>
  <c r="S33" i="36"/>
  <c r="S27" i="36"/>
  <c r="AA26" i="36"/>
  <c r="S29" i="36"/>
  <c r="AA22" i="36"/>
  <c r="W14" i="36"/>
  <c r="AB14" i="36"/>
  <c r="U22" i="36"/>
  <c r="S16" i="36"/>
  <c r="AA25" i="36"/>
  <c r="S24" i="36"/>
  <c r="U23" i="36"/>
  <c r="U16" i="36"/>
  <c r="U10" i="36"/>
  <c r="W10" i="36"/>
  <c r="W24" i="35"/>
  <c r="U29" i="35"/>
  <c r="U28" i="35"/>
  <c r="AB27" i="35"/>
  <c r="U32" i="35"/>
  <c r="AC30" i="35"/>
  <c r="AA36" i="35"/>
  <c r="S28" i="35"/>
  <c r="U22" i="35"/>
  <c r="AC20" i="35"/>
  <c r="U14" i="35"/>
  <c r="AA10" i="35"/>
  <c r="AA11" i="35"/>
  <c r="S8" i="35"/>
  <c r="AC9" i="35"/>
  <c r="AC12" i="35"/>
  <c r="F9" i="35"/>
  <c r="AA9" i="35" s="1"/>
  <c r="F26" i="35"/>
  <c r="AA26" i="35" s="1"/>
  <c r="J26" i="35"/>
  <c r="AC26" i="35" s="1"/>
  <c r="H26" i="35"/>
  <c r="AB40" i="37"/>
  <c r="W27" i="37"/>
  <c r="AC9" i="37"/>
  <c r="U29" i="37"/>
  <c r="S32" i="37"/>
  <c r="AB31" i="37"/>
  <c r="W30" i="37"/>
  <c r="S36" i="37"/>
  <c r="AA38" i="37"/>
  <c r="U32" i="37"/>
  <c r="W38" i="37"/>
  <c r="AC35" i="37"/>
  <c r="S30" i="37"/>
  <c r="AC15" i="37"/>
  <c r="J17" i="37"/>
  <c r="W17" i="37"/>
  <c r="F17" i="37"/>
  <c r="AA17" i="37" s="1"/>
  <c r="AB17" i="37"/>
  <c r="F19" i="37"/>
  <c r="S19" i="37" s="1"/>
  <c r="F23" i="37"/>
  <c r="U23" i="37"/>
  <c r="U15" i="37"/>
  <c r="U9" i="37"/>
  <c r="AA12" i="37"/>
  <c r="AA9" i="37"/>
  <c r="H10" i="37"/>
  <c r="H60" i="37"/>
  <c r="I60" i="37" s="1"/>
  <c r="F11" i="37"/>
  <c r="AB8" i="34"/>
  <c r="U44" i="34"/>
  <c r="AC39" i="34"/>
  <c r="AC42" i="34"/>
  <c r="U39" i="34"/>
  <c r="S43" i="34"/>
  <c r="AB41" i="34"/>
  <c r="W34" i="34"/>
  <c r="AA25" i="34"/>
  <c r="U28" i="34"/>
  <c r="S17" i="34"/>
  <c r="AA29" i="34"/>
  <c r="S23" i="34"/>
  <c r="U15" i="34"/>
  <c r="S10" i="34"/>
  <c r="H67" i="34"/>
  <c r="I67" i="34" s="1"/>
  <c r="H10" i="34"/>
  <c r="F11" i="34"/>
  <c r="S11" i="34" s="1"/>
  <c r="F70" i="34"/>
  <c r="W42" i="33"/>
  <c r="AA35" i="33"/>
  <c r="S32" i="33"/>
  <c r="AB29" i="33"/>
  <c r="H41" i="33"/>
  <c r="U41" i="33" s="1"/>
  <c r="G121" i="33"/>
  <c r="H121" i="33" s="1"/>
  <c r="I121" i="33"/>
  <c r="J121" i="33" s="1"/>
  <c r="K121" i="33" s="1"/>
  <c r="L121" i="33" s="1"/>
  <c r="M121" i="33" s="1"/>
  <c r="U42" i="33"/>
  <c r="S42" i="33"/>
  <c r="F36" i="33"/>
  <c r="G111" i="33"/>
  <c r="H108" i="33"/>
  <c r="I108" i="33" s="1"/>
  <c r="J108" i="33"/>
  <c r="K108" i="33" s="1"/>
  <c r="L108" i="33" s="1"/>
  <c r="M108" i="33" s="1"/>
  <c r="J35" i="33"/>
  <c r="AC35" i="33" s="1"/>
  <c r="S37" i="33"/>
  <c r="AA37" i="33"/>
  <c r="S39" i="33"/>
  <c r="F101" i="33"/>
  <c r="G101" i="33" s="1"/>
  <c r="H101" i="33" s="1"/>
  <c r="I101" i="33" s="1"/>
  <c r="J101" i="33" s="1"/>
  <c r="K101" i="33" s="1"/>
  <c r="L101" i="33" s="1"/>
  <c r="M101" i="33" s="1"/>
  <c r="J32" i="33"/>
  <c r="W32" i="33" s="1"/>
  <c r="W43" i="33"/>
  <c r="S43" i="33"/>
  <c r="F91" i="33"/>
  <c r="F87" i="33"/>
  <c r="H25" i="33"/>
  <c r="F25" i="33"/>
  <c r="AA25" i="33" s="1"/>
  <c r="J23" i="33"/>
  <c r="F85" i="33"/>
  <c r="G85" i="33" s="1"/>
  <c r="H23" i="33"/>
  <c r="F81" i="33"/>
  <c r="F19" i="33"/>
  <c r="S19" i="33"/>
  <c r="W19" i="33"/>
  <c r="J17" i="33"/>
  <c r="AC17" i="33" s="1"/>
  <c r="S15" i="33"/>
  <c r="W15" i="33"/>
  <c r="U9" i="33"/>
  <c r="J10" i="33"/>
  <c r="W10" i="33" s="1"/>
  <c r="H10" i="33"/>
  <c r="AA10" i="33"/>
  <c r="AB14" i="33"/>
  <c r="W36" i="21"/>
  <c r="AB39" i="21"/>
  <c r="S39" i="21"/>
  <c r="AA36" i="21"/>
  <c r="J15" i="21"/>
  <c r="F77" i="21"/>
  <c r="G77" i="21" s="1"/>
  <c r="F23" i="21"/>
  <c r="E85" i="21"/>
  <c r="AC11" i="21"/>
  <c r="AA14" i="21"/>
  <c r="S8" i="21"/>
  <c r="M3" i="43"/>
  <c r="N10" i="43"/>
  <c r="M1" i="43"/>
  <c r="M8" i="43"/>
  <c r="N8" i="43"/>
  <c r="N9" i="43"/>
  <c r="D120" i="9"/>
  <c r="C18" i="9"/>
  <c r="D18" i="9" s="1"/>
  <c r="F34" i="67"/>
  <c r="F62" i="67" s="1"/>
  <c r="M20" i="67"/>
  <c r="F34" i="15"/>
  <c r="F62" i="15" s="1"/>
  <c r="G13" i="3"/>
  <c r="BA13" i="3"/>
  <c r="BL17" i="3"/>
  <c r="BL13" i="3"/>
  <c r="J56" i="9"/>
  <c r="J57" i="9"/>
  <c r="E32" i="6"/>
  <c r="L19" i="6"/>
  <c r="G1" i="68"/>
  <c r="K1" i="12"/>
  <c r="AQ12" i="1"/>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D9" i="53"/>
  <c r="B25" i="72" s="1"/>
  <c r="B24" i="72"/>
  <c r="H85" i="43"/>
  <c r="H81" i="43"/>
  <c r="H84" i="43"/>
  <c r="H88" i="43"/>
  <c r="H53" i="43"/>
  <c r="H78" i="43"/>
  <c r="H70" i="43"/>
  <c r="H71" i="43"/>
  <c r="C17" i="43"/>
  <c r="F33" i="43"/>
  <c r="G17" i="43"/>
  <c r="C16" i="43" s="1"/>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7" i="40"/>
  <c r="C63" i="40"/>
  <c r="D63" i="40" s="1"/>
  <c r="E63" i="40" s="1"/>
  <c r="M47" i="9"/>
  <c r="G19" i="43"/>
  <c r="O19" i="43" s="1"/>
  <c r="T35" i="4"/>
  <c r="A19" i="51"/>
  <c r="B14" i="72" s="1"/>
  <c r="C59" i="34"/>
  <c r="D59" i="34" s="1"/>
  <c r="E59" i="34" s="1"/>
  <c r="C52" i="37"/>
  <c r="D52" i="37" s="1"/>
  <c r="A4" i="51"/>
  <c r="B6" i="72" s="1"/>
  <c r="C48" i="35"/>
  <c r="D48" i="35" s="1"/>
  <c r="E48" i="35" s="1"/>
  <c r="C58" i="21"/>
  <c r="D58" i="21" s="1"/>
  <c r="E58" i="21" s="1"/>
  <c r="C4" i="12"/>
  <c r="H66" i="43"/>
  <c r="H65" i="43"/>
  <c r="H64" i="43"/>
  <c r="H63" i="43"/>
  <c r="H55" i="43"/>
  <c r="H56" i="43"/>
  <c r="H76" i="43"/>
  <c r="H72" i="43"/>
  <c r="H77" i="43"/>
  <c r="L20" i="6"/>
  <c r="B6" i="1"/>
  <c r="E6" i="1" s="1"/>
  <c r="S8" i="1"/>
  <c r="AQ8" i="1" s="1"/>
  <c r="K11" i="1"/>
  <c r="M11" i="1" s="1"/>
  <c r="O11" i="1" s="1"/>
  <c r="AP6" i="1"/>
  <c r="B9" i="1"/>
  <c r="E9" i="1"/>
  <c r="K7" i="1"/>
  <c r="G1" i="15"/>
  <c r="G1" i="69"/>
  <c r="G1" i="67"/>
  <c r="U32" i="40"/>
  <c r="S37" i="40"/>
  <c r="W28" i="40"/>
  <c r="W34" i="40"/>
  <c r="W19" i="40"/>
  <c r="S36" i="40"/>
  <c r="W37" i="40"/>
  <c r="AC14" i="40"/>
  <c r="S13" i="40"/>
  <c r="S33" i="40"/>
  <c r="U11" i="40"/>
  <c r="AB13" i="40"/>
  <c r="AB17" i="40"/>
  <c r="U8" i="40"/>
  <c r="S8" i="40"/>
  <c r="AA39" i="39"/>
  <c r="AC41" i="39"/>
  <c r="U41" i="39"/>
  <c r="AC25" i="39"/>
  <c r="U13" i="39"/>
  <c r="AA13" i="39"/>
  <c r="S13" i="39"/>
  <c r="S14" i="39"/>
  <c r="U43" i="39"/>
  <c r="AB43" i="39"/>
  <c r="AA27" i="39"/>
  <c r="W31" i="39"/>
  <c r="S23" i="39"/>
  <c r="W34" i="39"/>
  <c r="S8" i="39"/>
  <c r="S20" i="36"/>
  <c r="AC25" i="36"/>
  <c r="S28" i="36"/>
  <c r="W29" i="36"/>
  <c r="U25" i="36"/>
  <c r="AA13" i="36"/>
  <c r="W9" i="36"/>
  <c r="W22" i="36"/>
  <c r="W23" i="36"/>
  <c r="S9" i="36"/>
  <c r="AC25" i="35"/>
  <c r="S24" i="35"/>
  <c r="AA30" i="35"/>
  <c r="AA16" i="35"/>
  <c r="W36" i="37"/>
  <c r="S27" i="37"/>
  <c r="S28" i="37"/>
  <c r="U36" i="37"/>
  <c r="U38" i="37"/>
  <c r="S33" i="37"/>
  <c r="AC34" i="37"/>
  <c r="AB35" i="37"/>
  <c r="AA31" i="37"/>
  <c r="U19" i="37"/>
  <c r="AA29" i="37"/>
  <c r="AA8" i="37"/>
  <c r="U8" i="37"/>
  <c r="AA40" i="34"/>
  <c r="AB40" i="34"/>
  <c r="U19" i="34"/>
  <c r="W19" i="34"/>
  <c r="AB33" i="34"/>
  <c r="AA30" i="34"/>
  <c r="AB47" i="34"/>
  <c r="AB36" i="34"/>
  <c r="AC14" i="34"/>
  <c r="AC29" i="34"/>
  <c r="W46" i="34"/>
  <c r="AC46" i="34"/>
  <c r="S32" i="34"/>
  <c r="AA32" i="34"/>
  <c r="U30" i="34"/>
  <c r="AB30" i="34"/>
  <c r="S37" i="34"/>
  <c r="AC40" i="34"/>
  <c r="W40" i="34"/>
  <c r="AA19" i="34"/>
  <c r="AA36" i="34"/>
  <c r="AA8" i="34"/>
  <c r="S8" i="34"/>
  <c r="AB9" i="34"/>
  <c r="S46" i="34"/>
  <c r="U32" i="34"/>
  <c r="U14" i="34"/>
  <c r="AC43" i="34"/>
  <c r="W43" i="34"/>
  <c r="AA11" i="34"/>
  <c r="W23" i="34"/>
  <c r="AC23" i="34"/>
  <c r="AC35" i="34"/>
  <c r="W35" i="34"/>
  <c r="U12" i="34"/>
  <c r="AB12" i="34"/>
  <c r="AC37" i="33"/>
  <c r="U39" i="33"/>
  <c r="S33" i="33"/>
  <c r="AB34" i="33"/>
  <c r="U44" i="33"/>
  <c r="AC14" i="33"/>
  <c r="AC30" i="33"/>
  <c r="S31" i="33"/>
  <c r="AA31" i="33"/>
  <c r="W13" i="33"/>
  <c r="AC13" i="33"/>
  <c r="U15" i="33"/>
  <c r="S11" i="33"/>
  <c r="U37" i="33"/>
  <c r="S28" i="33"/>
  <c r="W8" i="33"/>
  <c r="AB42" i="21"/>
  <c r="U28" i="21"/>
  <c r="AA11" i="21"/>
  <c r="S45" i="21"/>
  <c r="I101" i="21"/>
  <c r="J101" i="21" s="1"/>
  <c r="K101" i="21" s="1"/>
  <c r="L101" i="21" s="1"/>
  <c r="M101" i="21" s="1"/>
  <c r="F33" i="21"/>
  <c r="J33" i="21"/>
  <c r="W33" i="21" s="1"/>
  <c r="H33" i="21"/>
  <c r="AB33" i="21"/>
  <c r="F37" i="21"/>
  <c r="AA37" i="21"/>
  <c r="AA26" i="21"/>
  <c r="AB14" i="21"/>
  <c r="U40" i="21"/>
  <c r="U31" i="21"/>
  <c r="U13" i="21"/>
  <c r="W8" i="21"/>
  <c r="AB37" i="21"/>
  <c r="J37" i="21"/>
  <c r="W37" i="21"/>
  <c r="H15" i="21"/>
  <c r="U15" i="21"/>
  <c r="J17" i="21"/>
  <c r="AC17" i="21"/>
  <c r="AC19" i="21"/>
  <c r="W39" i="21"/>
  <c r="AC14" i="21"/>
  <c r="W30" i="21"/>
  <c r="H45" i="21"/>
  <c r="F29" i="21"/>
  <c r="S29" i="21" s="1"/>
  <c r="F13" i="21"/>
  <c r="AC38" i="21"/>
  <c r="H32" i="21"/>
  <c r="H9" i="21"/>
  <c r="U9" i="21" s="1"/>
  <c r="J9" i="21"/>
  <c r="J32" i="21"/>
  <c r="AC32" i="21" s="1"/>
  <c r="F32" i="21"/>
  <c r="AA31" i="21"/>
  <c r="U17" i="21"/>
  <c r="W29" i="21"/>
  <c r="S19" i="21"/>
  <c r="S9" i="21"/>
  <c r="K141" i="21"/>
  <c r="K144" i="21"/>
  <c r="K143" i="21"/>
  <c r="AB25" i="21"/>
  <c r="AA30" i="21"/>
  <c r="W42" i="21"/>
  <c r="F10" i="21"/>
  <c r="S10" i="21" s="1"/>
  <c r="K145" i="21"/>
  <c r="W17" i="21"/>
  <c r="AA29" i="21"/>
  <c r="W31" i="21"/>
  <c r="S17" i="21"/>
  <c r="AA15" i="21"/>
  <c r="AC26" i="21"/>
  <c r="S28" i="21"/>
  <c r="W10" i="21"/>
  <c r="AB36" i="21"/>
  <c r="C19" i="39"/>
  <c r="C15" i="40"/>
  <c r="C17" i="40"/>
  <c r="C23" i="40"/>
  <c r="C21" i="40"/>
  <c r="U30" i="40"/>
  <c r="B54" i="43"/>
  <c r="B65" i="43"/>
  <c r="B49" i="43"/>
  <c r="B52" i="43"/>
  <c r="B56" i="43"/>
  <c r="B60" i="43"/>
  <c r="B63" i="43"/>
  <c r="B67" i="43"/>
  <c r="D23" i="15"/>
  <c r="D22" i="15"/>
  <c r="E4" i="4"/>
  <c r="B5" i="62" s="1"/>
  <c r="B73" i="72" s="1"/>
  <c r="C4" i="4"/>
  <c r="AZ13" i="3"/>
  <c r="F52" i="9"/>
  <c r="D9" i="69"/>
  <c r="C9" i="69" s="1"/>
  <c r="C77" i="9"/>
  <c r="C74" i="9" s="1"/>
  <c r="AA39" i="40"/>
  <c r="J32" i="39"/>
  <c r="W32" i="39" s="1"/>
  <c r="I107" i="39"/>
  <c r="J107" i="39" s="1"/>
  <c r="K107" i="39"/>
  <c r="L107" i="39" s="1"/>
  <c r="M107" i="39" s="1"/>
  <c r="AC21" i="39"/>
  <c r="W21" i="39"/>
  <c r="S26" i="35"/>
  <c r="S9" i="35"/>
  <c r="W26" i="35"/>
  <c r="AB26" i="35"/>
  <c r="U26" i="35"/>
  <c r="AC17" i="37"/>
  <c r="S17" i="37"/>
  <c r="J19" i="37"/>
  <c r="G75" i="37"/>
  <c r="AA19" i="37"/>
  <c r="J23" i="37"/>
  <c r="W23" i="37" s="1"/>
  <c r="J10" i="37"/>
  <c r="AC10" i="37" s="1"/>
  <c r="G63" i="37"/>
  <c r="H63" i="37" s="1"/>
  <c r="H11" i="37"/>
  <c r="AB10" i="37"/>
  <c r="U10" i="37"/>
  <c r="G70" i="34"/>
  <c r="H11" i="34"/>
  <c r="AB10" i="34"/>
  <c r="U10" i="34"/>
  <c r="J10" i="34"/>
  <c r="W10" i="34" s="1"/>
  <c r="AB41" i="33"/>
  <c r="W35" i="33"/>
  <c r="H111" i="33"/>
  <c r="I111" i="33" s="1"/>
  <c r="J111" i="33" s="1"/>
  <c r="K111" i="33" s="1"/>
  <c r="L111" i="33" s="1"/>
  <c r="M111" i="33" s="1"/>
  <c r="J36" i="33"/>
  <c r="AC36" i="33" s="1"/>
  <c r="H36" i="33"/>
  <c r="S36" i="33"/>
  <c r="AA36" i="33"/>
  <c r="AC32" i="33"/>
  <c r="G91" i="33"/>
  <c r="H91" i="33" s="1"/>
  <c r="I91" i="33"/>
  <c r="J91" i="33" s="1"/>
  <c r="K91" i="33" s="1"/>
  <c r="L91" i="33" s="1"/>
  <c r="M91" i="33" s="1"/>
  <c r="U25" i="33"/>
  <c r="AB25" i="33"/>
  <c r="S25" i="33"/>
  <c r="G87" i="33"/>
  <c r="H87" i="33" s="1"/>
  <c r="I87" i="33" s="1"/>
  <c r="J87" i="33" s="1"/>
  <c r="K87" i="33" s="1"/>
  <c r="L87" i="33" s="1"/>
  <c r="M87" i="33" s="1"/>
  <c r="J25" i="33"/>
  <c r="AB23" i="33"/>
  <c r="U23" i="33"/>
  <c r="F23" i="33"/>
  <c r="AA23" i="33" s="1"/>
  <c r="AC23" i="33"/>
  <c r="W23" i="33"/>
  <c r="AA19" i="33"/>
  <c r="H19" i="33"/>
  <c r="G81" i="33"/>
  <c r="H17" i="33"/>
  <c r="U17" i="33" s="1"/>
  <c r="F17" i="33"/>
  <c r="W17" i="33"/>
  <c r="U10" i="33"/>
  <c r="AB10" i="33"/>
  <c r="AC10" i="33"/>
  <c r="AC37" i="21"/>
  <c r="U33" i="21"/>
  <c r="S37" i="21"/>
  <c r="AB15" i="21"/>
  <c r="J23" i="21"/>
  <c r="F85" i="21"/>
  <c r="G85" i="21" s="1"/>
  <c r="H23" i="21"/>
  <c r="U23" i="21" s="1"/>
  <c r="D6" i="52"/>
  <c r="D121" i="9"/>
  <c r="D7" i="52"/>
  <c r="K120" i="9"/>
  <c r="J59" i="9"/>
  <c r="J61" i="9" s="1"/>
  <c r="T8" i="1"/>
  <c r="B21" i="31"/>
  <c r="E52" i="37"/>
  <c r="F58" i="21"/>
  <c r="F48" i="35"/>
  <c r="C65" i="40"/>
  <c r="AP7" i="1"/>
  <c r="AC33" i="21"/>
  <c r="S33" i="21"/>
  <c r="AA33" i="21"/>
  <c r="W32" i="21"/>
  <c r="AB9" i="21"/>
  <c r="AA32" i="21"/>
  <c r="S32" i="21"/>
  <c r="W9" i="21"/>
  <c r="AC9" i="21"/>
  <c r="AB32" i="21"/>
  <c r="U32" i="21"/>
  <c r="A18" i="62"/>
  <c r="B64" i="72" s="1"/>
  <c r="W19" i="37"/>
  <c r="AC19" i="37"/>
  <c r="AC23" i="37"/>
  <c r="AB11" i="37"/>
  <c r="U11" i="37"/>
  <c r="I63" i="37"/>
  <c r="J63" i="37" s="1"/>
  <c r="K63" i="37"/>
  <c r="L63" i="37" s="1"/>
  <c r="M63" i="37" s="1"/>
  <c r="J11" i="37"/>
  <c r="U11" i="34"/>
  <c r="AB11" i="34"/>
  <c r="AC10" i="34"/>
  <c r="H70" i="34"/>
  <c r="I70" i="34" s="1"/>
  <c r="J70" i="34"/>
  <c r="K70" i="34" s="1"/>
  <c r="L70" i="34" s="1"/>
  <c r="M70" i="34" s="1"/>
  <c r="J11" i="34"/>
  <c r="W11" i="34" s="1"/>
  <c r="W36" i="33"/>
  <c r="U36" i="33"/>
  <c r="AB36" i="33"/>
  <c r="W25" i="33"/>
  <c r="AC25" i="33"/>
  <c r="S23" i="33"/>
  <c r="AB19" i="33"/>
  <c r="U19" i="33"/>
  <c r="AA17" i="33"/>
  <c r="S17" i="33"/>
  <c r="AB17" i="33"/>
  <c r="AB23" i="21"/>
  <c r="AC23" i="21"/>
  <c r="W23" i="21"/>
  <c r="D65" i="40"/>
  <c r="F1" i="67"/>
  <c r="Q52" i="67"/>
  <c r="AC11" i="37"/>
  <c r="W11" i="37"/>
  <c r="C13" i="12"/>
  <c r="F34" i="11"/>
  <c r="F11" i="12"/>
  <c r="F34" i="68"/>
  <c r="R8" i="1"/>
  <c r="AE8" i="1"/>
  <c r="AG6" i="1"/>
  <c r="H109" i="9"/>
  <c r="J7" i="33"/>
  <c r="W7" i="33" s="1"/>
  <c r="F7" i="33"/>
  <c r="S7" i="33" s="1"/>
  <c r="H7" i="33"/>
  <c r="AB7" i="33" s="1"/>
  <c r="T48" i="33" s="1"/>
  <c r="G48" i="33" s="1"/>
  <c r="AA7" i="33"/>
  <c r="R48" i="33" s="1"/>
  <c r="H112" i="9"/>
  <c r="D21" i="53" s="1"/>
  <c r="B39" i="72" s="1"/>
  <c r="H111" i="9"/>
  <c r="D126" i="9"/>
  <c r="I14" i="74" s="1"/>
  <c r="B8" i="74" s="1"/>
  <c r="D19" i="53"/>
  <c r="D59" i="9"/>
  <c r="M55" i="9" s="1"/>
  <c r="B38" i="72"/>
  <c r="D20" i="53"/>
  <c r="B40" i="72"/>
  <c r="AD3" i="71"/>
  <c r="B11" i="76"/>
  <c r="AO13" i="1"/>
  <c r="F37" i="67"/>
  <c r="E9" i="76"/>
  <c r="M28" i="15"/>
  <c r="E7" i="76"/>
  <c r="B7" i="76"/>
  <c r="D2" i="21"/>
  <c r="F9" i="67"/>
  <c r="E2" i="68"/>
  <c r="F37" i="15"/>
  <c r="D2" i="33"/>
  <c r="AO9" i="1"/>
  <c r="B9" i="76"/>
  <c r="D2" i="35"/>
  <c r="E10" i="76"/>
  <c r="F20" i="31"/>
  <c r="M6" i="15"/>
  <c r="F13" i="15"/>
  <c r="F13" i="67"/>
  <c r="AO8" i="1"/>
  <c r="AO11" i="1"/>
  <c r="M23" i="15"/>
  <c r="E11" i="76"/>
  <c r="F6" i="15"/>
  <c r="M24" i="15"/>
  <c r="E13" i="76"/>
  <c r="J15" i="67"/>
  <c r="B8" i="76"/>
  <c r="L47" i="67"/>
  <c r="B13" i="76"/>
  <c r="B10" i="76"/>
  <c r="D2" i="37"/>
  <c r="L47" i="15"/>
  <c r="M28" i="67"/>
  <c r="M8" i="15"/>
  <c r="F40" i="15"/>
  <c r="D2" i="34"/>
  <c r="AO10" i="1"/>
  <c r="AO12" i="1"/>
  <c r="M24" i="67"/>
  <c r="F8" i="67"/>
  <c r="E12" i="76"/>
  <c r="F16" i="15"/>
  <c r="F38" i="67"/>
  <c r="E8" i="76"/>
  <c r="B12" i="76"/>
  <c r="E2" i="69"/>
  <c r="M6" i="67"/>
  <c r="D2" i="36"/>
  <c r="F36" i="15"/>
  <c r="AZ390" i="3" l="1"/>
  <c r="AZ344" i="3"/>
  <c r="AZ128" i="3"/>
  <c r="AZ394" i="3"/>
  <c r="AZ376" i="3"/>
  <c r="AZ313" i="3"/>
  <c r="AZ523" i="3"/>
  <c r="AZ527" i="3"/>
  <c r="BL398" i="3"/>
  <c r="BL404" i="3"/>
  <c r="BL405" i="3"/>
  <c r="BA407" i="3"/>
  <c r="AZ407" i="3" s="1"/>
  <c r="BA408" i="3"/>
  <c r="AZ408" i="3" s="1"/>
  <c r="BA409" i="3"/>
  <c r="BL409" i="3"/>
  <c r="BA410" i="3"/>
  <c r="AZ410" i="3" s="1"/>
  <c r="BA412" i="3"/>
  <c r="BL412" i="3"/>
  <c r="BL413" i="3"/>
  <c r="BL416" i="3"/>
  <c r="BA417" i="3"/>
  <c r="AZ417" i="3" s="1"/>
  <c r="BA418" i="3"/>
  <c r="AZ418" i="3" s="1"/>
  <c r="BA419" i="3"/>
  <c r="AZ419" i="3" s="1"/>
  <c r="BA423" i="3"/>
  <c r="AZ423" i="3" s="1"/>
  <c r="BA427" i="3"/>
  <c r="AZ427" i="3" s="1"/>
  <c r="BL427" i="3"/>
  <c r="BL429" i="3"/>
  <c r="BL431" i="3"/>
  <c r="AZ14" i="3"/>
  <c r="AZ512" i="3"/>
  <c r="BL16" i="3"/>
  <c r="AZ16" i="3" s="1"/>
  <c r="BA433" i="3"/>
  <c r="BL433" i="3"/>
  <c r="BL435" i="3"/>
  <c r="BL437" i="3"/>
  <c r="BL443" i="3"/>
  <c r="BA445" i="3"/>
  <c r="AZ445" i="3" s="1"/>
  <c r="BA446" i="3"/>
  <c r="AZ446" i="3" s="1"/>
  <c r="BA447" i="3"/>
  <c r="BL447" i="3"/>
  <c r="BA448" i="3"/>
  <c r="BL461" i="3"/>
  <c r="BA463" i="3"/>
  <c r="BL463" i="3"/>
  <c r="BL465" i="3"/>
  <c r="BL467" i="3"/>
  <c r="BA469" i="3"/>
  <c r="BL469" i="3"/>
  <c r="BA475" i="3"/>
  <c r="AZ475" i="3" s="1"/>
  <c r="BL478" i="3"/>
  <c r="BL480" i="3"/>
  <c r="BL486" i="3"/>
  <c r="BL488" i="3"/>
  <c r="BA489" i="3"/>
  <c r="AZ489" i="3" s="1"/>
  <c r="BA490" i="3"/>
  <c r="AZ490" i="3" s="1"/>
  <c r="BA491" i="3"/>
  <c r="AZ491" i="3" s="1"/>
  <c r="BL314" i="3"/>
  <c r="AZ314" i="3" s="1"/>
  <c r="BL316" i="3"/>
  <c r="BL324" i="3"/>
  <c r="AZ324" i="3" s="1"/>
  <c r="BL333" i="3"/>
  <c r="BL367" i="3"/>
  <c r="BL395" i="3"/>
  <c r="BL397" i="3"/>
  <c r="BA209" i="3"/>
  <c r="BL209" i="3"/>
  <c r="BL213" i="3"/>
  <c r="BL215" i="3"/>
  <c r="BL217" i="3"/>
  <c r="BL219" i="3"/>
  <c r="BL221" i="3"/>
  <c r="BA223" i="3"/>
  <c r="AZ223" i="3" s="1"/>
  <c r="BA224" i="3"/>
  <c r="BL224" i="3"/>
  <c r="BA226" i="3"/>
  <c r="AZ226" i="3" s="1"/>
  <c r="BA227" i="3"/>
  <c r="AZ227" i="3" s="1"/>
  <c r="BL228" i="3"/>
  <c r="BA230" i="3"/>
  <c r="BL230" i="3"/>
  <c r="BL232" i="3"/>
  <c r="BL236" i="3"/>
  <c r="BL238" i="3"/>
  <c r="BL240" i="3"/>
  <c r="BL242" i="3"/>
  <c r="BL244" i="3"/>
  <c r="BL246" i="3"/>
  <c r="BL248" i="3"/>
  <c r="BL250" i="3"/>
  <c r="BL252" i="3"/>
  <c r="BL254" i="3"/>
  <c r="BL256" i="3"/>
  <c r="BL258" i="3"/>
  <c r="BL260" i="3"/>
  <c r="BL262" i="3"/>
  <c r="BL264" i="3"/>
  <c r="BL266" i="3"/>
  <c r="BL268" i="3"/>
  <c r="BL270" i="3"/>
  <c r="BL272" i="3"/>
  <c r="BL274" i="3"/>
  <c r="BL276" i="3"/>
  <c r="BL278" i="3"/>
  <c r="BL280" i="3"/>
  <c r="BL282" i="3"/>
  <c r="BL284" i="3"/>
  <c r="BL286" i="3"/>
  <c r="BL288" i="3"/>
  <c r="BL290" i="3"/>
  <c r="BL292" i="3"/>
  <c r="BL294" i="3"/>
  <c r="BL296" i="3"/>
  <c r="BL298" i="3"/>
  <c r="BL300" i="3"/>
  <c r="BA302" i="3"/>
  <c r="AZ302" i="3" s="1"/>
  <c r="BA113" i="3"/>
  <c r="AZ113" i="3" s="1"/>
  <c r="BA114" i="3"/>
  <c r="AZ114" i="3" s="1"/>
  <c r="BL115" i="3"/>
  <c r="BA117" i="3"/>
  <c r="BL117" i="3"/>
  <c r="BA118" i="3"/>
  <c r="AZ118" i="3" s="1"/>
  <c r="BL119" i="3"/>
  <c r="BA121" i="3"/>
  <c r="AZ121" i="3" s="1"/>
  <c r="BA124" i="3"/>
  <c r="AZ124" i="3" s="1"/>
  <c r="BL133" i="3"/>
  <c r="BL137" i="3"/>
  <c r="BA141" i="3"/>
  <c r="AZ141" i="3" s="1"/>
  <c r="BA142" i="3"/>
  <c r="AZ142" i="3" s="1"/>
  <c r="BL143" i="3"/>
  <c r="BA145" i="3"/>
  <c r="AZ145" i="3" s="1"/>
  <c r="BA146" i="3"/>
  <c r="AZ146" i="3" s="1"/>
  <c r="BL151" i="3"/>
  <c r="AZ151" i="3" s="1"/>
  <c r="BA154" i="3"/>
  <c r="AZ154" i="3" s="1"/>
  <c r="BL155" i="3"/>
  <c r="AZ155" i="3" s="1"/>
  <c r="BA157" i="3"/>
  <c r="AZ157" i="3" s="1"/>
  <c r="BL158" i="3"/>
  <c r="BA160" i="3"/>
  <c r="AZ160" i="3" s="1"/>
  <c r="BL162" i="3"/>
  <c r="AZ181" i="3"/>
  <c r="BL181" i="3"/>
  <c r="BL185" i="3"/>
  <c r="BL187" i="3"/>
  <c r="AZ187" i="3" s="1"/>
  <c r="BA189" i="3"/>
  <c r="AZ189" i="3" s="1"/>
  <c r="BA190" i="3"/>
  <c r="AZ190" i="3" s="1"/>
  <c r="BL191" i="3"/>
  <c r="BA193" i="3"/>
  <c r="AZ193" i="3" s="1"/>
  <c r="BL194" i="3"/>
  <c r="BL198" i="3"/>
  <c r="BA200" i="3"/>
  <c r="AZ200" i="3" s="1"/>
  <c r="BL202" i="3"/>
  <c r="BA204" i="3"/>
  <c r="AZ204" i="3" s="1"/>
  <c r="BA206" i="3"/>
  <c r="BL206" i="3"/>
  <c r="BL18" i="3"/>
  <c r="BA19" i="3"/>
  <c r="AZ19" i="3" s="1"/>
  <c r="BA20" i="3"/>
  <c r="AZ20" i="3" s="1"/>
  <c r="BL21" i="3"/>
  <c r="BA23" i="3"/>
  <c r="AZ23" i="3" s="1"/>
  <c r="BA24" i="3"/>
  <c r="AZ24" i="3" s="1"/>
  <c r="BL27" i="3"/>
  <c r="BL31" i="3"/>
  <c r="BA33" i="3"/>
  <c r="AZ33" i="3" s="1"/>
  <c r="BA34" i="3"/>
  <c r="AZ34" i="3" s="1"/>
  <c r="BL35" i="3"/>
  <c r="BA54" i="3"/>
  <c r="AZ54" i="3" s="1"/>
  <c r="BA55" i="3"/>
  <c r="AZ55" i="3" s="1"/>
  <c r="BA56" i="3"/>
  <c r="BL56" i="3"/>
  <c r="BA57" i="3"/>
  <c r="AZ57" i="3" s="1"/>
  <c r="BA58" i="3"/>
  <c r="AZ58" i="3" s="1"/>
  <c r="BA59" i="3"/>
  <c r="AZ59" i="3" s="1"/>
  <c r="BA60" i="3"/>
  <c r="AZ60" i="3" s="1"/>
  <c r="BA61" i="3"/>
  <c r="AZ61" i="3" s="1"/>
  <c r="BA62" i="3"/>
  <c r="AZ62" i="3" s="1"/>
  <c r="BA63" i="3"/>
  <c r="BL63" i="3"/>
  <c r="BA64" i="3"/>
  <c r="AZ64" i="3" s="1"/>
  <c r="BA66" i="3"/>
  <c r="BL66" i="3"/>
  <c r="BA68" i="3"/>
  <c r="AZ68" i="3" s="1"/>
  <c r="BA69" i="3"/>
  <c r="AZ69" i="3" s="1"/>
  <c r="BA70" i="3"/>
  <c r="BL70" i="3"/>
  <c r="BA72" i="3"/>
  <c r="BL72" i="3"/>
  <c r="BA73" i="3"/>
  <c r="AZ73" i="3" s="1"/>
  <c r="BA74" i="3"/>
  <c r="AZ74" i="3" s="1"/>
  <c r="BA75" i="3"/>
  <c r="AZ75" i="3" s="1"/>
  <c r="BA77" i="3"/>
  <c r="AZ77" i="3" s="1"/>
  <c r="BL78" i="3"/>
  <c r="BL80" i="3"/>
  <c r="BA82" i="3"/>
  <c r="AZ82" i="3" s="1"/>
  <c r="BL83" i="3"/>
  <c r="BA85" i="3"/>
  <c r="BL85" i="3"/>
  <c r="BA86" i="3"/>
  <c r="AZ86" i="3" s="1"/>
  <c r="BA87" i="3"/>
  <c r="AZ87" i="3" s="1"/>
  <c r="BA88" i="3"/>
  <c r="AZ88" i="3" s="1"/>
  <c r="BA89" i="3"/>
  <c r="AZ89" i="3" s="1"/>
  <c r="BA90" i="3"/>
  <c r="BL90" i="3"/>
  <c r="BA91" i="3"/>
  <c r="AZ91" i="3" s="1"/>
  <c r="BA92" i="3"/>
  <c r="AZ92" i="3" s="1"/>
  <c r="BA93" i="3"/>
  <c r="BL93" i="3"/>
  <c r="BA94" i="3"/>
  <c r="AZ94" i="3" s="1"/>
  <c r="BA95" i="3"/>
  <c r="AZ95" i="3" s="1"/>
  <c r="BA96" i="3"/>
  <c r="BL96" i="3"/>
  <c r="BA98" i="3"/>
  <c r="AZ98" i="3" s="1"/>
  <c r="BA99" i="3"/>
  <c r="BL99" i="3"/>
  <c r="BA100" i="3"/>
  <c r="AZ100" i="3" s="1"/>
  <c r="BA101" i="3"/>
  <c r="AZ101" i="3" s="1"/>
  <c r="BA102" i="3"/>
  <c r="AZ102" i="3" s="1"/>
  <c r="BA104" i="3"/>
  <c r="AZ104" i="3" s="1"/>
  <c r="BA105" i="3"/>
  <c r="AZ105" i="3" s="1"/>
  <c r="BA106" i="3"/>
  <c r="AZ106" i="3" s="1"/>
  <c r="BA107" i="3"/>
  <c r="BL107" i="3"/>
  <c r="BL109" i="3"/>
  <c r="BL111" i="3"/>
  <c r="H110" i="9"/>
  <c r="D18" i="53" s="1"/>
  <c r="B35" i="72" s="1"/>
  <c r="D16" i="53"/>
  <c r="AA13" i="21"/>
  <c r="S13" i="21"/>
  <c r="U45" i="21"/>
  <c r="AB45" i="21"/>
  <c r="S23" i="21"/>
  <c r="AA23" i="21"/>
  <c r="W15" i="21"/>
  <c r="AC15" i="21"/>
  <c r="AC33" i="34"/>
  <c r="W33" i="34"/>
  <c r="AC30" i="40"/>
  <c r="W30" i="40"/>
  <c r="AC27" i="40"/>
  <c r="W27" i="40"/>
  <c r="U20" i="35"/>
  <c r="AB20" i="35"/>
  <c r="U20" i="36"/>
  <c r="AB20" i="36"/>
  <c r="S33" i="34"/>
  <c r="AA33" i="34"/>
  <c r="AA15" i="37"/>
  <c r="S15" i="37"/>
  <c r="U31" i="40"/>
  <c r="AB31" i="40"/>
  <c r="AA37" i="37"/>
  <c r="S37" i="37"/>
  <c r="AC32" i="37"/>
  <c r="W32" i="37"/>
  <c r="AB24" i="35"/>
  <c r="U24" i="35"/>
  <c r="U35" i="34"/>
  <c r="AB35" i="34"/>
  <c r="AA14" i="36"/>
  <c r="S14" i="36"/>
  <c r="S25" i="21"/>
  <c r="AA25" i="21"/>
  <c r="AZ571" i="3"/>
  <c r="AZ581" i="3"/>
  <c r="AZ494" i="3"/>
  <c r="AZ500" i="3"/>
  <c r="AZ518" i="3"/>
  <c r="AZ562" i="3"/>
  <c r="AC14" i="39"/>
  <c r="W14" i="39"/>
  <c r="AA13" i="34"/>
  <c r="S13" i="34"/>
  <c r="AA46" i="33"/>
  <c r="S46" i="33"/>
  <c r="S44" i="33"/>
  <c r="AA44" i="33"/>
  <c r="U37" i="37"/>
  <c r="AB37" i="37"/>
  <c r="U11" i="36"/>
  <c r="AB11" i="36"/>
  <c r="W32" i="36"/>
  <c r="AC32" i="36"/>
  <c r="U28" i="36"/>
  <c r="AB28" i="36"/>
  <c r="W32" i="34"/>
  <c r="AC32" i="34"/>
  <c r="W31" i="33"/>
  <c r="AC31" i="33"/>
  <c r="AC33" i="35"/>
  <c r="W33" i="35"/>
  <c r="W28" i="33"/>
  <c r="AC28" i="33"/>
  <c r="U28" i="33"/>
  <c r="AB28" i="33"/>
  <c r="W11" i="33"/>
  <c r="AC11" i="33"/>
  <c r="AC25" i="34"/>
  <c r="W25" i="34"/>
  <c r="AB38" i="34"/>
  <c r="U38" i="34"/>
  <c r="S15" i="40"/>
  <c r="AA15" i="40"/>
  <c r="U28" i="40"/>
  <c r="AB28" i="40"/>
  <c r="AC16" i="35"/>
  <c r="W16" i="35"/>
  <c r="AA23" i="35"/>
  <c r="S23" i="35"/>
  <c r="S34" i="36"/>
  <c r="AA34" i="36"/>
  <c r="AA22" i="35"/>
  <c r="S22" i="35"/>
  <c r="AC23" i="40"/>
  <c r="W23" i="40"/>
  <c r="AC36" i="39"/>
  <c r="W36" i="39"/>
  <c r="W45" i="39"/>
  <c r="AC45" i="39"/>
  <c r="AB26" i="21"/>
  <c r="U26" i="21"/>
  <c r="AA35" i="21"/>
  <c r="S35" i="21"/>
  <c r="W34" i="21"/>
  <c r="AC34" i="21"/>
  <c r="AB10" i="21"/>
  <c r="U10" i="21"/>
  <c r="W40" i="21"/>
  <c r="AC40" i="21"/>
  <c r="S43" i="21"/>
  <c r="AA43" i="21"/>
  <c r="AA34" i="21"/>
  <c r="S34" i="21"/>
  <c r="AC43" i="21"/>
  <c r="W43" i="21"/>
  <c r="AA12" i="21"/>
  <c r="S12" i="21"/>
  <c r="AZ584" i="3"/>
  <c r="BL583" i="3"/>
  <c r="AZ583" i="3" s="1"/>
  <c r="BL573" i="3"/>
  <c r="AZ573" i="3" s="1"/>
  <c r="AZ555" i="3"/>
  <c r="BL553" i="3"/>
  <c r="AZ553" i="3" s="1"/>
  <c r="BL547" i="3"/>
  <c r="AZ547" i="3" s="1"/>
  <c r="AZ545" i="3"/>
  <c r="BI5" i="3"/>
  <c r="BE5" i="3"/>
  <c r="BT5" i="3"/>
  <c r="BL543" i="3"/>
  <c r="AZ543" i="3" s="1"/>
  <c r="BS5" i="3"/>
  <c r="F28" i="6" s="1"/>
  <c r="BH5" i="3"/>
  <c r="BD5" i="3"/>
  <c r="D124" i="9"/>
  <c r="AC11" i="34"/>
  <c r="W10" i="37"/>
  <c r="AA10" i="21"/>
  <c r="E65" i="40"/>
  <c r="F63" i="40"/>
  <c r="S11" i="37"/>
  <c r="AA11" i="37"/>
  <c r="S23" i="37"/>
  <c r="AA23" i="37"/>
  <c r="AC39" i="39"/>
  <c r="W39" i="39"/>
  <c r="AA30" i="40"/>
  <c r="S30" i="40"/>
  <c r="AA20" i="35"/>
  <c r="S20" i="35"/>
  <c r="W20" i="36"/>
  <c r="AC20" i="36"/>
  <c r="W34" i="33"/>
  <c r="AC34" i="33"/>
  <c r="H52" i="43"/>
  <c r="H49" i="43"/>
  <c r="H54" i="43"/>
  <c r="H51" i="43"/>
  <c r="G28" i="6"/>
  <c r="H62" i="43"/>
  <c r="H61" i="43"/>
  <c r="H60" i="43"/>
  <c r="H59" i="43"/>
  <c r="H67" i="43"/>
  <c r="W36" i="40"/>
  <c r="AC36" i="40"/>
  <c r="S32" i="40"/>
  <c r="AA32" i="40"/>
  <c r="AA31" i="40"/>
  <c r="S31" i="40"/>
  <c r="AC41" i="34"/>
  <c r="W41" i="34"/>
  <c r="AB27" i="34"/>
  <c r="U27" i="34"/>
  <c r="AC25" i="21"/>
  <c r="W25" i="21"/>
  <c r="AC5" i="3"/>
  <c r="G509" i="3"/>
  <c r="AZ495" i="3"/>
  <c r="AZ499" i="3"/>
  <c r="AZ513" i="3"/>
  <c r="AZ517" i="3"/>
  <c r="W13" i="39"/>
  <c r="AC13" i="39"/>
  <c r="AC46" i="33"/>
  <c r="W46" i="33"/>
  <c r="AC44" i="33"/>
  <c r="W44" i="33"/>
  <c r="S14" i="33"/>
  <c r="AA14" i="33"/>
  <c r="AA40" i="37"/>
  <c r="S40" i="37"/>
  <c r="W29" i="37"/>
  <c r="AC29" i="37"/>
  <c r="AA11" i="36"/>
  <c r="S11" i="36"/>
  <c r="AB32" i="36"/>
  <c r="U32" i="36"/>
  <c r="W26" i="36"/>
  <c r="AC26" i="36"/>
  <c r="AC11" i="35"/>
  <c r="W11" i="35"/>
  <c r="W30" i="34"/>
  <c r="AC30" i="34"/>
  <c r="AA45" i="33"/>
  <c r="S45" i="33"/>
  <c r="S29" i="33"/>
  <c r="AA29" i="33"/>
  <c r="AC29" i="33"/>
  <c r="W29" i="33"/>
  <c r="S33" i="35"/>
  <c r="AA33" i="35"/>
  <c r="U26" i="33"/>
  <c r="AB26" i="33"/>
  <c r="W10" i="35"/>
  <c r="AC10" i="35"/>
  <c r="AC37" i="34"/>
  <c r="W37" i="34"/>
  <c r="AB25" i="34"/>
  <c r="U25" i="34"/>
  <c r="W36" i="34"/>
  <c r="AC36" i="34"/>
  <c r="AB15" i="40"/>
  <c r="U15" i="40"/>
  <c r="AA23" i="40"/>
  <c r="S23" i="40"/>
  <c r="S35" i="37"/>
  <c r="AA35" i="37"/>
  <c r="U16" i="35"/>
  <c r="AB16" i="35"/>
  <c r="AC32" i="35"/>
  <c r="W32" i="35"/>
  <c r="AA14" i="35"/>
  <c r="S14" i="35"/>
  <c r="U10" i="35"/>
  <c r="AB10" i="35"/>
  <c r="AB30" i="35"/>
  <c r="U30" i="35"/>
  <c r="AB42" i="39"/>
  <c r="U42" i="39"/>
  <c r="AB40" i="39"/>
  <c r="U40" i="39"/>
  <c r="AA11" i="40"/>
  <c r="S11" i="40"/>
  <c r="AB36" i="39"/>
  <c r="U36" i="39"/>
  <c r="S45" i="39"/>
  <c r="AA45" i="39"/>
  <c r="U8" i="21"/>
  <c r="AB8" i="21"/>
  <c r="AB35" i="21"/>
  <c r="U35" i="21"/>
  <c r="S38" i="21"/>
  <c r="AA38" i="21"/>
  <c r="BA587" i="3"/>
  <c r="AZ587" i="3" s="1"/>
  <c r="BA586" i="3"/>
  <c r="AZ586" i="3" s="1"/>
  <c r="AC27" i="21"/>
  <c r="W27" i="21"/>
  <c r="J27" i="39"/>
  <c r="AC27" i="39" s="1"/>
  <c r="G101" i="39"/>
  <c r="BL569" i="3"/>
  <c r="AZ569" i="3" s="1"/>
  <c r="BL557" i="3"/>
  <c r="AZ557" i="3" s="1"/>
  <c r="AZ486" i="3"/>
  <c r="AZ488" i="3"/>
  <c r="J39" i="40"/>
  <c r="H39" i="40"/>
  <c r="J27" i="33"/>
  <c r="H32" i="39"/>
  <c r="AC45" i="21"/>
  <c r="W9" i="33"/>
  <c r="U38" i="33"/>
  <c r="AZ17" i="3"/>
  <c r="W41" i="21"/>
  <c r="H27" i="33"/>
  <c r="W38" i="33"/>
  <c r="U43" i="34"/>
  <c r="W39" i="37"/>
  <c r="S25" i="37"/>
  <c r="H9" i="35"/>
  <c r="S32" i="35"/>
  <c r="U36" i="35"/>
  <c r="F32" i="39"/>
  <c r="S32" i="39" s="1"/>
  <c r="F53" i="9"/>
  <c r="F30" i="84"/>
  <c r="F30" i="83"/>
  <c r="M18" i="79"/>
  <c r="F32" i="79"/>
  <c r="F60" i="79" s="1"/>
  <c r="F28" i="79"/>
  <c r="C28" i="79" s="1"/>
  <c r="F12" i="33"/>
  <c r="AC14" i="35"/>
  <c r="BB5" i="3"/>
  <c r="BN5" i="3"/>
  <c r="BM5" i="3"/>
  <c r="AZ377" i="3"/>
  <c r="AZ369" i="3"/>
  <c r="AZ361" i="3"/>
  <c r="AZ338" i="3"/>
  <c r="AZ306" i="3"/>
  <c r="AZ355" i="3"/>
  <c r="AZ351" i="3"/>
  <c r="AZ336" i="3"/>
  <c r="AZ305" i="3"/>
  <c r="J13" i="37"/>
  <c r="F13" i="37"/>
  <c r="H35" i="35"/>
  <c r="F35" i="35"/>
  <c r="H25" i="35"/>
  <c r="F25" i="35"/>
  <c r="H13" i="35"/>
  <c r="J13" i="35"/>
  <c r="J47" i="34"/>
  <c r="F47" i="34"/>
  <c r="F45" i="34"/>
  <c r="J45" i="34"/>
  <c r="F31" i="34"/>
  <c r="H31" i="34"/>
  <c r="H29" i="34"/>
  <c r="F30" i="33"/>
  <c r="H29" i="21"/>
  <c r="F27" i="21"/>
  <c r="H27" i="21"/>
  <c r="J13" i="21"/>
  <c r="F46" i="21"/>
  <c r="J46" i="21"/>
  <c r="F44" i="21"/>
  <c r="H44" i="21"/>
  <c r="U34" i="37"/>
  <c r="S8" i="33"/>
  <c r="S38" i="33"/>
  <c r="F27" i="34"/>
  <c r="F12" i="36"/>
  <c r="W31" i="40"/>
  <c r="W33" i="33"/>
  <c r="U35" i="33"/>
  <c r="S9" i="33"/>
  <c r="F26" i="33"/>
  <c r="S34" i="34"/>
  <c r="U34" i="35"/>
  <c r="W34" i="35"/>
  <c r="AA31" i="36"/>
  <c r="U30" i="37"/>
  <c r="W40" i="39"/>
  <c r="H12" i="21"/>
  <c r="J12" i="21"/>
  <c r="J23" i="35"/>
  <c r="H12" i="36"/>
  <c r="H24" i="36"/>
  <c r="F26" i="37"/>
  <c r="F38" i="40"/>
  <c r="J38" i="40"/>
  <c r="H38" i="40"/>
  <c r="BA550" i="3"/>
  <c r="AZ550" i="3" s="1"/>
  <c r="M20" i="15"/>
  <c r="F34" i="79"/>
  <c r="F62" i="79" s="1"/>
  <c r="M20" i="79"/>
  <c r="AZ132" i="3"/>
  <c r="B75" i="43"/>
  <c r="B66" i="43"/>
  <c r="B55" i="43"/>
  <c r="C29" i="39"/>
  <c r="D29" i="71"/>
  <c r="T29" i="71"/>
  <c r="C17" i="71"/>
  <c r="D16" i="71"/>
  <c r="X12" i="71"/>
  <c r="X13" i="71"/>
  <c r="Y14" i="71"/>
  <c r="Z14" i="71" s="1"/>
  <c r="Y11" i="71"/>
  <c r="Z11" i="71" s="1"/>
  <c r="Y13" i="71"/>
  <c r="Z13" i="71" s="1"/>
  <c r="AB14" i="71"/>
  <c r="AB13" i="71"/>
  <c r="AA15" i="71"/>
  <c r="AA16" i="71"/>
  <c r="AA12" i="71"/>
  <c r="D23" i="71"/>
  <c r="C24" i="71"/>
  <c r="AB19" i="71"/>
  <c r="AB22" i="71"/>
  <c r="C36" i="71"/>
  <c r="D35" i="71"/>
  <c r="D41" i="71"/>
  <c r="T41" i="71"/>
  <c r="C44" i="71"/>
  <c r="D43" i="71"/>
  <c r="D48" i="71"/>
  <c r="C49" i="71"/>
  <c r="S53" i="71"/>
  <c r="B52" i="71"/>
  <c r="T57" i="71"/>
  <c r="C56" i="71"/>
  <c r="D57" i="71"/>
  <c r="T65" i="71"/>
  <c r="C64" i="71"/>
  <c r="V9" i="71"/>
  <c r="E8" i="71"/>
  <c r="E7" i="71" s="1"/>
  <c r="X8" i="71"/>
  <c r="B9" i="71"/>
  <c r="X9" i="71"/>
  <c r="AA6" i="71"/>
  <c r="AA7" i="71"/>
  <c r="AB6" i="71"/>
  <c r="AB5" i="71"/>
  <c r="E19" i="84"/>
  <c r="E19" i="83"/>
  <c r="BL15" i="3"/>
  <c r="F34" i="84"/>
  <c r="F34" i="83"/>
  <c r="G22" i="84"/>
  <c r="G41" i="84"/>
  <c r="G41" i="83"/>
  <c r="G22" i="83"/>
  <c r="G398" i="3"/>
  <c r="BA399" i="3"/>
  <c r="AZ399" i="3" s="1"/>
  <c r="BL400" i="3"/>
  <c r="G401" i="3"/>
  <c r="BL402" i="3"/>
  <c r="G403" i="3"/>
  <c r="BA404" i="3"/>
  <c r="AZ404" i="3" s="1"/>
  <c r="BL406" i="3"/>
  <c r="G407" i="3"/>
  <c r="G408" i="3"/>
  <c r="G409" i="3"/>
  <c r="G411" i="3"/>
  <c r="BL411" i="3"/>
  <c r="G412" i="3"/>
  <c r="BA414" i="3"/>
  <c r="AZ414" i="3" s="1"/>
  <c r="BA416" i="3"/>
  <c r="AZ416" i="3" s="1"/>
  <c r="G418" i="3"/>
  <c r="G419" i="3"/>
  <c r="BL420" i="3"/>
  <c r="G421" i="3"/>
  <c r="BA422" i="3"/>
  <c r="BL422" i="3"/>
  <c r="G423" i="3"/>
  <c r="BL424" i="3"/>
  <c r="G425" i="3"/>
  <c r="BA426" i="3"/>
  <c r="AZ426" i="3" s="1"/>
  <c r="BA428" i="3"/>
  <c r="BL428" i="3"/>
  <c r="BA429" i="3"/>
  <c r="AZ429" i="3" s="1"/>
  <c r="BA431" i="3"/>
  <c r="AZ431" i="3" s="1"/>
  <c r="BA432" i="3"/>
  <c r="BL432" i="3"/>
  <c r="BA434" i="3"/>
  <c r="BL434" i="3"/>
  <c r="G435" i="3"/>
  <c r="BA436" i="3"/>
  <c r="AZ436" i="3" s="1"/>
  <c r="BA437" i="3"/>
  <c r="AZ437" i="3" s="1"/>
  <c r="BA438" i="3"/>
  <c r="AZ438" i="3" s="1"/>
  <c r="BL439" i="3"/>
  <c r="G440" i="3"/>
  <c r="G441" i="3"/>
  <c r="BA442" i="3"/>
  <c r="AZ442" i="3" s="1"/>
  <c r="BA443" i="3"/>
  <c r="AZ443" i="3" s="1"/>
  <c r="BL444" i="3"/>
  <c r="G445" i="3"/>
  <c r="G446" i="3"/>
  <c r="G447" i="3"/>
  <c r="G450" i="3"/>
  <c r="BA451" i="3"/>
  <c r="AZ451" i="3" s="1"/>
  <c r="BL452" i="3"/>
  <c r="G453" i="3"/>
  <c r="G454" i="3"/>
  <c r="G455" i="3"/>
  <c r="BL455" i="3"/>
  <c r="G456" i="3"/>
  <c r="G457" i="3"/>
  <c r="G458" i="3"/>
  <c r="G459" i="3"/>
  <c r="G460" i="3"/>
  <c r="BA461" i="3"/>
  <c r="AZ461" i="3" s="1"/>
  <c r="BA462" i="3"/>
  <c r="AZ462" i="3" s="1"/>
  <c r="BA464" i="3"/>
  <c r="AZ464" i="3" s="1"/>
  <c r="BA465" i="3"/>
  <c r="AZ465" i="3" s="1"/>
  <c r="BA467" i="3"/>
  <c r="AZ467" i="3" s="1"/>
  <c r="BA470" i="3"/>
  <c r="AZ470" i="3" s="1"/>
  <c r="BL471" i="3"/>
  <c r="G472" i="3"/>
  <c r="G473" i="3"/>
  <c r="BL474" i="3"/>
  <c r="G475" i="3"/>
  <c r="BL476" i="3"/>
  <c r="G477" i="3"/>
  <c r="BA478" i="3"/>
  <c r="AZ478" i="3" s="1"/>
  <c r="BA480" i="3"/>
  <c r="AZ480" i="3" s="1"/>
  <c r="BA481" i="3"/>
  <c r="AZ481" i="3" s="1"/>
  <c r="BL482" i="3"/>
  <c r="G483" i="3"/>
  <c r="G484" i="3"/>
  <c r="G311" i="3"/>
  <c r="BL312" i="3"/>
  <c r="AZ312" i="3" s="1"/>
  <c r="G313" i="3"/>
  <c r="BA315" i="3"/>
  <c r="BL317" i="3"/>
  <c r="G318" i="3"/>
  <c r="BA319" i="3"/>
  <c r="BA323" i="3"/>
  <c r="G329" i="3"/>
  <c r="BL330" i="3"/>
  <c r="AZ330" i="3" s="1"/>
  <c r="G331" i="3"/>
  <c r="BA332" i="3"/>
  <c r="AZ332" i="3" s="1"/>
  <c r="BA333" i="3"/>
  <c r="AZ333" i="3" s="1"/>
  <c r="G339" i="3"/>
  <c r="G349" i="3"/>
  <c r="BL350" i="3"/>
  <c r="G351" i="3"/>
  <c r="BA352" i="3"/>
  <c r="BL354" i="3"/>
  <c r="BA358" i="3"/>
  <c r="G364" i="3"/>
  <c r="BL365" i="3"/>
  <c r="AZ365" i="3" s="1"/>
  <c r="G366" i="3"/>
  <c r="BA367" i="3"/>
  <c r="AZ367" i="3" s="1"/>
  <c r="BA368" i="3"/>
  <c r="BL368" i="3"/>
  <c r="G369" i="3"/>
  <c r="G378" i="3"/>
  <c r="G380" i="3"/>
  <c r="G384" i="3"/>
  <c r="BL386" i="3"/>
  <c r="AZ386" i="3" s="1"/>
  <c r="G387" i="3"/>
  <c r="BA395" i="3"/>
  <c r="AZ395" i="3" s="1"/>
  <c r="BA396" i="3"/>
  <c r="AZ396" i="3" s="1"/>
  <c r="BA397" i="3"/>
  <c r="AZ397" i="3" s="1"/>
  <c r="BA208" i="3"/>
  <c r="BL208" i="3"/>
  <c r="BA210" i="3"/>
  <c r="AZ210" i="3" s="1"/>
  <c r="BA211" i="3"/>
  <c r="BL211" i="3"/>
  <c r="BA212" i="3"/>
  <c r="AZ212" i="3" s="1"/>
  <c r="BA213" i="3"/>
  <c r="AZ213" i="3" s="1"/>
  <c r="BA214" i="3"/>
  <c r="AZ214" i="3" s="1"/>
  <c r="BA215" i="3"/>
  <c r="AZ215" i="3" s="1"/>
  <c r="BA216" i="3"/>
  <c r="AZ216" i="3" s="1"/>
  <c r="BA217" i="3"/>
  <c r="AZ217" i="3" s="1"/>
  <c r="BA219" i="3"/>
  <c r="AZ219" i="3" s="1"/>
  <c r="BA220" i="3"/>
  <c r="BL220" i="3"/>
  <c r="BA221" i="3"/>
  <c r="AZ221" i="3" s="1"/>
  <c r="BA222" i="3"/>
  <c r="AZ222" i="3" s="1"/>
  <c r="BA225" i="3"/>
  <c r="BL225" i="3"/>
  <c r="G226" i="3"/>
  <c r="G227" i="3"/>
  <c r="BA228" i="3"/>
  <c r="AZ228" i="3" s="1"/>
  <c r="BA229" i="3"/>
  <c r="AZ229" i="3" s="1"/>
  <c r="BA231" i="3"/>
  <c r="AZ231" i="3" s="1"/>
  <c r="BA232" i="3"/>
  <c r="AZ232" i="3" s="1"/>
  <c r="BA233" i="3"/>
  <c r="AZ233" i="3" s="1"/>
  <c r="BA234" i="3"/>
  <c r="BL234" i="3"/>
  <c r="BA236" i="3"/>
  <c r="AZ236" i="3" s="1"/>
  <c r="BA237" i="3"/>
  <c r="AZ237" i="3" s="1"/>
  <c r="BA238" i="3"/>
  <c r="AZ238" i="3" s="1"/>
  <c r="BA239" i="3"/>
  <c r="AZ239" i="3" s="1"/>
  <c r="BA240" i="3"/>
  <c r="AZ240" i="3" s="1"/>
  <c r="BA241" i="3"/>
  <c r="AZ241" i="3" s="1"/>
  <c r="BA242" i="3"/>
  <c r="AZ242" i="3" s="1"/>
  <c r="BA243" i="3"/>
  <c r="AZ243" i="3" s="1"/>
  <c r="BA244" i="3"/>
  <c r="AZ244" i="3" s="1"/>
  <c r="BA245" i="3"/>
  <c r="AZ245" i="3" s="1"/>
  <c r="BA246" i="3"/>
  <c r="AZ246" i="3" s="1"/>
  <c r="BA247" i="3"/>
  <c r="AZ247" i="3" s="1"/>
  <c r="BA248" i="3"/>
  <c r="AZ248" i="3" s="1"/>
  <c r="BA249" i="3"/>
  <c r="AZ249" i="3" s="1"/>
  <c r="BA250" i="3"/>
  <c r="AZ250" i="3" s="1"/>
  <c r="BA251" i="3"/>
  <c r="AZ251" i="3" s="1"/>
  <c r="BA252" i="3"/>
  <c r="AZ252" i="3" s="1"/>
  <c r="BA253" i="3"/>
  <c r="AZ253" i="3" s="1"/>
  <c r="BA254" i="3"/>
  <c r="AZ254" i="3" s="1"/>
  <c r="BA255" i="3"/>
  <c r="AZ255" i="3" s="1"/>
  <c r="BA256" i="3"/>
  <c r="AZ256" i="3" s="1"/>
  <c r="BA257" i="3"/>
  <c r="AZ257" i="3" s="1"/>
  <c r="BA258" i="3"/>
  <c r="AZ258" i="3" s="1"/>
  <c r="BA259" i="3"/>
  <c r="AZ259" i="3" s="1"/>
  <c r="BA260" i="3"/>
  <c r="AZ260" i="3" s="1"/>
  <c r="BA261" i="3"/>
  <c r="AZ261" i="3" s="1"/>
  <c r="BA262" i="3"/>
  <c r="AZ262" i="3" s="1"/>
  <c r="BA263" i="3"/>
  <c r="AZ263" i="3" s="1"/>
  <c r="BA264" i="3"/>
  <c r="AZ264" i="3" s="1"/>
  <c r="BA265" i="3"/>
  <c r="AZ265" i="3" s="1"/>
  <c r="BA266" i="3"/>
  <c r="AZ266" i="3" s="1"/>
  <c r="BA267" i="3"/>
  <c r="AZ267" i="3" s="1"/>
  <c r="BA268" i="3"/>
  <c r="AZ268" i="3" s="1"/>
  <c r="BA269" i="3"/>
  <c r="AZ269" i="3" s="1"/>
  <c r="BA270" i="3"/>
  <c r="AZ270" i="3" s="1"/>
  <c r="BA271" i="3"/>
  <c r="AZ271" i="3" s="1"/>
  <c r="BA272" i="3"/>
  <c r="AZ272" i="3" s="1"/>
  <c r="BA273" i="3"/>
  <c r="AZ273" i="3" s="1"/>
  <c r="BA274" i="3"/>
  <c r="AZ274" i="3" s="1"/>
  <c r="BA275" i="3"/>
  <c r="AZ275" i="3" s="1"/>
  <c r="BA276" i="3"/>
  <c r="AZ276" i="3" s="1"/>
  <c r="BA277" i="3"/>
  <c r="AZ277" i="3" s="1"/>
  <c r="BA278" i="3"/>
  <c r="AZ278" i="3" s="1"/>
  <c r="BA279" i="3"/>
  <c r="AZ279" i="3" s="1"/>
  <c r="BA280" i="3"/>
  <c r="AZ280" i="3" s="1"/>
  <c r="BA281" i="3"/>
  <c r="AZ281" i="3" s="1"/>
  <c r="BA282" i="3"/>
  <c r="AZ282" i="3" s="1"/>
  <c r="BA283" i="3"/>
  <c r="AZ283" i="3" s="1"/>
  <c r="BA284" i="3"/>
  <c r="AZ284" i="3" s="1"/>
  <c r="BA285" i="3"/>
  <c r="AZ285" i="3" s="1"/>
  <c r="BA286" i="3"/>
  <c r="AZ286" i="3" s="1"/>
  <c r="BA287" i="3"/>
  <c r="AZ287" i="3" s="1"/>
  <c r="BA288" i="3"/>
  <c r="AZ288" i="3" s="1"/>
  <c r="BA289" i="3"/>
  <c r="AZ289" i="3" s="1"/>
  <c r="BA290" i="3"/>
  <c r="AZ290" i="3" s="1"/>
  <c r="BA291" i="3"/>
  <c r="AZ291" i="3" s="1"/>
  <c r="BA292" i="3"/>
  <c r="AZ292" i="3" s="1"/>
  <c r="BA293" i="3"/>
  <c r="AZ293" i="3" s="1"/>
  <c r="BA294" i="3"/>
  <c r="AZ294" i="3" s="1"/>
  <c r="BA295" i="3"/>
  <c r="AZ295" i="3" s="1"/>
  <c r="BA296" i="3"/>
  <c r="AZ296" i="3" s="1"/>
  <c r="BA297" i="3"/>
  <c r="AZ297" i="3" s="1"/>
  <c r="BA298" i="3"/>
  <c r="AZ298" i="3" s="1"/>
  <c r="BA299" i="3"/>
  <c r="AZ299" i="3" s="1"/>
  <c r="BA300" i="3"/>
  <c r="AZ300" i="3" s="1"/>
  <c r="BA301" i="3"/>
  <c r="BL301" i="3"/>
  <c r="G302" i="3"/>
  <c r="G114" i="3"/>
  <c r="G115" i="3"/>
  <c r="G119" i="3"/>
  <c r="G122" i="3"/>
  <c r="BL122" i="3"/>
  <c r="G123" i="3"/>
  <c r="G124" i="3"/>
  <c r="BA125" i="3"/>
  <c r="AZ125" i="3" s="1"/>
  <c r="BL126" i="3"/>
  <c r="G127" i="3"/>
  <c r="G130" i="3"/>
  <c r="G131" i="3"/>
  <c r="G132" i="3"/>
  <c r="BA133" i="3"/>
  <c r="AZ133" i="3" s="1"/>
  <c r="BA134" i="3"/>
  <c r="AZ134" i="3" s="1"/>
  <c r="BL135" i="3"/>
  <c r="G136" i="3"/>
  <c r="BA137" i="3"/>
  <c r="AZ137" i="3" s="1"/>
  <c r="BA138" i="3"/>
  <c r="AZ138" i="3" s="1"/>
  <c r="BL139" i="3"/>
  <c r="AZ139" i="3" s="1"/>
  <c r="G140" i="3"/>
  <c r="F3" i="35"/>
  <c r="AA21" i="33"/>
  <c r="P51" i="71"/>
  <c r="D28" i="71"/>
  <c r="AA3" i="71"/>
  <c r="D65" i="71"/>
  <c r="D47" i="71"/>
  <c r="D15" i="71"/>
  <c r="B13" i="71"/>
  <c r="Y10" i="71"/>
  <c r="Z10" i="71" s="1"/>
  <c r="N53" i="71"/>
  <c r="E17" i="71"/>
  <c r="U17" i="71" s="1"/>
  <c r="F15" i="71"/>
  <c r="F16" i="71" s="1"/>
  <c r="F17" i="71" s="1"/>
  <c r="V17" i="71" s="1"/>
  <c r="Y17" i="71"/>
  <c r="Z17" i="71" s="1"/>
  <c r="AB17" i="71"/>
  <c r="C20" i="71"/>
  <c r="D19" i="71"/>
  <c r="AB15" i="71"/>
  <c r="AB18" i="71"/>
  <c r="Y20" i="71"/>
  <c r="Z20" i="71" s="1"/>
  <c r="AA18" i="71"/>
  <c r="AA17" i="71"/>
  <c r="AA20" i="71"/>
  <c r="F23" i="71"/>
  <c r="F24" i="71" s="1"/>
  <c r="F25" i="71" s="1"/>
  <c r="V25" i="71" s="1"/>
  <c r="AC12" i="43"/>
  <c r="AC10" i="43"/>
  <c r="AE12" i="43"/>
  <c r="AE10" i="43"/>
  <c r="AG12" i="43"/>
  <c r="AG10" i="43"/>
  <c r="AI12" i="43"/>
  <c r="AI10" i="43"/>
  <c r="M56" i="9"/>
  <c r="K56" i="9"/>
  <c r="X10" i="71"/>
  <c r="AA10" i="71"/>
  <c r="AA11" i="71"/>
  <c r="P61" i="67"/>
  <c r="P74" i="67"/>
  <c r="AA9" i="71"/>
  <c r="Y7" i="71"/>
  <c r="Z7" i="71" s="1"/>
  <c r="Y8" i="71"/>
  <c r="Z8" i="71" s="1"/>
  <c r="Y6" i="71"/>
  <c r="Z6" i="71" s="1"/>
  <c r="Y3" i="71"/>
  <c r="Z3" i="71" s="1"/>
  <c r="AB7" i="71"/>
  <c r="AB8" i="71"/>
  <c r="X7" i="71"/>
  <c r="BA140" i="3"/>
  <c r="AZ140" i="3" s="1"/>
  <c r="G142" i="3"/>
  <c r="G143" i="3"/>
  <c r="BA144" i="3"/>
  <c r="AZ144" i="3" s="1"/>
  <c r="G146" i="3"/>
  <c r="G147" i="3"/>
  <c r="BA148" i="3"/>
  <c r="AZ148" i="3" s="1"/>
  <c r="BA150" i="3"/>
  <c r="AZ150" i="3" s="1"/>
  <c r="BL153" i="3"/>
  <c r="G154" i="3"/>
  <c r="G158" i="3"/>
  <c r="BL159" i="3"/>
  <c r="BA161" i="3"/>
  <c r="AZ161" i="3" s="1"/>
  <c r="BA162" i="3"/>
  <c r="AZ162" i="3" s="1"/>
  <c r="BL163" i="3"/>
  <c r="BA165" i="3"/>
  <c r="BL165" i="3"/>
  <c r="BA166" i="3"/>
  <c r="AZ166" i="3" s="1"/>
  <c r="BL167" i="3"/>
  <c r="G168" i="3"/>
  <c r="BA169" i="3"/>
  <c r="BL169" i="3"/>
  <c r="G170" i="3"/>
  <c r="BL171" i="3"/>
  <c r="G172" i="3"/>
  <c r="BA173" i="3"/>
  <c r="AZ173" i="3" s="1"/>
  <c r="BL174" i="3"/>
  <c r="G175" i="3"/>
  <c r="BA176" i="3"/>
  <c r="BL178" i="3"/>
  <c r="G179" i="3"/>
  <c r="G183" i="3"/>
  <c r="BL186" i="3"/>
  <c r="G187" i="3"/>
  <c r="G190" i="3"/>
  <c r="G191" i="3"/>
  <c r="BA192" i="3"/>
  <c r="AZ192" i="3" s="1"/>
  <c r="BA194" i="3"/>
  <c r="AZ194" i="3" s="1"/>
  <c r="BL195" i="3"/>
  <c r="G196" i="3"/>
  <c r="BA197" i="3"/>
  <c r="AZ197" i="3" s="1"/>
  <c r="BA198" i="3"/>
  <c r="AZ198" i="3" s="1"/>
  <c r="BL199" i="3"/>
  <c r="AZ199" i="3" s="1"/>
  <c r="G200" i="3"/>
  <c r="BA201" i="3"/>
  <c r="BL201" i="3"/>
  <c r="G202" i="3"/>
  <c r="BL203" i="3"/>
  <c r="G204" i="3"/>
  <c r="BA205" i="3"/>
  <c r="BL205" i="3"/>
  <c r="BA207" i="3"/>
  <c r="AZ207" i="3" s="1"/>
  <c r="BA18" i="3"/>
  <c r="AZ18" i="3" s="1"/>
  <c r="G20" i="3"/>
  <c r="BA21" i="3"/>
  <c r="AZ21" i="3" s="1"/>
  <c r="BL22" i="3"/>
  <c r="G23" i="3"/>
  <c r="G24" i="3"/>
  <c r="BL25" i="3"/>
  <c r="G26" i="3"/>
  <c r="BA27" i="3"/>
  <c r="AZ27" i="3" s="1"/>
  <c r="BA28" i="3"/>
  <c r="AZ28" i="3" s="1"/>
  <c r="G30" i="3"/>
  <c r="BA31" i="3"/>
  <c r="AZ31" i="3" s="1"/>
  <c r="BL32" i="3"/>
  <c r="G33" i="3"/>
  <c r="G34" i="3"/>
  <c r="BA35" i="3"/>
  <c r="AZ35" i="3" s="1"/>
  <c r="BA36" i="3"/>
  <c r="AZ36" i="3" s="1"/>
  <c r="BL37" i="3"/>
  <c r="G38" i="3"/>
  <c r="BL38" i="3"/>
  <c r="G39" i="3"/>
  <c r="G41" i="3"/>
  <c r="G42" i="3"/>
  <c r="G43" i="3"/>
  <c r="G44" i="3"/>
  <c r="BL44" i="3"/>
  <c r="G45" i="3"/>
  <c r="G47" i="3"/>
  <c r="G48" i="3"/>
  <c r="G49" i="3"/>
  <c r="G50" i="3"/>
  <c r="G51" i="3"/>
  <c r="G52" i="3"/>
  <c r="BL53" i="3"/>
  <c r="G54" i="3"/>
  <c r="G55" i="3"/>
  <c r="G56" i="3"/>
  <c r="G58" i="3"/>
  <c r="G59" i="3"/>
  <c r="G60" i="3"/>
  <c r="G61" i="3"/>
  <c r="G62" i="3"/>
  <c r="G63" i="3"/>
  <c r="G65" i="3"/>
  <c r="BL65" i="3"/>
  <c r="G66" i="3"/>
  <c r="BL67" i="3"/>
  <c r="G68" i="3"/>
  <c r="G69" i="3"/>
  <c r="G70" i="3"/>
  <c r="BL71" i="3"/>
  <c r="G72" i="3"/>
  <c r="G74" i="3"/>
  <c r="G75" i="3"/>
  <c r="G76" i="3"/>
  <c r="BL76" i="3"/>
  <c r="G77" i="3"/>
  <c r="BA78" i="3"/>
  <c r="AZ78" i="3" s="1"/>
  <c r="BA79" i="3"/>
  <c r="AZ79" i="3" s="1"/>
  <c r="BA80" i="3"/>
  <c r="AZ80" i="3" s="1"/>
  <c r="BA81" i="3"/>
  <c r="BL81" i="3"/>
  <c r="G82" i="3"/>
  <c r="BA83" i="3"/>
  <c r="AZ83" i="3" s="1"/>
  <c r="BL84" i="3"/>
  <c r="G85" i="3"/>
  <c r="G87" i="3"/>
  <c r="G88" i="3"/>
  <c r="G89" i="3"/>
  <c r="G90" i="3"/>
  <c r="G92" i="3"/>
  <c r="G93" i="3"/>
  <c r="G95" i="3"/>
  <c r="G96" i="3"/>
  <c r="BL97" i="3"/>
  <c r="G98" i="3"/>
  <c r="G99" i="3"/>
  <c r="G101" i="3"/>
  <c r="G102" i="3"/>
  <c r="G103" i="3"/>
  <c r="BL103" i="3"/>
  <c r="G104" i="3"/>
  <c r="G105" i="3"/>
  <c r="G106" i="3"/>
  <c r="BA108" i="3"/>
  <c r="AZ108" i="3" s="1"/>
  <c r="BA109" i="3"/>
  <c r="AZ109" i="3" s="1"/>
  <c r="BA110" i="3"/>
  <c r="AZ110" i="3" s="1"/>
  <c r="BA111" i="3"/>
  <c r="AZ111" i="3" s="1"/>
  <c r="BA112" i="3"/>
  <c r="AZ112" i="3" s="1"/>
  <c r="G1" i="84"/>
  <c r="G1" i="83"/>
  <c r="G1" i="79"/>
  <c r="J51" i="15"/>
  <c r="E11" i="71"/>
  <c r="C11" i="71"/>
  <c r="D11" i="71" s="1"/>
  <c r="D12" i="71"/>
  <c r="AB10" i="71"/>
  <c r="AB12" i="71"/>
  <c r="T13" i="71"/>
  <c r="D13" i="71"/>
  <c r="U13" i="71" s="1"/>
  <c r="Y15" i="71"/>
  <c r="Z15" i="71" s="1"/>
  <c r="AB16" i="71"/>
  <c r="Y19" i="71"/>
  <c r="Z19" i="71" s="1"/>
  <c r="X18" i="71"/>
  <c r="X19" i="71"/>
  <c r="X20" i="71"/>
  <c r="AB20" i="71"/>
  <c r="Y23" i="71"/>
  <c r="Z23" i="71" s="1"/>
  <c r="AA24" i="71"/>
  <c r="AA22" i="71"/>
  <c r="L1" i="73"/>
  <c r="J1" i="73"/>
  <c r="AB9" i="71"/>
  <c r="Z12" i="43"/>
  <c r="Z10" i="43"/>
  <c r="AD12" i="43"/>
  <c r="AD10" i="43"/>
  <c r="AH12" i="43"/>
  <c r="AH10" i="43"/>
  <c r="F8" i="71"/>
  <c r="F7" i="71" s="1"/>
  <c r="C9" i="71"/>
  <c r="Y9" i="71"/>
  <c r="Z9" i="71" s="1"/>
  <c r="AA8" i="71"/>
  <c r="X6" i="71"/>
  <c r="X5" i="71"/>
  <c r="AA5" i="71"/>
  <c r="A24" i="51"/>
  <c r="B18" i="72" s="1"/>
  <c r="K4" i="4"/>
  <c r="B46" i="48" s="1"/>
  <c r="B4" i="72" s="1"/>
  <c r="AB39" i="39"/>
  <c r="AA41" i="39"/>
  <c r="AA32" i="39"/>
  <c r="AC32" i="39"/>
  <c r="U31" i="39"/>
  <c r="S31" i="39"/>
  <c r="W29" i="39"/>
  <c r="U29" i="39"/>
  <c r="S29" i="39"/>
  <c r="AB27" i="39"/>
  <c r="W27" i="39"/>
  <c r="U25" i="39"/>
  <c r="AB23" i="39"/>
  <c r="S21" i="39"/>
  <c r="U21" i="39"/>
  <c r="F19" i="39"/>
  <c r="AA19" i="39" s="1"/>
  <c r="F93" i="39"/>
  <c r="G93" i="39" s="1"/>
  <c r="H19" i="39"/>
  <c r="AB19" i="39" s="1"/>
  <c r="J19" i="39"/>
  <c r="AC19" i="39" s="1"/>
  <c r="H17" i="39"/>
  <c r="F17" i="39"/>
  <c r="AA17" i="39" s="1"/>
  <c r="J17" i="39"/>
  <c r="W19" i="39"/>
  <c r="S19" i="39"/>
  <c r="S17" i="39"/>
  <c r="F81" i="39"/>
  <c r="B4" i="62"/>
  <c r="B71" i="72" s="1"/>
  <c r="D5" i="43"/>
  <c r="C5" i="43"/>
  <c r="P61" i="15"/>
  <c r="D22" i="67"/>
  <c r="F29" i="6"/>
  <c r="AZ412" i="3"/>
  <c r="AZ209" i="3"/>
  <c r="AZ218" i="3"/>
  <c r="AZ224" i="3"/>
  <c r="AZ235" i="3"/>
  <c r="AZ135" i="3"/>
  <c r="AZ203" i="3"/>
  <c r="AZ206" i="3"/>
  <c r="AZ53" i="3"/>
  <c r="AZ67" i="3"/>
  <c r="AZ71" i="3"/>
  <c r="AZ97" i="3"/>
  <c r="AZ107" i="3"/>
  <c r="AZ234" i="3"/>
  <c r="AZ117" i="3"/>
  <c r="AZ119" i="3"/>
  <c r="AZ39" i="3"/>
  <c r="AZ45" i="3"/>
  <c r="AZ63" i="3"/>
  <c r="AZ66" i="3"/>
  <c r="AZ72" i="3"/>
  <c r="AZ85" i="3"/>
  <c r="AZ93" i="3"/>
  <c r="C94" i="9"/>
  <c r="C92" i="9"/>
  <c r="F54" i="9"/>
  <c r="F28" i="15"/>
  <c r="C28" i="15" s="1"/>
  <c r="M18" i="67"/>
  <c r="D68" i="9"/>
  <c r="M18" i="15"/>
  <c r="F32" i="15"/>
  <c r="F60" i="15" s="1"/>
  <c r="F30" i="69"/>
  <c r="F32" i="67"/>
  <c r="F60" i="67" s="1"/>
  <c r="F31" i="12"/>
  <c r="C31" i="12" s="1"/>
  <c r="F28" i="67"/>
  <c r="C28" i="67" s="1"/>
  <c r="F30" i="11"/>
  <c r="F30" i="68"/>
  <c r="C40" i="68"/>
  <c r="C40" i="69"/>
  <c r="C36" i="69"/>
  <c r="AR8" i="1"/>
  <c r="AZ329" i="3"/>
  <c r="I4" i="6"/>
  <c r="G3" i="43" s="1"/>
  <c r="H22" i="43" s="1"/>
  <c r="E19" i="6"/>
  <c r="K6" i="1" s="1"/>
  <c r="G16" i="1" s="1"/>
  <c r="J10" i="39" s="1"/>
  <c r="AZ347" i="3"/>
  <c r="AZ321" i="3"/>
  <c r="AZ345" i="3"/>
  <c r="AZ325" i="3"/>
  <c r="AZ311" i="3"/>
  <c r="BA398" i="3"/>
  <c r="AZ398" i="3" s="1"/>
  <c r="BA400" i="3"/>
  <c r="AZ400" i="3" s="1"/>
  <c r="BA401" i="3"/>
  <c r="AZ401" i="3" s="1"/>
  <c r="BA402" i="3"/>
  <c r="AZ402" i="3" s="1"/>
  <c r="BA405" i="3"/>
  <c r="AZ405" i="3" s="1"/>
  <c r="BA406" i="3"/>
  <c r="AZ406" i="3" s="1"/>
  <c r="BA413" i="3"/>
  <c r="AZ413" i="3" s="1"/>
  <c r="BA415" i="3"/>
  <c r="AZ415" i="3" s="1"/>
  <c r="BA420" i="3"/>
  <c r="AZ420" i="3" s="1"/>
  <c r="AZ432" i="3"/>
  <c r="AZ434" i="3"/>
  <c r="AZ343" i="3"/>
  <c r="AZ327" i="3"/>
  <c r="AZ403" i="3"/>
  <c r="AZ409" i="3"/>
  <c r="AZ411" i="3"/>
  <c r="BA424" i="3"/>
  <c r="AZ424" i="3" s="1"/>
  <c r="BA435" i="3"/>
  <c r="AZ435" i="3" s="1"/>
  <c r="BA439" i="3"/>
  <c r="AZ439" i="3" s="1"/>
  <c r="BA444" i="3"/>
  <c r="AZ444" i="3" s="1"/>
  <c r="BL449" i="3"/>
  <c r="BL450" i="3"/>
  <c r="BA452" i="3"/>
  <c r="AZ452" i="3" s="1"/>
  <c r="BA471" i="3"/>
  <c r="AZ471" i="3" s="1"/>
  <c r="BA474" i="3"/>
  <c r="AZ474" i="3" s="1"/>
  <c r="BA476" i="3"/>
  <c r="AZ476" i="3" s="1"/>
  <c r="BA477" i="3"/>
  <c r="AZ477" i="3" s="1"/>
  <c r="BA482" i="3"/>
  <c r="AZ482" i="3" s="1"/>
  <c r="BA484" i="3"/>
  <c r="AZ484" i="3" s="1"/>
  <c r="BA303" i="3"/>
  <c r="AZ303" i="3" s="1"/>
  <c r="BA307" i="3"/>
  <c r="AZ307" i="3" s="1"/>
  <c r="BA316" i="3"/>
  <c r="AZ316" i="3" s="1"/>
  <c r="BA317" i="3"/>
  <c r="AZ317" i="3" s="1"/>
  <c r="BA331" i="3"/>
  <c r="AZ331" i="3" s="1"/>
  <c r="BA335" i="3"/>
  <c r="AZ335" i="3" s="1"/>
  <c r="BA339" i="3"/>
  <c r="AZ339" i="3" s="1"/>
  <c r="BA350" i="3"/>
  <c r="AZ350" i="3" s="1"/>
  <c r="BA353" i="3"/>
  <c r="AZ353" i="3" s="1"/>
  <c r="BA354" i="3"/>
  <c r="AZ354" i="3" s="1"/>
  <c r="BA366" i="3"/>
  <c r="AZ366" i="3" s="1"/>
  <c r="BA370" i="3"/>
  <c r="AZ370" i="3" s="1"/>
  <c r="BA374" i="3"/>
  <c r="AZ374" i="3" s="1"/>
  <c r="BA388" i="3"/>
  <c r="AZ388" i="3" s="1"/>
  <c r="BA392" i="3"/>
  <c r="AZ392" i="3" s="1"/>
  <c r="AZ447" i="3"/>
  <c r="AZ455" i="3"/>
  <c r="AZ460" i="3"/>
  <c r="AZ463" i="3"/>
  <c r="AZ466" i="3"/>
  <c r="AZ468" i="3"/>
  <c r="AZ469" i="3"/>
  <c r="AZ479" i="3"/>
  <c r="AZ319" i="3"/>
  <c r="AZ323" i="3"/>
  <c r="AZ352" i="3"/>
  <c r="AZ358" i="3"/>
  <c r="AZ301" i="3"/>
  <c r="AZ230" i="3"/>
  <c r="AZ208" i="3"/>
  <c r="AZ211" i="3"/>
  <c r="AZ220" i="3"/>
  <c r="AZ225" i="3"/>
  <c r="AZ201" i="3"/>
  <c r="BA202" i="3"/>
  <c r="AZ202" i="3" s="1"/>
  <c r="AZ205" i="3"/>
  <c r="AZ195" i="3"/>
  <c r="BL183" i="3"/>
  <c r="BA185" i="3"/>
  <c r="AZ185" i="3" s="1"/>
  <c r="BA196" i="3"/>
  <c r="AZ196" i="3" s="1"/>
  <c r="AZ165" i="3"/>
  <c r="AZ163" i="3"/>
  <c r="L27" i="6"/>
  <c r="F30" i="6"/>
  <c r="AZ179" i="3"/>
  <c r="AZ176" i="3"/>
  <c r="AZ171" i="3"/>
  <c r="BL448" i="3"/>
  <c r="AZ448" i="3" s="1"/>
  <c r="BA168" i="3"/>
  <c r="AZ168" i="3" s="1"/>
  <c r="BL175" i="3"/>
  <c r="AZ175" i="3" s="1"/>
  <c r="BA177" i="3"/>
  <c r="AZ177" i="3" s="1"/>
  <c r="BA178" i="3"/>
  <c r="AZ178" i="3" s="1"/>
  <c r="BL182" i="3"/>
  <c r="AZ182" i="3" s="1"/>
  <c r="BA184" i="3"/>
  <c r="AZ184" i="3" s="1"/>
  <c r="BA186" i="3"/>
  <c r="AZ186" i="3" s="1"/>
  <c r="AZ183" i="3"/>
  <c r="AZ167" i="3"/>
  <c r="BA450" i="3"/>
  <c r="BA188" i="3"/>
  <c r="AZ188" i="3" s="1"/>
  <c r="AZ191" i="3"/>
  <c r="BA449" i="3"/>
  <c r="AZ449" i="3" s="1"/>
  <c r="BA172" i="3"/>
  <c r="AZ172" i="3" s="1"/>
  <c r="BA174" i="3"/>
  <c r="AZ174" i="3" s="1"/>
  <c r="AZ153" i="3"/>
  <c r="BA156" i="3"/>
  <c r="AZ156" i="3" s="1"/>
  <c r="AZ159" i="3"/>
  <c r="AZ143" i="3"/>
  <c r="BA152" i="3"/>
  <c r="AZ152" i="3" s="1"/>
  <c r="BA158" i="3"/>
  <c r="AZ158" i="3" s="1"/>
  <c r="E28" i="6"/>
  <c r="K14" i="1" s="1"/>
  <c r="M14" i="1" s="1"/>
  <c r="O14" i="1" s="1"/>
  <c r="P14" i="1" s="1"/>
  <c r="G29" i="6"/>
  <c r="E29" i="6" s="1"/>
  <c r="K15" i="1" s="1"/>
  <c r="AZ122" i="3"/>
  <c r="AZ127" i="3"/>
  <c r="BA126" i="3"/>
  <c r="AZ126" i="3" s="1"/>
  <c r="AZ115" i="3"/>
  <c r="BA116" i="3"/>
  <c r="AZ116" i="3" s="1"/>
  <c r="AZ103" i="3"/>
  <c r="BA84" i="3"/>
  <c r="AZ84" i="3" s="1"/>
  <c r="AZ90" i="3"/>
  <c r="AZ96" i="3"/>
  <c r="AZ99" i="3"/>
  <c r="AZ81" i="3"/>
  <c r="AZ56" i="3"/>
  <c r="AZ65" i="3"/>
  <c r="AZ70" i="3"/>
  <c r="AZ76" i="3"/>
  <c r="AZ38" i="3"/>
  <c r="AZ44" i="3"/>
  <c r="AZ52" i="3"/>
  <c r="AZ15" i="3"/>
  <c r="BA22" i="3"/>
  <c r="AZ22" i="3" s="1"/>
  <c r="BA25" i="3"/>
  <c r="AZ25" i="3" s="1"/>
  <c r="BA26" i="3"/>
  <c r="AZ26" i="3" s="1"/>
  <c r="BA30" i="3"/>
  <c r="AZ30" i="3" s="1"/>
  <c r="BA32" i="3"/>
  <c r="AZ32" i="3" s="1"/>
  <c r="BA37" i="3"/>
  <c r="AZ37" i="3" s="1"/>
  <c r="AZ356" i="3"/>
  <c r="M7" i="1"/>
  <c r="AR9" i="1"/>
  <c r="AQ9" i="1"/>
  <c r="AQ11" i="1"/>
  <c r="T11" i="1"/>
  <c r="AR13" i="1"/>
  <c r="T13" i="1"/>
  <c r="AQ10" i="1"/>
  <c r="T10" i="1"/>
  <c r="AR12" i="1"/>
  <c r="T12" i="1"/>
  <c r="T9" i="1"/>
  <c r="AR11" i="1"/>
  <c r="AQ13" i="1"/>
  <c r="AR10" i="1"/>
  <c r="E11" i="6"/>
  <c r="E61" i="39" s="1"/>
  <c r="AZ315" i="3"/>
  <c r="G5" i="3"/>
  <c r="B3" i="3" s="1"/>
  <c r="E157" i="3" s="1"/>
  <c r="C36" i="11"/>
  <c r="E13" i="6"/>
  <c r="E15" i="6"/>
  <c r="E12" i="6"/>
  <c r="P11" i="1"/>
  <c r="D19" i="12"/>
  <c r="C19" i="12" s="1"/>
  <c r="O12" i="1"/>
  <c r="P12" i="1" s="1"/>
  <c r="B113" i="43"/>
  <c r="C101" i="43"/>
  <c r="N104" i="46"/>
  <c r="H101" i="43"/>
  <c r="F22" i="43"/>
  <c r="F101" i="43"/>
  <c r="E22" i="43"/>
  <c r="O8" i="1"/>
  <c r="P8" i="1" s="1"/>
  <c r="O9" i="1"/>
  <c r="P9" i="1" s="1"/>
  <c r="D12" i="52"/>
  <c r="D127" i="9"/>
  <c r="D13" i="52" s="1"/>
  <c r="G52" i="33"/>
  <c r="H52" i="33" s="1"/>
  <c r="E48" i="33"/>
  <c r="R49" i="33"/>
  <c r="U7" i="33"/>
  <c r="AC7" i="33"/>
  <c r="V48" i="33" s="1"/>
  <c r="I48" i="33" s="1"/>
  <c r="G48" i="35"/>
  <c r="G58" i="21"/>
  <c r="F52" i="37"/>
  <c r="E46" i="36"/>
  <c r="F59" i="34"/>
  <c r="C70" i="39"/>
  <c r="D68" i="39"/>
  <c r="F6" i="71"/>
  <c r="F5" i="71" s="1"/>
  <c r="Y5" i="71"/>
  <c r="Z5" i="71" s="1"/>
  <c r="B7" i="49"/>
  <c r="E7" i="49"/>
  <c r="B15" i="49"/>
  <c r="AB3" i="71"/>
  <c r="X3" i="71"/>
  <c r="E6" i="71"/>
  <c r="E5" i="71" s="1"/>
  <c r="E10" i="49"/>
  <c r="B6" i="49"/>
  <c r="E14" i="49"/>
  <c r="AF3" i="71"/>
  <c r="P24" i="43" s="1"/>
  <c r="B66" i="40" s="1"/>
  <c r="P23" i="43"/>
  <c r="B71" i="39" s="1"/>
  <c r="P21" i="43"/>
  <c r="P22" i="43"/>
  <c r="C23" i="12"/>
  <c r="B13" i="49"/>
  <c r="B4" i="49"/>
  <c r="B9" i="49"/>
  <c r="E22" i="49"/>
  <c r="E16" i="49"/>
  <c r="E11" i="49"/>
  <c r="B10" i="49"/>
  <c r="E6" i="49"/>
  <c r="E8" i="49"/>
  <c r="E5" i="49"/>
  <c r="B8" i="49"/>
  <c r="B5" i="49"/>
  <c r="E21" i="49"/>
  <c r="E4" i="49"/>
  <c r="B11" i="49"/>
  <c r="B14" i="49"/>
  <c r="B16" i="49"/>
  <c r="E13" i="49"/>
  <c r="E15" i="49"/>
  <c r="E9" i="49"/>
  <c r="B22" i="49"/>
  <c r="B10" i="70"/>
  <c r="F66" i="67"/>
  <c r="L59" i="67"/>
  <c r="M59" i="67"/>
  <c r="N59" i="67"/>
  <c r="F68" i="15"/>
  <c r="N59" i="15"/>
  <c r="L59" i="15"/>
  <c r="M59" i="15"/>
  <c r="F65" i="15"/>
  <c r="B13" i="70"/>
  <c r="B8" i="70"/>
  <c r="B20" i="31"/>
  <c r="F65" i="67"/>
  <c r="F51" i="67"/>
  <c r="B11" i="70"/>
  <c r="F64" i="15"/>
  <c r="B12" i="70"/>
  <c r="B9" i="70"/>
  <c r="F59" i="15"/>
  <c r="M17" i="15"/>
  <c r="F59" i="67"/>
  <c r="F31" i="15"/>
  <c r="M17" i="67"/>
  <c r="F31" i="67"/>
  <c r="F7" i="67"/>
  <c r="F7" i="15"/>
  <c r="M9" i="67"/>
  <c r="F38" i="15"/>
  <c r="F42" i="15"/>
  <c r="F36" i="67"/>
  <c r="F43" i="15"/>
  <c r="F16" i="67"/>
  <c r="F40" i="67"/>
  <c r="L48" i="15"/>
  <c r="M27" i="67"/>
  <c r="D9" i="68"/>
  <c r="F9" i="15"/>
  <c r="M8" i="67"/>
  <c r="M23" i="67"/>
  <c r="M22" i="15"/>
  <c r="F8" i="15"/>
  <c r="F43" i="67"/>
  <c r="F26" i="15"/>
  <c r="F6" i="67"/>
  <c r="M29" i="15"/>
  <c r="M22" i="67"/>
  <c r="C76" i="67"/>
  <c r="F26" i="67"/>
  <c r="M9" i="15"/>
  <c r="M29" i="67"/>
  <c r="M27" i="15"/>
  <c r="C36" i="68"/>
  <c r="M26" i="67"/>
  <c r="F42" i="67"/>
  <c r="J15" i="15"/>
  <c r="C76" i="15"/>
  <c r="M26" i="15"/>
  <c r="L48" i="67"/>
  <c r="N101" i="43" l="1"/>
  <c r="K101" i="43"/>
  <c r="G22" i="43"/>
  <c r="L101" i="43"/>
  <c r="J101" i="43"/>
  <c r="G101" i="43"/>
  <c r="E97" i="3"/>
  <c r="O6" i="3"/>
  <c r="E565" i="3"/>
  <c r="E306" i="3"/>
  <c r="E511" i="3"/>
  <c r="E336" i="3"/>
  <c r="E359" i="3"/>
  <c r="E17" i="3"/>
  <c r="E237" i="3"/>
  <c r="AK6" i="3"/>
  <c r="E293" i="3"/>
  <c r="E583" i="3"/>
  <c r="E426" i="3"/>
  <c r="E501" i="3"/>
  <c r="E262" i="3"/>
  <c r="E89" i="3"/>
  <c r="E285" i="3"/>
  <c r="E574" i="3"/>
  <c r="E302" i="3"/>
  <c r="E213" i="3"/>
  <c r="E304" i="3"/>
  <c r="E296" i="3"/>
  <c r="E434" i="3"/>
  <c r="E16" i="3"/>
  <c r="E314" i="3"/>
  <c r="E246" i="3"/>
  <c r="X6" i="3"/>
  <c r="E328" i="3"/>
  <c r="E153" i="3"/>
  <c r="E53" i="3"/>
  <c r="E538" i="3"/>
  <c r="E236" i="3"/>
  <c r="BL5" i="3"/>
  <c r="AZ433" i="3"/>
  <c r="F66" i="15"/>
  <c r="F51" i="15"/>
  <c r="Q71" i="15"/>
  <c r="C27" i="67"/>
  <c r="L58" i="67"/>
  <c r="Q60" i="67" s="1"/>
  <c r="J57" i="67"/>
  <c r="J55" i="67" s="1"/>
  <c r="J58" i="67" s="1"/>
  <c r="Q50" i="67" s="1"/>
  <c r="L56" i="67"/>
  <c r="I54" i="67"/>
  <c r="J57" i="15"/>
  <c r="J55" i="15" s="1"/>
  <c r="J58" i="15" s="1"/>
  <c r="Q50" i="15" s="1"/>
  <c r="L56" i="15"/>
  <c r="J53" i="15"/>
  <c r="Q52" i="15" s="1"/>
  <c r="I54" i="15"/>
  <c r="L58" i="15"/>
  <c r="Q73" i="15" s="1"/>
  <c r="C27" i="15"/>
  <c r="Q71" i="67"/>
  <c r="F68" i="67"/>
  <c r="F70" i="67"/>
  <c r="F64" i="67"/>
  <c r="E143" i="3"/>
  <c r="E337" i="3"/>
  <c r="E410" i="3"/>
  <c r="E555" i="3"/>
  <c r="E388" i="3"/>
  <c r="E503" i="3"/>
  <c r="E361" i="3"/>
  <c r="E183" i="3"/>
  <c r="E528" i="3"/>
  <c r="E261" i="3"/>
  <c r="E244" i="3"/>
  <c r="E368" i="3"/>
  <c r="E453" i="3"/>
  <c r="E549" i="3"/>
  <c r="E536" i="3"/>
  <c r="I6" i="3"/>
  <c r="E568" i="3"/>
  <c r="E397" i="3"/>
  <c r="E124" i="3"/>
  <c r="E280" i="3"/>
  <c r="E399" i="3"/>
  <c r="AA6" i="3"/>
  <c r="E347" i="3"/>
  <c r="E508" i="3"/>
  <c r="E305" i="3"/>
  <c r="E343" i="3"/>
  <c r="E319" i="3"/>
  <c r="AR6" i="3"/>
  <c r="E380" i="3"/>
  <c r="E136" i="3"/>
  <c r="E269" i="3"/>
  <c r="C8" i="71"/>
  <c r="T9" i="71"/>
  <c r="D9" i="71"/>
  <c r="U9" i="71" s="1"/>
  <c r="AZ169" i="3"/>
  <c r="C21" i="71"/>
  <c r="D20" i="71"/>
  <c r="AZ368" i="3"/>
  <c r="AZ428" i="3"/>
  <c r="AZ422" i="3"/>
  <c r="C55" i="71"/>
  <c r="D55" i="71" s="1"/>
  <c r="D56" i="71"/>
  <c r="N52" i="71"/>
  <c r="B51" i="71"/>
  <c r="D49" i="71"/>
  <c r="T49" i="71"/>
  <c r="C25" i="71"/>
  <c r="D24" i="71"/>
  <c r="AB38" i="40"/>
  <c r="U38" i="40"/>
  <c r="S38" i="40"/>
  <c r="AA38" i="40"/>
  <c r="U24" i="36"/>
  <c r="AB24" i="36"/>
  <c r="W23" i="35"/>
  <c r="AC23" i="35"/>
  <c r="U12" i="21"/>
  <c r="AB12" i="21"/>
  <c r="S12" i="36"/>
  <c r="AA12" i="36"/>
  <c r="S44" i="21"/>
  <c r="AA44" i="21"/>
  <c r="S46" i="21"/>
  <c r="AA46" i="21"/>
  <c r="U27" i="21"/>
  <c r="AB27" i="21"/>
  <c r="AB29" i="21"/>
  <c r="U29" i="21"/>
  <c r="U29" i="34"/>
  <c r="AB29" i="34"/>
  <c r="AA31" i="34"/>
  <c r="S31" i="34"/>
  <c r="AA45" i="34"/>
  <c r="S45" i="34"/>
  <c r="W47" i="34"/>
  <c r="AC47" i="34"/>
  <c r="AB13" i="35"/>
  <c r="U13" i="35"/>
  <c r="U25" i="35"/>
  <c r="AB25" i="35"/>
  <c r="U35" i="35"/>
  <c r="AB35" i="35"/>
  <c r="W13" i="37"/>
  <c r="AC13" i="37"/>
  <c r="C30" i="84"/>
  <c r="C48" i="84"/>
  <c r="AB27" i="33"/>
  <c r="U27" i="33"/>
  <c r="U32" i="39"/>
  <c r="AB32" i="39"/>
  <c r="U39" i="40"/>
  <c r="AB39" i="40"/>
  <c r="G63" i="40"/>
  <c r="F65" i="40"/>
  <c r="B12" i="71"/>
  <c r="B11" i="71" s="1"/>
  <c r="S13" i="71"/>
  <c r="B8" i="71"/>
  <c r="B7" i="71" s="1"/>
  <c r="B6" i="71" s="1"/>
  <c r="B5" i="71" s="1"/>
  <c r="S9" i="71"/>
  <c r="D64" i="71"/>
  <c r="C63" i="71"/>
  <c r="D63" i="71" s="1"/>
  <c r="C45" i="71"/>
  <c r="D44" i="71"/>
  <c r="C37" i="71"/>
  <c r="D36" i="71"/>
  <c r="D17" i="71"/>
  <c r="T17" i="71"/>
  <c r="AC38" i="40"/>
  <c r="W38" i="40"/>
  <c r="AA26" i="37"/>
  <c r="S26" i="37"/>
  <c r="U12" i="36"/>
  <c r="AB12" i="36"/>
  <c r="W12" i="21"/>
  <c r="AC12" i="21"/>
  <c r="S26" i="33"/>
  <c r="AA26" i="33"/>
  <c r="AA27" i="34"/>
  <c r="S27" i="34"/>
  <c r="AB44" i="21"/>
  <c r="U44" i="21"/>
  <c r="W46" i="21"/>
  <c r="AC46" i="21"/>
  <c r="W13" i="21"/>
  <c r="AC13" i="21"/>
  <c r="AA27" i="21"/>
  <c r="S27" i="21"/>
  <c r="AA30" i="33"/>
  <c r="S30" i="33"/>
  <c r="U31" i="34"/>
  <c r="AB31" i="34"/>
  <c r="AC45" i="34"/>
  <c r="W45" i="34"/>
  <c r="AA47" i="34"/>
  <c r="S47" i="34"/>
  <c r="W13" i="35"/>
  <c r="AC13" i="35"/>
  <c r="S25" i="35"/>
  <c r="AA25" i="35"/>
  <c r="S35" i="35"/>
  <c r="AA35" i="35"/>
  <c r="S13" i="37"/>
  <c r="AA13" i="37"/>
  <c r="E8" i="6"/>
  <c r="E14" i="6"/>
  <c r="E10" i="6"/>
  <c r="AA12" i="33"/>
  <c r="S12" i="33"/>
  <c r="C48" i="83"/>
  <c r="C30" i="83"/>
  <c r="U9" i="35"/>
  <c r="AB9" i="35"/>
  <c r="W27" i="33"/>
  <c r="AC27" i="33"/>
  <c r="AC39" i="40"/>
  <c r="W39" i="40"/>
  <c r="H14" i="74"/>
  <c r="B7" i="74" s="1"/>
  <c r="D10" i="52"/>
  <c r="D125" i="9"/>
  <c r="D11" i="52" s="1"/>
  <c r="D17" i="53"/>
  <c r="B36" i="72" s="1"/>
  <c r="B34" i="72"/>
  <c r="O7" i="1"/>
  <c r="C9" i="68"/>
  <c r="I101" i="43"/>
  <c r="I102" i="43" s="1"/>
  <c r="D22" i="43"/>
  <c r="AE11" i="43"/>
  <c r="AE13" i="43" s="1"/>
  <c r="U19" i="39"/>
  <c r="W17" i="39"/>
  <c r="AC17" i="39"/>
  <c r="AB17" i="39"/>
  <c r="U17" i="39"/>
  <c r="G81" i="39"/>
  <c r="H81" i="39" s="1"/>
  <c r="I81" i="39" s="1"/>
  <c r="J81" i="39" s="1"/>
  <c r="K81" i="39" s="1"/>
  <c r="L81" i="39" s="1"/>
  <c r="M81" i="39" s="1"/>
  <c r="Z7" i="43"/>
  <c r="D101" i="43"/>
  <c r="D109" i="43" s="1"/>
  <c r="AH11" i="43"/>
  <c r="AH13" i="43" s="1"/>
  <c r="E530" i="3"/>
  <c r="E175" i="3"/>
  <c r="E533" i="3"/>
  <c r="E561" i="3"/>
  <c r="E439" i="3"/>
  <c r="E231" i="3"/>
  <c r="E196" i="3"/>
  <c r="E156" i="3"/>
  <c r="E148" i="3"/>
  <c r="E122" i="3"/>
  <c r="E151" i="3"/>
  <c r="E201" i="3"/>
  <c r="E229" i="3"/>
  <c r="E247" i="3"/>
  <c r="E396" i="3"/>
  <c r="E431" i="3"/>
  <c r="E569" i="3"/>
  <c r="E579" i="3"/>
  <c r="E516" i="3"/>
  <c r="E509" i="3"/>
  <c r="E239" i="3"/>
  <c r="E535" i="3"/>
  <c r="E550" i="3"/>
  <c r="E445" i="3"/>
  <c r="E260" i="3"/>
  <c r="E172" i="3"/>
  <c r="E395" i="3"/>
  <c r="E563" i="3"/>
  <c r="E415" i="3"/>
  <c r="E278" i="3"/>
  <c r="E114" i="3"/>
  <c r="E69" i="3"/>
  <c r="E263" i="3"/>
  <c r="E303" i="3"/>
  <c r="E382" i="3"/>
  <c r="E350" i="3"/>
  <c r="E423" i="3"/>
  <c r="E402" i="3"/>
  <c r="E578" i="3"/>
  <c r="E586" i="3"/>
  <c r="AI6" i="3"/>
  <c r="AN6" i="3"/>
  <c r="E518" i="3"/>
  <c r="E495" i="3"/>
  <c r="E385" i="3"/>
  <c r="E353" i="3"/>
  <c r="E128" i="3"/>
  <c r="E165" i="3"/>
  <c r="E205" i="3"/>
  <c r="E227" i="3"/>
  <c r="E352" i="3"/>
  <c r="E461" i="3"/>
  <c r="E510" i="3"/>
  <c r="E567" i="3"/>
  <c r="E545" i="3"/>
  <c r="E539" i="3"/>
  <c r="E329" i="3"/>
  <c r="AJ6" i="3"/>
  <c r="N6" i="3"/>
  <c r="E322" i="3"/>
  <c r="E282" i="3"/>
  <c r="E268" i="3"/>
  <c r="E553" i="3"/>
  <c r="E526" i="3"/>
  <c r="E366" i="3"/>
  <c r="E217" i="3"/>
  <c r="E125" i="3"/>
  <c r="E390" i="3"/>
  <c r="S6" i="3"/>
  <c r="E523" i="3"/>
  <c r="E506" i="3"/>
  <c r="E418" i="3"/>
  <c r="E338" i="3"/>
  <c r="E321" i="3"/>
  <c r="E301" i="3"/>
  <c r="E245" i="3"/>
  <c r="E159" i="3"/>
  <c r="E191" i="3"/>
  <c r="E99" i="3"/>
  <c r="E188" i="3"/>
  <c r="E228" i="3"/>
  <c r="E181" i="3"/>
  <c r="BA5" i="3"/>
  <c r="F50" i="15"/>
  <c r="M7" i="15"/>
  <c r="J6" i="15" s="1"/>
  <c r="C6" i="15"/>
  <c r="F71" i="15"/>
  <c r="M7" i="67"/>
  <c r="J6" i="67" s="1"/>
  <c r="F50" i="67"/>
  <c r="C49" i="67" s="1"/>
  <c r="C6" i="67"/>
  <c r="F71" i="67"/>
  <c r="M6" i="1"/>
  <c r="M16" i="1" s="1"/>
  <c r="C30" i="68"/>
  <c r="C48" i="68"/>
  <c r="C48" i="11"/>
  <c r="C30" i="11"/>
  <c r="C48" i="69"/>
  <c r="C30" i="69"/>
  <c r="P7" i="1"/>
  <c r="H16" i="1"/>
  <c r="Q16" i="1"/>
  <c r="F27" i="11" s="1"/>
  <c r="AC11" i="43"/>
  <c r="AC13" i="43" s="1"/>
  <c r="AF11" i="43"/>
  <c r="AF13" i="43" s="1"/>
  <c r="Z11" i="43"/>
  <c r="Z13" i="43" s="1"/>
  <c r="M101" i="43"/>
  <c r="M107" i="43" s="1"/>
  <c r="Y11" i="43"/>
  <c r="Y13" i="43" s="1"/>
  <c r="AG11" i="43"/>
  <c r="AG13" i="43" s="1"/>
  <c r="AB11" i="43"/>
  <c r="AB13" i="43" s="1"/>
  <c r="AJ11" i="43"/>
  <c r="AJ13" i="43" s="1"/>
  <c r="J22" i="43"/>
  <c r="AA11" i="43"/>
  <c r="AA13" i="43" s="1"/>
  <c r="AI11" i="43"/>
  <c r="AI13" i="43" s="1"/>
  <c r="AD11" i="43"/>
  <c r="AD13" i="43" s="1"/>
  <c r="E101" i="43"/>
  <c r="E107" i="43" s="1"/>
  <c r="AZ450" i="3"/>
  <c r="AZ5" i="3" s="1"/>
  <c r="G30" i="6"/>
  <c r="G31" i="6" s="1"/>
  <c r="C34" i="69"/>
  <c r="K16" i="1"/>
  <c r="E30" i="6"/>
  <c r="E56" i="40"/>
  <c r="I109" i="43"/>
  <c r="D103" i="43"/>
  <c r="E270" i="3"/>
  <c r="E358" i="3"/>
  <c r="E559" i="3"/>
  <c r="E551" i="3"/>
  <c r="V6" i="3"/>
  <c r="E407" i="3"/>
  <c r="E320" i="3"/>
  <c r="E294" i="3"/>
  <c r="E298" i="3"/>
  <c r="E216" i="3"/>
  <c r="E169" i="3"/>
  <c r="E185" i="3"/>
  <c r="E61" i="3"/>
  <c r="E135" i="3"/>
  <c r="E290" i="3"/>
  <c r="E161" i="3"/>
  <c r="E117" i="3"/>
  <c r="E514" i="3"/>
  <c r="E570" i="3"/>
  <c r="M6" i="3"/>
  <c r="AB6" i="3"/>
  <c r="E387" i="3"/>
  <c r="E335" i="3"/>
  <c r="E215" i="3"/>
  <c r="E230" i="3"/>
  <c r="E189" i="3"/>
  <c r="E130" i="3"/>
  <c r="E134" i="3"/>
  <c r="E254" i="3"/>
  <c r="E91" i="3"/>
  <c r="E221" i="3"/>
  <c r="E180" i="3"/>
  <c r="E149" i="3"/>
  <c r="E207" i="3"/>
  <c r="E77" i="3"/>
  <c r="E252" i="3"/>
  <c r="E212" i="3"/>
  <c r="E271" i="3"/>
  <c r="E253" i="3"/>
  <c r="E204" i="3"/>
  <c r="E167" i="3"/>
  <c r="E145" i="3"/>
  <c r="E199" i="3"/>
  <c r="E164" i="3"/>
  <c r="E141" i="3"/>
  <c r="E107" i="3"/>
  <c r="E286"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76" i="3"/>
  <c r="E110" i="3"/>
  <c r="E59" i="3"/>
  <c r="E540" i="3"/>
  <c r="E462" i="3"/>
  <c r="E521" i="3"/>
  <c r="E446" i="3"/>
  <c r="E47" i="3"/>
  <c r="E98" i="3"/>
  <c r="E65" i="3"/>
  <c r="E138" i="3"/>
  <c r="E195" i="3"/>
  <c r="E163" i="3"/>
  <c r="E248"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09" i="3"/>
  <c r="E29" i="3"/>
  <c r="E480" i="3"/>
  <c r="E441" i="3"/>
  <c r="E484" i="3"/>
  <c r="E425" i="3"/>
  <c r="E467" i="3"/>
  <c r="E64" i="3"/>
  <c r="E46" i="3"/>
  <c r="E103" i="3"/>
  <c r="E160" i="3"/>
  <c r="E142" i="3"/>
  <c r="E200"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H6" i="3" s="1"/>
  <c r="E68" i="3"/>
  <c r="E51" i="3"/>
  <c r="E63" i="3"/>
  <c r="E19" i="3"/>
  <c r="E81" i="3"/>
  <c r="E154" i="3"/>
  <c r="E118" i="3"/>
  <c r="E179" i="3"/>
  <c r="E264" i="3"/>
  <c r="E222" i="3"/>
  <c r="E283" i="3"/>
  <c r="E323" i="3"/>
  <c r="E309" i="3"/>
  <c r="E373" i="3"/>
  <c r="E513" i="3"/>
  <c r="E82" i="3"/>
  <c r="E21" i="3"/>
  <c r="E311" i="3"/>
  <c r="E327" i="3"/>
  <c r="E60" i="40"/>
  <c r="E65" i="39"/>
  <c r="E58" i="40"/>
  <c r="E63" i="39"/>
  <c r="E57" i="40"/>
  <c r="E62" i="39"/>
  <c r="F10" i="40"/>
  <c r="S10" i="40" s="1"/>
  <c r="AC6" i="3"/>
  <c r="C107" i="43"/>
  <c r="C103" i="43"/>
  <c r="C104" i="43"/>
  <c r="C106" i="43"/>
  <c r="C109"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D118" i="43"/>
  <c r="E118" i="43" s="1"/>
  <c r="F118" i="43" s="1"/>
  <c r="I118" i="43"/>
  <c r="J118" i="43" s="1"/>
  <c r="K118" i="43" s="1"/>
  <c r="L118" i="43" s="1"/>
  <c r="M118" i="43" s="1"/>
  <c r="D115" i="43"/>
  <c r="E115" i="43" s="1"/>
  <c r="F115" i="43" s="1"/>
  <c r="G115" i="43" s="1"/>
  <c r="H115" i="43" s="1"/>
  <c r="N102" i="43"/>
  <c r="N105" i="43"/>
  <c r="N104" i="43"/>
  <c r="N109" i="43"/>
  <c r="N103" i="43"/>
  <c r="N107" i="43"/>
  <c r="N106" i="43"/>
  <c r="K103" i="43"/>
  <c r="K102" i="43"/>
  <c r="K105" i="43"/>
  <c r="K109" i="43"/>
  <c r="K107" i="43"/>
  <c r="K106" i="43"/>
  <c r="K104" i="43"/>
  <c r="H102" i="43"/>
  <c r="H103" i="43"/>
  <c r="H104" i="43"/>
  <c r="H109" i="43"/>
  <c r="H107" i="43"/>
  <c r="H106" i="43"/>
  <c r="H105" i="43"/>
  <c r="F104" i="43"/>
  <c r="F102" i="43"/>
  <c r="F105" i="43"/>
  <c r="F109" i="43"/>
  <c r="F106" i="43"/>
  <c r="F103" i="43"/>
  <c r="F107" i="43"/>
  <c r="L106" i="43"/>
  <c r="L107" i="43"/>
  <c r="L103" i="43"/>
  <c r="L109" i="43"/>
  <c r="L102" i="43"/>
  <c r="L105" i="43"/>
  <c r="L104" i="43"/>
  <c r="J107" i="43"/>
  <c r="J102" i="43"/>
  <c r="J109" i="43"/>
  <c r="J104" i="43"/>
  <c r="J105" i="43"/>
  <c r="J103" i="43"/>
  <c r="J106" i="43"/>
  <c r="G107" i="43"/>
  <c r="G104" i="43"/>
  <c r="G106" i="43"/>
  <c r="G105" i="43"/>
  <c r="G103" i="43"/>
  <c r="G109" i="43"/>
  <c r="G102" i="43"/>
  <c r="J10" i="40"/>
  <c r="H10" i="40"/>
  <c r="F10" i="39"/>
  <c r="H10" i="39"/>
  <c r="G59" i="34"/>
  <c r="H58" i="21"/>
  <c r="I52" i="33"/>
  <c r="J52" i="33" s="1"/>
  <c r="I53" i="33"/>
  <c r="J53" i="33" s="1"/>
  <c r="C49" i="33"/>
  <c r="C48" i="33"/>
  <c r="G53" i="33"/>
  <c r="H53" i="33" s="1"/>
  <c r="AC10" i="39"/>
  <c r="W10" i="39"/>
  <c r="E68" i="39"/>
  <c r="D70" i="39"/>
  <c r="F46" i="36"/>
  <c r="G46" i="36" s="1"/>
  <c r="H46" i="36" s="1"/>
  <c r="I46" i="36" s="1"/>
  <c r="J46" i="36" s="1"/>
  <c r="K46" i="36" s="1"/>
  <c r="L46" i="36" s="1"/>
  <c r="M46" i="36" s="1"/>
  <c r="N46" i="36" s="1"/>
  <c r="O46" i="36" s="1"/>
  <c r="J7" i="36"/>
  <c r="G52" i="37"/>
  <c r="H52" i="37" s="1"/>
  <c r="I52" i="37" s="1"/>
  <c r="J52" i="37" s="1"/>
  <c r="K52" i="37" s="1"/>
  <c r="L52" i="37" s="1"/>
  <c r="M52" i="37" s="1"/>
  <c r="N52" i="37" s="1"/>
  <c r="O52" i="37" s="1"/>
  <c r="H7" i="37"/>
  <c r="F7" i="37"/>
  <c r="H48" i="35"/>
  <c r="E53" i="33"/>
  <c r="F53" i="33" s="1"/>
  <c r="E52" i="33"/>
  <c r="F52" i="33" s="1"/>
  <c r="P25" i="43"/>
  <c r="Q74" i="15"/>
  <c r="Q61" i="15"/>
  <c r="Q61" i="67"/>
  <c r="Q74" i="67"/>
  <c r="M26" i="79"/>
  <c r="C16" i="67"/>
  <c r="F27" i="83"/>
  <c r="M8" i="79"/>
  <c r="M9" i="79"/>
  <c r="F6" i="73"/>
  <c r="J15" i="79"/>
  <c r="D7" i="73"/>
  <c r="M24" i="79"/>
  <c r="F36" i="79"/>
  <c r="L47" i="79"/>
  <c r="F16" i="79"/>
  <c r="F6" i="79"/>
  <c r="F5" i="73"/>
  <c r="F9" i="79"/>
  <c r="F27" i="84"/>
  <c r="C36" i="83"/>
  <c r="F8" i="79"/>
  <c r="F40" i="79"/>
  <c r="D9" i="84"/>
  <c r="C36" i="84"/>
  <c r="M29" i="79"/>
  <c r="D5" i="73"/>
  <c r="M23" i="79"/>
  <c r="F7" i="79"/>
  <c r="F13" i="79"/>
  <c r="M22" i="79"/>
  <c r="D3" i="73"/>
  <c r="D4" i="73"/>
  <c r="F7" i="73"/>
  <c r="F38" i="79"/>
  <c r="L48" i="79"/>
  <c r="M27" i="79"/>
  <c r="C76" i="79"/>
  <c r="F26" i="79"/>
  <c r="F3" i="73"/>
  <c r="F37" i="79"/>
  <c r="F42" i="79"/>
  <c r="D6" i="73"/>
  <c r="F43" i="79"/>
  <c r="F4" i="73"/>
  <c r="M6" i="79"/>
  <c r="D9" i="83"/>
  <c r="M28" i="79"/>
  <c r="C16" i="15"/>
  <c r="Q73" i="67" l="1"/>
  <c r="D106" i="43"/>
  <c r="I107" i="43"/>
  <c r="M109" i="43"/>
  <c r="D107" i="43"/>
  <c r="I104" i="43"/>
  <c r="I106" i="43"/>
  <c r="E16" i="6"/>
  <c r="D102" i="43"/>
  <c r="D105" i="43"/>
  <c r="D104" i="43"/>
  <c r="I105" i="43"/>
  <c r="I103" i="43"/>
  <c r="Q60" i="15"/>
  <c r="F1" i="15"/>
  <c r="C49" i="15"/>
  <c r="C29" i="84"/>
  <c r="D27" i="84" s="1"/>
  <c r="C47" i="84"/>
  <c r="D45" i="84" s="1"/>
  <c r="C9" i="84"/>
  <c r="F71" i="79"/>
  <c r="C6" i="79"/>
  <c r="N59" i="79"/>
  <c r="L58" i="79"/>
  <c r="L59" i="79"/>
  <c r="M59" i="79"/>
  <c r="F66" i="79"/>
  <c r="L56" i="79"/>
  <c r="L57" i="79"/>
  <c r="L60" i="79"/>
  <c r="I54" i="79"/>
  <c r="J60" i="79"/>
  <c r="Q48" i="79" s="1"/>
  <c r="J53" i="79"/>
  <c r="J59" i="79"/>
  <c r="J57" i="79"/>
  <c r="J55" i="79" s="1"/>
  <c r="J58" i="79" s="1"/>
  <c r="Q50" i="79" s="1"/>
  <c r="K1" i="73"/>
  <c r="E20" i="43"/>
  <c r="I1" i="73"/>
  <c r="B39" i="1" s="1"/>
  <c r="F50" i="79"/>
  <c r="M7" i="79"/>
  <c r="J6" i="79" s="1"/>
  <c r="C27" i="79"/>
  <c r="F64" i="79"/>
  <c r="F68" i="79"/>
  <c r="F65" i="79"/>
  <c r="F51" i="79"/>
  <c r="Q71" i="79"/>
  <c r="C9" i="83"/>
  <c r="C29" i="83"/>
  <c r="D27" i="83" s="1"/>
  <c r="C47" i="83"/>
  <c r="D45" i="83" s="1"/>
  <c r="E51" i="40"/>
  <c r="F27" i="6"/>
  <c r="E56" i="39"/>
  <c r="D37" i="71"/>
  <c r="T37" i="71"/>
  <c r="D45" i="71"/>
  <c r="T45" i="71"/>
  <c r="H63" i="40"/>
  <c r="G65" i="40"/>
  <c r="D25" i="71"/>
  <c r="T25" i="71"/>
  <c r="C7" i="71"/>
  <c r="D8" i="71"/>
  <c r="E64" i="39"/>
  <c r="E59" i="40"/>
  <c r="N51" i="71"/>
  <c r="N50" i="71"/>
  <c r="D21" i="71"/>
  <c r="T21" i="71"/>
  <c r="C34" i="11"/>
  <c r="C35" i="11" s="1"/>
  <c r="N16" i="1"/>
  <c r="M102" i="43"/>
  <c r="AA10" i="40"/>
  <c r="M103" i="43"/>
  <c r="M106" i="43"/>
  <c r="M104" i="43"/>
  <c r="M105" i="43"/>
  <c r="L16" i="1"/>
  <c r="O6" i="1"/>
  <c r="E102" i="43"/>
  <c r="C47" i="11"/>
  <c r="D45" i="11" s="1"/>
  <c r="C29" i="11"/>
  <c r="D27" i="11" s="1"/>
  <c r="E106" i="43"/>
  <c r="F27" i="69"/>
  <c r="F28" i="12"/>
  <c r="C29" i="12" s="1"/>
  <c r="D28" i="12" s="1"/>
  <c r="E109" i="43"/>
  <c r="E103" i="43"/>
  <c r="E104" i="43"/>
  <c r="E105" i="43"/>
  <c r="AY6" i="3"/>
  <c r="AY566" i="3" s="1"/>
  <c r="E3" i="6"/>
  <c r="L18" i="9" s="1"/>
  <c r="C38" i="69"/>
  <c r="C35" i="69"/>
  <c r="M18" i="9"/>
  <c r="B118" i="9" s="1"/>
  <c r="B14" i="74" s="1"/>
  <c r="B1" i="74" s="1"/>
  <c r="C8" i="74" s="1"/>
  <c r="E6" i="6"/>
  <c r="E6" i="3"/>
  <c r="C115" i="43"/>
  <c r="D113" i="43" s="1"/>
  <c r="F50" i="11"/>
  <c r="AB10" i="39"/>
  <c r="U10" i="39"/>
  <c r="AB10" i="40"/>
  <c r="U10" i="40"/>
  <c r="S10" i="39"/>
  <c r="AA10" i="39"/>
  <c r="W10" i="40"/>
  <c r="AC10" i="40"/>
  <c r="S7" i="37"/>
  <c r="AA7" i="37"/>
  <c r="R42" i="37" s="1"/>
  <c r="F7" i="36"/>
  <c r="I58" i="21"/>
  <c r="I48" i="35"/>
  <c r="J48" i="35" s="1"/>
  <c r="K48" i="35" s="1"/>
  <c r="L48" i="35" s="1"/>
  <c r="M48" i="35" s="1"/>
  <c r="N48" i="35" s="1"/>
  <c r="O48" i="35" s="1"/>
  <c r="F7" i="35"/>
  <c r="U7" i="37"/>
  <c r="AB7" i="37"/>
  <c r="T42" i="37" s="1"/>
  <c r="G42" i="37" s="1"/>
  <c r="W7" i="36"/>
  <c r="AC7" i="36"/>
  <c r="V36" i="36" s="1"/>
  <c r="I36" i="36" s="1"/>
  <c r="E70" i="39"/>
  <c r="F68" i="39"/>
  <c r="H59" i="34"/>
  <c r="I59" i="34" s="1"/>
  <c r="J59" i="34" s="1"/>
  <c r="K59" i="34" s="1"/>
  <c r="L59" i="34" s="1"/>
  <c r="M59" i="34" s="1"/>
  <c r="N59" i="34" s="1"/>
  <c r="O59" i="34" s="1"/>
  <c r="F7" i="34"/>
  <c r="J7" i="34"/>
  <c r="H7" i="36"/>
  <c r="J7" i="37"/>
  <c r="C16" i="79"/>
  <c r="AE6" i="1"/>
  <c r="F27" i="68"/>
  <c r="G1" i="73"/>
  <c r="F31" i="6" l="1"/>
  <c r="E27" i="6"/>
  <c r="B40" i="1"/>
  <c r="D7" i="71"/>
  <c r="C6" i="71"/>
  <c r="I63" i="40"/>
  <c r="H65" i="40"/>
  <c r="F11" i="79"/>
  <c r="M11" i="15"/>
  <c r="J10" i="15" s="1"/>
  <c r="J5" i="15" s="1"/>
  <c r="J18" i="15" s="1"/>
  <c r="F11" i="15"/>
  <c r="M11" i="79"/>
  <c r="J10" i="79" s="1"/>
  <c r="J5" i="79" s="1"/>
  <c r="F11" i="67"/>
  <c r="M11" i="67"/>
  <c r="J10" i="67" s="1"/>
  <c r="J5" i="67" s="1"/>
  <c r="J24" i="67" s="1"/>
  <c r="L46" i="79"/>
  <c r="Q74" i="79"/>
  <c r="Q61" i="79"/>
  <c r="F50" i="69"/>
  <c r="F50" i="84"/>
  <c r="F50" i="83"/>
  <c r="C49" i="79"/>
  <c r="P17" i="43"/>
  <c r="N17" i="43"/>
  <c r="M17" i="43"/>
  <c r="O17" i="43"/>
  <c r="F1" i="79"/>
  <c r="Q52" i="79"/>
  <c r="Q57" i="79"/>
  <c r="Q66" i="79"/>
  <c r="Q73" i="79"/>
  <c r="Q60" i="79"/>
  <c r="AY246" i="3"/>
  <c r="S4" i="43"/>
  <c r="S7" i="43"/>
  <c r="S2" i="43"/>
  <c r="S6" i="43"/>
  <c r="S3" i="43"/>
  <c r="C23" i="43"/>
  <c r="C21" i="43" s="1"/>
  <c r="S5" i="43"/>
  <c r="F50" i="68"/>
  <c r="AY188" i="3"/>
  <c r="AY60" i="3"/>
  <c r="AY436" i="3"/>
  <c r="AY250" i="3"/>
  <c r="AY28" i="3"/>
  <c r="AY252" i="3"/>
  <c r="AY384" i="3"/>
  <c r="AY530" i="3"/>
  <c r="AY149" i="3"/>
  <c r="AY59" i="3"/>
  <c r="AY228" i="3"/>
  <c r="AY139" i="3"/>
  <c r="AY43" i="3"/>
  <c r="AY69" i="3"/>
  <c r="AY388" i="3"/>
  <c r="AY440" i="3"/>
  <c r="AY437" i="3"/>
  <c r="AY318" i="3"/>
  <c r="AY268" i="3"/>
  <c r="AY245" i="3"/>
  <c r="AY294" i="3"/>
  <c r="BK6" i="3"/>
  <c r="AY335" i="3"/>
  <c r="AY67" i="3"/>
  <c r="AY123" i="3"/>
  <c r="AY489" i="3"/>
  <c r="AY379" i="3"/>
  <c r="AY540" i="3"/>
  <c r="AY141" i="3"/>
  <c r="AY73" i="3"/>
  <c r="AY430" i="3"/>
  <c r="AY195" i="3"/>
  <c r="AY120" i="3"/>
  <c r="AY298" i="3"/>
  <c r="AY147" i="3"/>
  <c r="D19" i="11"/>
  <c r="C19" i="11" s="1"/>
  <c r="C20" i="11" s="1"/>
  <c r="C28" i="11" s="1"/>
  <c r="C27" i="11" s="1"/>
  <c r="C38" i="11"/>
  <c r="D3" i="37"/>
  <c r="D3" i="34"/>
  <c r="P6" i="1"/>
  <c r="P16" i="1" s="1"/>
  <c r="C11" i="12" s="1"/>
  <c r="O16" i="1"/>
  <c r="C29" i="68"/>
  <c r="D27" i="68" s="1"/>
  <c r="C47" i="68"/>
  <c r="D45" i="68" s="1"/>
  <c r="C47" i="69"/>
  <c r="D45" i="69" s="1"/>
  <c r="C29" i="69"/>
  <c r="D27" i="69" s="1"/>
  <c r="C17" i="4"/>
  <c r="B4" i="52" s="1"/>
  <c r="B43" i="72" s="1"/>
  <c r="D37" i="11"/>
  <c r="C37" i="11" s="1"/>
  <c r="D3" i="21"/>
  <c r="D3" i="33"/>
  <c r="B2" i="33" s="1"/>
  <c r="B3" i="33" s="1"/>
  <c r="D14" i="12"/>
  <c r="C14" i="12" s="1"/>
  <c r="AY395" i="3"/>
  <c r="AY452" i="3"/>
  <c r="AY299" i="3"/>
  <c r="AY513" i="3"/>
  <c r="AY371" i="3"/>
  <c r="AY214" i="3"/>
  <c r="AY138" i="3"/>
  <c r="AY108" i="3"/>
  <c r="AY465" i="3"/>
  <c r="AY409" i="3"/>
  <c r="AY297" i="3"/>
  <c r="AY176" i="3"/>
  <c r="AY196" i="3"/>
  <c r="AY74" i="3"/>
  <c r="AY204" i="3"/>
  <c r="AY363" i="3"/>
  <c r="AY412" i="3"/>
  <c r="AY229" i="3"/>
  <c r="AY326" i="3"/>
  <c r="AY557" i="3"/>
  <c r="AY105" i="3"/>
  <c r="AY198" i="3"/>
  <c r="AY255" i="3"/>
  <c r="AY360" i="3"/>
  <c r="AY145" i="3"/>
  <c r="AY316" i="3"/>
  <c r="AY585" i="3"/>
  <c r="AY131" i="3"/>
  <c r="AY576" i="3"/>
  <c r="AY383" i="3"/>
  <c r="AY47" i="3"/>
  <c r="AY431" i="3"/>
  <c r="AY490" i="3"/>
  <c r="AY407" i="3"/>
  <c r="AY237" i="3"/>
  <c r="AY52" i="3"/>
  <c r="AY162" i="3"/>
  <c r="AY291" i="3"/>
  <c r="AY238" i="3"/>
  <c r="AY374" i="3"/>
  <c r="BH6" i="3"/>
  <c r="AY202" i="3"/>
  <c r="AY259" i="3"/>
  <c r="AY333" i="3"/>
  <c r="AY472" i="3"/>
  <c r="AY411" i="3"/>
  <c r="AY77" i="3"/>
  <c r="AY428" i="3"/>
  <c r="AY342" i="3"/>
  <c r="AY39" i="3"/>
  <c r="AY13" i="3"/>
  <c r="AY330" i="3"/>
  <c r="AY233" i="3"/>
  <c r="AY203" i="3"/>
  <c r="AY563" i="3"/>
  <c r="AY575" i="3"/>
  <c r="AY492" i="3"/>
  <c r="AY556" i="3"/>
  <c r="AY148" i="3"/>
  <c r="AY285" i="3"/>
  <c r="AY582" i="3"/>
  <c r="AY258" i="3"/>
  <c r="AY454" i="3"/>
  <c r="AY109" i="3"/>
  <c r="AY56" i="3"/>
  <c r="AY166" i="3"/>
  <c r="AY295" i="3"/>
  <c r="AY242" i="3"/>
  <c r="AY353" i="3"/>
  <c r="AY348" i="3"/>
  <c r="AY475" i="3"/>
  <c r="AY462" i="3"/>
  <c r="AY398" i="3"/>
  <c r="BQ6" i="3"/>
  <c r="AY206" i="3"/>
  <c r="AY155" i="3"/>
  <c r="AY553" i="3"/>
  <c r="AY23" i="3"/>
  <c r="AY392" i="3"/>
  <c r="AY175" i="3"/>
  <c r="AY22" i="3"/>
  <c r="AY102" i="3"/>
  <c r="AY528" i="3"/>
  <c r="AY421" i="3"/>
  <c r="AY482" i="3"/>
  <c r="AY347" i="3"/>
  <c r="AY216" i="3"/>
  <c r="AY296" i="3"/>
  <c r="AY140" i="3"/>
  <c r="AY30" i="3"/>
  <c r="AY110" i="3"/>
  <c r="AY548" i="3"/>
  <c r="AY537" i="3"/>
  <c r="AY17" i="3"/>
  <c r="AY450" i="3"/>
  <c r="AY352" i="3"/>
  <c r="AY32" i="3"/>
  <c r="AY511" i="3"/>
  <c r="AY224" i="3"/>
  <c r="AY91" i="3"/>
  <c r="AY362" i="3"/>
  <c r="AY99" i="3"/>
  <c r="AY329" i="3"/>
  <c r="AY243" i="3"/>
  <c r="AY183" i="3"/>
  <c r="AY157" i="3"/>
  <c r="AY455" i="3"/>
  <c r="AY62" i="3"/>
  <c r="AY564" i="3"/>
  <c r="AY399" i="3"/>
  <c r="AY418" i="3"/>
  <c r="AY461" i="3"/>
  <c r="AY336" i="3"/>
  <c r="AY218" i="3"/>
  <c r="AY142" i="3"/>
  <c r="AY112" i="3"/>
  <c r="AY510" i="3"/>
  <c r="AY429" i="3"/>
  <c r="AY354" i="3"/>
  <c r="AY277" i="3"/>
  <c r="AY38" i="3"/>
  <c r="AY560" i="3"/>
  <c r="AY469" i="3"/>
  <c r="AY232" i="3"/>
  <c r="AY156" i="3"/>
  <c r="AY565" i="3"/>
  <c r="AY468" i="3"/>
  <c r="AY251" i="3"/>
  <c r="AY516" i="3"/>
  <c r="AY146" i="3"/>
  <c r="AY114" i="3"/>
  <c r="AY449" i="3"/>
  <c r="BB6" i="3"/>
  <c r="AY447" i="3"/>
  <c r="AY349" i="3"/>
  <c r="AY173" i="3"/>
  <c r="AY167" i="3"/>
  <c r="AY361" i="3"/>
  <c r="AY304" i="3"/>
  <c r="AY321" i="3"/>
  <c r="AY385" i="3"/>
  <c r="AY235" i="3"/>
  <c r="AY122" i="3"/>
  <c r="AY205" i="3"/>
  <c r="AY49" i="3"/>
  <c r="AY577" i="3"/>
  <c r="AY508" i="3"/>
  <c r="AY586" i="3"/>
  <c r="BD6" i="3"/>
  <c r="AY448" i="3"/>
  <c r="AY338" i="3"/>
  <c r="AY391" i="3"/>
  <c r="AY241" i="3"/>
  <c r="AY128" i="3"/>
  <c r="AY184" i="3"/>
  <c r="AY55" i="3"/>
  <c r="BL6" i="3"/>
  <c r="AY558" i="3"/>
  <c r="AY456" i="3"/>
  <c r="AY346" i="3"/>
  <c r="AY378" i="3"/>
  <c r="AY249" i="3"/>
  <c r="AY135" i="3"/>
  <c r="AY46" i="3"/>
  <c r="AY570" i="3"/>
  <c r="AY14" i="3"/>
  <c r="AY426" i="3"/>
  <c r="AY312" i="3"/>
  <c r="AY380" i="3"/>
  <c r="AY194" i="3"/>
  <c r="AY559" i="3"/>
  <c r="AY464" i="3"/>
  <c r="BI6" i="3"/>
  <c r="AY481" i="3"/>
  <c r="AY561" i="3"/>
  <c r="AY20" i="3"/>
  <c r="AY231" i="3"/>
  <c r="AY309" i="3"/>
  <c r="AY181" i="3"/>
  <c r="AY211" i="3"/>
  <c r="AY85" i="3"/>
  <c r="AY526" i="3"/>
  <c r="AY98" i="3"/>
  <c r="AY270" i="3"/>
  <c r="AY433" i="3"/>
  <c r="AY404" i="3"/>
  <c r="AY189" i="3"/>
  <c r="AY16" i="3"/>
  <c r="AY358" i="3"/>
  <c r="AY174" i="3"/>
  <c r="AY192" i="3"/>
  <c r="AY63" i="3"/>
  <c r="AY578" i="3"/>
  <c r="AY542" i="3"/>
  <c r="AY524" i="3"/>
  <c r="AY506" i="3"/>
  <c r="AY439" i="3"/>
  <c r="AY458" i="3"/>
  <c r="AY471" i="3"/>
  <c r="AY344" i="3"/>
  <c r="AY364" i="3"/>
  <c r="AY234" i="3"/>
  <c r="AY137" i="3"/>
  <c r="AY65" i="3"/>
  <c r="AY501" i="3"/>
  <c r="AY527" i="3"/>
  <c r="AY403" i="3"/>
  <c r="AY325" i="3"/>
  <c r="AY186" i="3"/>
  <c r="AY222" i="3"/>
  <c r="AY89" i="3"/>
  <c r="AY425" i="3"/>
  <c r="AY191" i="3"/>
  <c r="AY491" i="3"/>
  <c r="AY357" i="3"/>
  <c r="AY212" i="3"/>
  <c r="AY470" i="3"/>
  <c r="AY406" i="3"/>
  <c r="AY483" i="3"/>
  <c r="AY370" i="3"/>
  <c r="AY121" i="3"/>
  <c r="AY72" i="3"/>
  <c r="AY368" i="3"/>
  <c r="AY271" i="3"/>
  <c r="AY25" i="3"/>
  <c r="AY574" i="3"/>
  <c r="AY390" i="3"/>
  <c r="AY334" i="3"/>
  <c r="AY163" i="3"/>
  <c r="AY427" i="3"/>
  <c r="AY24" i="3"/>
  <c r="AY539" i="3"/>
  <c r="AY50" i="3"/>
  <c r="AY66" i="3"/>
  <c r="BF6" i="3"/>
  <c r="AY93" i="3"/>
  <c r="AY543" i="3"/>
  <c r="AY453" i="3"/>
  <c r="AY27" i="3"/>
  <c r="AY320" i="3"/>
  <c r="AY107" i="3"/>
  <c r="AY328" i="3"/>
  <c r="BT6" i="3"/>
  <c r="AY523" i="3"/>
  <c r="AY171" i="3"/>
  <c r="AY534" i="3"/>
  <c r="AY488" i="3"/>
  <c r="AY290" i="3"/>
  <c r="AY554" i="3"/>
  <c r="AY193" i="3"/>
  <c r="AY343" i="3"/>
  <c r="AY261" i="3"/>
  <c r="AY225" i="3"/>
  <c r="AY118" i="3"/>
  <c r="AY284" i="3"/>
  <c r="AY274" i="3"/>
  <c r="AY220" i="3"/>
  <c r="AY126" i="3"/>
  <c r="AY226" i="3"/>
  <c r="AY572" i="3"/>
  <c r="AY519" i="3"/>
  <c r="AY266" i="3"/>
  <c r="AY509" i="3"/>
  <c r="AY466" i="3"/>
  <c r="AY323" i="3"/>
  <c r="AY153" i="3"/>
  <c r="AY538" i="3"/>
  <c r="AY359" i="3"/>
  <c r="AY339" i="3"/>
  <c r="AY40" i="3"/>
  <c r="AY587" i="3"/>
  <c r="AY500" i="3"/>
  <c r="AY282" i="3"/>
  <c r="AY400" i="3"/>
  <c r="AY416" i="3"/>
  <c r="AY313" i="3"/>
  <c r="AY579" i="3"/>
  <c r="AY94" i="3"/>
  <c r="AY221" i="3"/>
  <c r="AY512" i="3"/>
  <c r="AY273" i="3"/>
  <c r="AY550" i="3"/>
  <c r="AY81" i="3"/>
  <c r="AY396" i="3"/>
  <c r="AY434" i="3"/>
  <c r="AY545" i="3"/>
  <c r="AY301" i="3"/>
  <c r="AY408" i="3"/>
  <c r="AY288" i="3"/>
  <c r="AY413" i="3"/>
  <c r="AY82" i="3"/>
  <c r="BG6" i="3"/>
  <c r="AY78" i="3"/>
  <c r="BC6" i="3"/>
  <c r="BP6" i="3"/>
  <c r="AY386" i="3"/>
  <c r="AY182" i="3"/>
  <c r="AY314" i="3"/>
  <c r="AY394" i="3"/>
  <c r="AY37" i="3"/>
  <c r="AY477" i="3"/>
  <c r="AY517" i="3"/>
  <c r="AY164" i="3"/>
  <c r="AY208" i="3"/>
  <c r="AY474" i="3"/>
  <c r="AY583" i="3"/>
  <c r="AY227" i="3"/>
  <c r="BO6" i="3"/>
  <c r="AY435" i="3"/>
  <c r="AY169" i="3"/>
  <c r="AY499" i="3"/>
  <c r="AY376" i="3"/>
  <c r="AY256" i="3"/>
  <c r="AY64" i="3"/>
  <c r="AY402" i="3"/>
  <c r="AY265" i="3"/>
  <c r="AY143" i="3"/>
  <c r="AY443" i="3"/>
  <c r="AY197" i="3"/>
  <c r="AY580" i="3"/>
  <c r="AY502" i="3"/>
  <c r="AY367" i="3"/>
  <c r="AY505" i="3"/>
  <c r="AY293" i="3"/>
  <c r="AY355" i="3"/>
  <c r="AY264" i="3"/>
  <c r="AY151" i="3"/>
  <c r="AY552" i="3"/>
  <c r="AY240" i="3"/>
  <c r="AY345" i="3"/>
  <c r="AY287" i="3"/>
  <c r="AY158" i="3"/>
  <c r="AY48" i="3"/>
  <c r="AY101" i="3"/>
  <c r="AY494" i="3"/>
  <c r="AY495" i="3"/>
  <c r="AY518" i="3"/>
  <c r="BN6" i="3"/>
  <c r="AY525" i="3"/>
  <c r="AY422" i="3"/>
  <c r="AY308" i="3"/>
  <c r="AY393" i="3"/>
  <c r="AY130" i="3"/>
  <c r="AY57" i="3"/>
  <c r="AY365" i="3"/>
  <c r="AY302" i="3"/>
  <c r="AY36" i="3"/>
  <c r="AY562" i="3"/>
  <c r="AY244" i="3"/>
  <c r="AY350" i="3"/>
  <c r="AY31" i="3"/>
  <c r="AY546" i="3"/>
  <c r="AY414" i="3"/>
  <c r="AY377" i="3"/>
  <c r="AY41" i="3"/>
  <c r="AY286" i="3"/>
  <c r="AY573" i="3"/>
  <c r="AY319" i="3"/>
  <c r="AY103" i="3"/>
  <c r="AY541" i="3"/>
  <c r="AY419" i="3"/>
  <c r="AY438" i="3"/>
  <c r="AY480" i="3"/>
  <c r="AY324" i="3"/>
  <c r="AY341" i="3"/>
  <c r="AY215" i="3"/>
  <c r="AY275" i="3"/>
  <c r="AY161" i="3"/>
  <c r="AY29" i="3"/>
  <c r="AY88" i="3"/>
  <c r="AY507" i="3"/>
  <c r="AY373" i="3"/>
  <c r="AY254" i="3"/>
  <c r="AY117" i="3"/>
  <c r="AY178" i="3"/>
  <c r="AY68" i="3"/>
  <c r="AY555" i="3"/>
  <c r="AY535" i="3"/>
  <c r="AY311" i="3"/>
  <c r="AY269" i="3"/>
  <c r="AY444" i="3"/>
  <c r="AY387" i="3"/>
  <c r="AY75" i="3"/>
  <c r="AY90" i="3"/>
  <c r="AY18" i="3"/>
  <c r="AY571" i="3"/>
  <c r="BM6" i="3"/>
  <c r="AY446" i="3"/>
  <c r="AY332" i="3"/>
  <c r="AY210" i="3"/>
  <c r="AY177" i="3"/>
  <c r="AY104" i="3"/>
  <c r="AY381" i="3"/>
  <c r="AY134" i="3"/>
  <c r="AY84" i="3"/>
  <c r="AY417" i="3"/>
  <c r="AY116" i="3"/>
  <c r="AY209" i="3"/>
  <c r="AY289" i="3"/>
  <c r="AY115" i="3"/>
  <c r="AY180" i="3"/>
  <c r="AY45" i="3"/>
  <c r="AY58" i="3"/>
  <c r="AY276" i="3"/>
  <c r="AY478" i="3"/>
  <c r="BJ6" i="3"/>
  <c r="AY457" i="3"/>
  <c r="AY132" i="3"/>
  <c r="AY199" i="3"/>
  <c r="AY53" i="3"/>
  <c r="AY389" i="3"/>
  <c r="AY150" i="3"/>
  <c r="AY340" i="3"/>
  <c r="AY503" i="3"/>
  <c r="AY520" i="3"/>
  <c r="AY584" i="3"/>
  <c r="AY80" i="3"/>
  <c r="AY129" i="3"/>
  <c r="AY369" i="3"/>
  <c r="AY487" i="3"/>
  <c r="AY410" i="3"/>
  <c r="D3" i="6"/>
  <c r="D6" i="6" s="1"/>
  <c r="AY531" i="3"/>
  <c r="AY35" i="3"/>
  <c r="AY280" i="3"/>
  <c r="AY331" i="3"/>
  <c r="AY405" i="3"/>
  <c r="AY86" i="3"/>
  <c r="AY159" i="3"/>
  <c r="AY213" i="3"/>
  <c r="AY459" i="3"/>
  <c r="AY504" i="3"/>
  <c r="AY496" i="3"/>
  <c r="AY21" i="3"/>
  <c r="AY267" i="3"/>
  <c r="AY337" i="3"/>
  <c r="AY476" i="3"/>
  <c r="AY415" i="3"/>
  <c r="AY515" i="3"/>
  <c r="AY493" i="3"/>
  <c r="AY172" i="3"/>
  <c r="AY248" i="3"/>
  <c r="AY485" i="3"/>
  <c r="AY547" i="3"/>
  <c r="AY54" i="3"/>
  <c r="AY136" i="3"/>
  <c r="AY272" i="3"/>
  <c r="AY375" i="3"/>
  <c r="AY322" i="3"/>
  <c r="AY432" i="3"/>
  <c r="AY15" i="3"/>
  <c r="AY567" i="3"/>
  <c r="AY497" i="3"/>
  <c r="AY317" i="3"/>
  <c r="AY486" i="3"/>
  <c r="AY239" i="3"/>
  <c r="AY356" i="3"/>
  <c r="AY536" i="3"/>
  <c r="AY96" i="3"/>
  <c r="AY223" i="3"/>
  <c r="AY442" i="3"/>
  <c r="BR6" i="3"/>
  <c r="AY127" i="3"/>
  <c r="AY424" i="3"/>
  <c r="AY179" i="3"/>
  <c r="AY306" i="3"/>
  <c r="AY532" i="3"/>
  <c r="AY113" i="3"/>
  <c r="AY479" i="3"/>
  <c r="AY522" i="3"/>
  <c r="AY19" i="3"/>
  <c r="AY315" i="3"/>
  <c r="AY71" i="3"/>
  <c r="AY257" i="3"/>
  <c r="AY307" i="3"/>
  <c r="AY521" i="3"/>
  <c r="AY160" i="3"/>
  <c r="AY292" i="3"/>
  <c r="AY279" i="3"/>
  <c r="AY514" i="3"/>
  <c r="AY484" i="3"/>
  <c r="AY187" i="3"/>
  <c r="AY70" i="3"/>
  <c r="AY498" i="3"/>
  <c r="AY305" i="3"/>
  <c r="AY79" i="3"/>
  <c r="AY568" i="3"/>
  <c r="AY351" i="3"/>
  <c r="AY100" i="3"/>
  <c r="AY467" i="3"/>
  <c r="AY423" i="3"/>
  <c r="AY119" i="3"/>
  <c r="AY445" i="3"/>
  <c r="AY200" i="3"/>
  <c r="AY581" i="3"/>
  <c r="BA6" i="3"/>
  <c r="AY551" i="3"/>
  <c r="BS6" i="3"/>
  <c r="AY451" i="3"/>
  <c r="AY201" i="3"/>
  <c r="AY397" i="3"/>
  <c r="AY230" i="3"/>
  <c r="AY247" i="3"/>
  <c r="AY283" i="3"/>
  <c r="AY133" i="3"/>
  <c r="AY154" i="3"/>
  <c r="AY190" i="3"/>
  <c r="AY44" i="3"/>
  <c r="AY61" i="3"/>
  <c r="AY97" i="3"/>
  <c r="AY533" i="3"/>
  <c r="AY549" i="3"/>
  <c r="AY420" i="3"/>
  <c r="AY310" i="3"/>
  <c r="AY372" i="3"/>
  <c r="AY260" i="3"/>
  <c r="AY26" i="3"/>
  <c r="AY441" i="3"/>
  <c r="AY473" i="3"/>
  <c r="AY366" i="3"/>
  <c r="AY236" i="3"/>
  <c r="AY168" i="3"/>
  <c r="AY281" i="3"/>
  <c r="AY42" i="3"/>
  <c r="AY124" i="3"/>
  <c r="AY207" i="3"/>
  <c r="AY51" i="3"/>
  <c r="AY83" i="3"/>
  <c r="AY569" i="3"/>
  <c r="AY263" i="3"/>
  <c r="AY106" i="3"/>
  <c r="AY170" i="3"/>
  <c r="AY219" i="3"/>
  <c r="AY262" i="3"/>
  <c r="AY278" i="3"/>
  <c r="AY125" i="3"/>
  <c r="AY165" i="3"/>
  <c r="AY185" i="3"/>
  <c r="AY33" i="3"/>
  <c r="AY76" i="3"/>
  <c r="AY92" i="3"/>
  <c r="BE6" i="3"/>
  <c r="AY544" i="3"/>
  <c r="AY401" i="3"/>
  <c r="AY463" i="3"/>
  <c r="AY327" i="3"/>
  <c r="AY217" i="3"/>
  <c r="AY300" i="3"/>
  <c r="AY529" i="3"/>
  <c r="AY460" i="3"/>
  <c r="AY303" i="3"/>
  <c r="AY382" i="3"/>
  <c r="AY253" i="3"/>
  <c r="AY111" i="3"/>
  <c r="AY152" i="3"/>
  <c r="AY95" i="3"/>
  <c r="AY144" i="3"/>
  <c r="AY34" i="3"/>
  <c r="AY87" i="3"/>
  <c r="C7" i="74"/>
  <c r="C33" i="11"/>
  <c r="C39" i="11" s="1"/>
  <c r="C46" i="11" s="1"/>
  <c r="C45" i="11" s="1"/>
  <c r="D20" i="12"/>
  <c r="C20" i="12" s="1"/>
  <c r="C18" i="12" s="1"/>
  <c r="D10" i="11"/>
  <c r="C10" i="11" s="1"/>
  <c r="D10" i="69"/>
  <c r="AB7" i="36"/>
  <c r="T36" i="36" s="1"/>
  <c r="G36" i="36" s="1"/>
  <c r="U7" i="36"/>
  <c r="S7" i="34"/>
  <c r="AA7" i="34"/>
  <c r="R49" i="34" s="1"/>
  <c r="G68" i="39"/>
  <c r="F70" i="39"/>
  <c r="I40" i="36"/>
  <c r="J40" i="36" s="1"/>
  <c r="G46" i="37"/>
  <c r="H46" i="37" s="1"/>
  <c r="AA7" i="35"/>
  <c r="R38" i="35" s="1"/>
  <c r="S7" i="35"/>
  <c r="S7" i="36"/>
  <c r="AA7" i="36"/>
  <c r="R36" i="36" s="1"/>
  <c r="AC7" i="37"/>
  <c r="V42" i="37" s="1"/>
  <c r="I42" i="37" s="1"/>
  <c r="G47" i="37" s="1"/>
  <c r="H47" i="37" s="1"/>
  <c r="W7" i="37"/>
  <c r="AC7" i="34"/>
  <c r="V49" i="34" s="1"/>
  <c r="I49" i="34" s="1"/>
  <c r="W7" i="34"/>
  <c r="J58" i="21"/>
  <c r="R43" i="37"/>
  <c r="E42" i="37"/>
  <c r="J7" i="35"/>
  <c r="H7" i="34"/>
  <c r="H7" i="35"/>
  <c r="AE7" i="1"/>
  <c r="F41" i="15"/>
  <c r="D10" i="68"/>
  <c r="C34" i="68"/>
  <c r="F41" i="67"/>
  <c r="F69" i="15" l="1"/>
  <c r="F69" i="67"/>
  <c r="K22" i="6"/>
  <c r="M22" i="6" s="1"/>
  <c r="I22" i="6" s="1"/>
  <c r="S22" i="6" s="1"/>
  <c r="K25" i="6"/>
  <c r="M25" i="6" s="1"/>
  <c r="I25" i="6" s="1"/>
  <c r="S25" i="6" s="1"/>
  <c r="K26" i="6"/>
  <c r="M26" i="6" s="1"/>
  <c r="I26" i="6" s="1"/>
  <c r="S26" i="6" s="1"/>
  <c r="K23" i="6"/>
  <c r="M23" i="6" s="1"/>
  <c r="I23" i="6" s="1"/>
  <c r="S23" i="6" s="1"/>
  <c r="K24" i="6"/>
  <c r="M24" i="6" s="1"/>
  <c r="I24" i="6" s="1"/>
  <c r="K21" i="6"/>
  <c r="M21" i="6" s="1"/>
  <c r="I21" i="6" s="1"/>
  <c r="S21" i="6" s="1"/>
  <c r="K19" i="6"/>
  <c r="E31" i="6"/>
  <c r="K20" i="6"/>
  <c r="J26" i="67"/>
  <c r="J29" i="67" s="1"/>
  <c r="J26" i="15"/>
  <c r="J29" i="15" s="1"/>
  <c r="J18" i="67"/>
  <c r="J24" i="15"/>
  <c r="C53" i="67"/>
  <c r="C48" i="67" s="1"/>
  <c r="C10" i="67"/>
  <c r="C5" i="67" s="1"/>
  <c r="C53" i="15"/>
  <c r="C48" i="15" s="1"/>
  <c r="C10" i="15"/>
  <c r="C5" i="15" s="1"/>
  <c r="C33" i="15" s="1"/>
  <c r="C53" i="79"/>
  <c r="C48" i="79" s="1"/>
  <c r="C10" i="79"/>
  <c r="C5" i="79" s="1"/>
  <c r="J63" i="40"/>
  <c r="I65" i="40"/>
  <c r="J24" i="79"/>
  <c r="J26" i="79"/>
  <c r="J18" i="79"/>
  <c r="C5" i="71"/>
  <c r="D5" i="71" s="1"/>
  <c r="M20" i="43" s="1"/>
  <c r="C19" i="43" s="1"/>
  <c r="D6" i="71"/>
  <c r="F22" i="84"/>
  <c r="F24" i="79"/>
  <c r="C24" i="79" s="1"/>
  <c r="F22" i="83"/>
  <c r="F24" i="67"/>
  <c r="C24" i="67" s="1"/>
  <c r="F22" i="11"/>
  <c r="C43" i="11" s="1"/>
  <c r="F25" i="12"/>
  <c r="C26" i="12" s="1"/>
  <c r="D25" i="12" s="1"/>
  <c r="F22" i="68"/>
  <c r="F22" i="69"/>
  <c r="F24" i="15"/>
  <c r="C24" i="15" s="1"/>
  <c r="C38" i="68"/>
  <c r="C35" i="68"/>
  <c r="E66" i="39"/>
  <c r="C15" i="12"/>
  <c r="C12" i="12"/>
  <c r="D17" i="12"/>
  <c r="C17" i="12" s="1"/>
  <c r="D15" i="6"/>
  <c r="D11" i="6"/>
  <c r="D25" i="6"/>
  <c r="D24" i="6"/>
  <c r="E61" i="40"/>
  <c r="H21" i="6"/>
  <c r="D10" i="6"/>
  <c r="D20" i="6"/>
  <c r="D12" i="6"/>
  <c r="D28" i="6"/>
  <c r="D21" i="6"/>
  <c r="D13" i="6"/>
  <c r="D29" i="6"/>
  <c r="M19" i="9"/>
  <c r="C118" i="9" s="1"/>
  <c r="C14" i="74" s="1"/>
  <c r="B2" i="74" s="1"/>
  <c r="L19" i="9"/>
  <c r="D23" i="6"/>
  <c r="D19" i="6"/>
  <c r="D9" i="6"/>
  <c r="D8" i="6"/>
  <c r="H25" i="6"/>
  <c r="D5" i="6"/>
  <c r="D22" i="6"/>
  <c r="C18" i="4"/>
  <c r="D14" i="6"/>
  <c r="D26" i="6"/>
  <c r="H23" i="6"/>
  <c r="D19" i="69"/>
  <c r="C10" i="69"/>
  <c r="C8" i="69" s="1"/>
  <c r="C5" i="69" s="1"/>
  <c r="D19" i="68"/>
  <c r="C10" i="68"/>
  <c r="C8" i="68" s="1"/>
  <c r="AB7" i="35"/>
  <c r="T38" i="35" s="1"/>
  <c r="G38" i="35" s="1"/>
  <c r="U7" i="35"/>
  <c r="U7" i="34"/>
  <c r="AB7" i="34"/>
  <c r="T49" i="34" s="1"/>
  <c r="G49" i="34" s="1"/>
  <c r="E47" i="37"/>
  <c r="F47" i="37" s="1"/>
  <c r="E46" i="37"/>
  <c r="F46" i="37" s="1"/>
  <c r="I53" i="34"/>
  <c r="J53" i="34" s="1"/>
  <c r="I47" i="37"/>
  <c r="J47" i="37" s="1"/>
  <c r="I46" i="37"/>
  <c r="J46" i="37" s="1"/>
  <c r="R39" i="35"/>
  <c r="E38" i="35"/>
  <c r="H68" i="39"/>
  <c r="G70" i="39"/>
  <c r="E49" i="34"/>
  <c r="R50" i="34"/>
  <c r="AC7" i="35"/>
  <c r="V38" i="35" s="1"/>
  <c r="I38" i="35" s="1"/>
  <c r="W7" i="35"/>
  <c r="C43" i="37"/>
  <c r="B2" i="37" s="1"/>
  <c r="B3" i="37" s="1"/>
  <c r="C42" i="37"/>
  <c r="K58" i="21"/>
  <c r="L58" i="21" s="1"/>
  <c r="M58" i="21" s="1"/>
  <c r="N58" i="21" s="1"/>
  <c r="O58" i="21" s="1"/>
  <c r="J7" i="21"/>
  <c r="E36" i="36"/>
  <c r="R37" i="36"/>
  <c r="G40" i="36"/>
  <c r="H40" i="36" s="1"/>
  <c r="G41" i="36"/>
  <c r="H41" i="36" s="1"/>
  <c r="F41" i="79"/>
  <c r="C23" i="69" l="1"/>
  <c r="H26" i="6"/>
  <c r="H22" i="6"/>
  <c r="S7" i="1"/>
  <c r="M20" i="6"/>
  <c r="I20" i="6" s="1"/>
  <c r="S6" i="1"/>
  <c r="M19" i="6"/>
  <c r="K27" i="6"/>
  <c r="S24" i="6"/>
  <c r="H24" i="6"/>
  <c r="R24" i="6" s="1"/>
  <c r="F69" i="79"/>
  <c r="J29" i="79"/>
  <c r="C44" i="68"/>
  <c r="D41" i="68" s="1"/>
  <c r="C26" i="68"/>
  <c r="D22" i="68" s="1"/>
  <c r="C44" i="11"/>
  <c r="D41" i="11" s="1"/>
  <c r="C26" i="11"/>
  <c r="D22" i="11" s="1"/>
  <c r="C25" i="11"/>
  <c r="C23" i="11"/>
  <c r="C24" i="11"/>
  <c r="C44" i="83"/>
  <c r="D41" i="83" s="1"/>
  <c r="C26" i="83"/>
  <c r="D22" i="83" s="1"/>
  <c r="C26" i="84"/>
  <c r="D22" i="84" s="1"/>
  <c r="C44" i="84"/>
  <c r="D41" i="84" s="1"/>
  <c r="C37" i="43"/>
  <c r="T13" i="43"/>
  <c r="V13" i="43" s="1"/>
  <c r="C35" i="43"/>
  <c r="T8" i="43"/>
  <c r="V8" i="43" s="1"/>
  <c r="C36" i="43"/>
  <c r="T2" i="43"/>
  <c r="V2" i="43" s="1"/>
  <c r="C29" i="43"/>
  <c r="T5" i="43"/>
  <c r="V5" i="43" s="1"/>
  <c r="C38" i="43"/>
  <c r="T6" i="43"/>
  <c r="V6" i="43" s="1"/>
  <c r="T3" i="43"/>
  <c r="V3" i="43" s="1"/>
  <c r="C39" i="43"/>
  <c r="T12" i="43"/>
  <c r="V12" i="43" s="1"/>
  <c r="C33" i="43"/>
  <c r="T16" i="43"/>
  <c r="V16" i="43" s="1"/>
  <c r="T14" i="43"/>
  <c r="V14" i="43" s="1"/>
  <c r="T4" i="43"/>
  <c r="V4" i="43" s="1"/>
  <c r="C34" i="43"/>
  <c r="T11" i="43"/>
  <c r="V11" i="43" s="1"/>
  <c r="T10" i="43"/>
  <c r="V10" i="43" s="1"/>
  <c r="T7" i="43"/>
  <c r="V7" i="43" s="1"/>
  <c r="T9" i="43"/>
  <c r="V9" i="43" s="1"/>
  <c r="T15" i="43"/>
  <c r="V15" i="43" s="1"/>
  <c r="C38" i="79"/>
  <c r="C32" i="79"/>
  <c r="C33" i="79"/>
  <c r="C32" i="15"/>
  <c r="C38" i="15"/>
  <c r="C32" i="67"/>
  <c r="C38" i="67"/>
  <c r="C42" i="11"/>
  <c r="C41" i="11" s="1"/>
  <c r="C26" i="69"/>
  <c r="D22" i="69" s="1"/>
  <c r="C44" i="69"/>
  <c r="D41" i="69" s="1"/>
  <c r="K63" i="40"/>
  <c r="J65" i="40"/>
  <c r="C66" i="79"/>
  <c r="C60" i="79"/>
  <c r="C60" i="15"/>
  <c r="C66" i="15"/>
  <c r="C66" i="67"/>
  <c r="C60" i="67"/>
  <c r="H38" i="39"/>
  <c r="J38" i="39"/>
  <c r="F38" i="39"/>
  <c r="C16" i="12"/>
  <c r="C21" i="12" s="1"/>
  <c r="C22" i="12" s="1"/>
  <c r="C30" i="12" s="1"/>
  <c r="C28" i="12" s="1"/>
  <c r="R26" i="6"/>
  <c r="D30" i="6"/>
  <c r="R22" i="6"/>
  <c r="D16" i="6"/>
  <c r="D27" i="6"/>
  <c r="R21" i="6"/>
  <c r="R25" i="6"/>
  <c r="C4" i="52"/>
  <c r="B45" i="72" s="1"/>
  <c r="A7" i="51"/>
  <c r="B7" i="72" s="1"/>
  <c r="A10" i="51"/>
  <c r="B9" i="72" s="1"/>
  <c r="R23" i="6"/>
  <c r="D8" i="74"/>
  <c r="D7" i="74"/>
  <c r="C19" i="68"/>
  <c r="D37" i="68"/>
  <c r="C37" i="68" s="1"/>
  <c r="C33" i="68" s="1"/>
  <c r="C19" i="69"/>
  <c r="D37" i="69"/>
  <c r="C37" i="69" s="1"/>
  <c r="C33" i="69" s="1"/>
  <c r="C37" i="36"/>
  <c r="B2" i="36" s="1"/>
  <c r="B3" i="36" s="1"/>
  <c r="C36" i="36"/>
  <c r="E41" i="36"/>
  <c r="F41" i="36" s="1"/>
  <c r="E40" i="36"/>
  <c r="F40" i="36" s="1"/>
  <c r="I41" i="36"/>
  <c r="J41" i="36" s="1"/>
  <c r="H7" i="21"/>
  <c r="C49" i="34"/>
  <c r="C50" i="34"/>
  <c r="B2" i="34" s="1"/>
  <c r="B3" i="34" s="1"/>
  <c r="E43" i="35"/>
  <c r="F43" i="35" s="1"/>
  <c r="E42" i="35"/>
  <c r="F42" i="35" s="1"/>
  <c r="G53" i="34"/>
  <c r="H53" i="34" s="1"/>
  <c r="G54" i="34"/>
  <c r="H54" i="34" s="1"/>
  <c r="F7" i="21"/>
  <c r="AC7" i="21"/>
  <c r="V48" i="21" s="1"/>
  <c r="I48" i="21" s="1"/>
  <c r="W7" i="21"/>
  <c r="I42" i="35"/>
  <c r="J42" i="35" s="1"/>
  <c r="I43" i="35"/>
  <c r="J43" i="35" s="1"/>
  <c r="E54" i="34"/>
  <c r="F54" i="34" s="1"/>
  <c r="E53" i="34"/>
  <c r="F53" i="34" s="1"/>
  <c r="I68" i="39"/>
  <c r="H70" i="39"/>
  <c r="C39" i="35"/>
  <c r="B2" i="35" s="1"/>
  <c r="B3" i="35" s="1"/>
  <c r="C38" i="35"/>
  <c r="I54" i="34"/>
  <c r="J54" i="34" s="1"/>
  <c r="G42" i="35"/>
  <c r="H42" i="35" s="1"/>
  <c r="G43" i="35"/>
  <c r="H43" i="35" s="1"/>
  <c r="D10" i="83"/>
  <c r="C14" i="67"/>
  <c r="C17" i="67"/>
  <c r="C17" i="15"/>
  <c r="C17" i="79"/>
  <c r="D10" i="84"/>
  <c r="C18" i="67" l="1"/>
  <c r="C15" i="67"/>
  <c r="D19" i="83"/>
  <c r="C10" i="83"/>
  <c r="D19" i="84"/>
  <c r="C10" i="84"/>
  <c r="M27" i="6"/>
  <c r="I19" i="6"/>
  <c r="S20" i="6"/>
  <c r="H20" i="6"/>
  <c r="R20" i="6" s="1"/>
  <c r="R7" i="1" s="1"/>
  <c r="AQ6" i="1"/>
  <c r="AR6" i="1"/>
  <c r="E6" i="70"/>
  <c r="T6" i="1"/>
  <c r="S16" i="1"/>
  <c r="E7" i="70"/>
  <c r="T7" i="1"/>
  <c r="AR7" i="1"/>
  <c r="AQ7" i="1"/>
  <c r="C49" i="11"/>
  <c r="C51" i="11" s="1"/>
  <c r="C22" i="11"/>
  <c r="C31" i="11" s="1"/>
  <c r="L63" i="40"/>
  <c r="K65" i="40"/>
  <c r="G34" i="43"/>
  <c r="I34" i="43" s="1"/>
  <c r="E34" i="43"/>
  <c r="G33" i="43"/>
  <c r="I33" i="43" s="1"/>
  <c r="E33" i="43"/>
  <c r="G39" i="43"/>
  <c r="I39" i="43" s="1"/>
  <c r="E39" i="43"/>
  <c r="E38" i="43"/>
  <c r="G38" i="43"/>
  <c r="I38" i="43" s="1"/>
  <c r="E29" i="43"/>
  <c r="C26" i="43" s="1"/>
  <c r="C30" i="43"/>
  <c r="E30" i="43" s="1"/>
  <c r="G36" i="43"/>
  <c r="I36" i="43" s="1"/>
  <c r="E36" i="43"/>
  <c r="G35" i="43"/>
  <c r="I35" i="43" s="1"/>
  <c r="E35" i="43"/>
  <c r="G37" i="43"/>
  <c r="I37" i="43" s="1"/>
  <c r="E37" i="43"/>
  <c r="D31" i="6"/>
  <c r="I5" i="6" s="1"/>
  <c r="AA38" i="39"/>
  <c r="S38" i="39"/>
  <c r="AB38" i="39"/>
  <c r="U38" i="39"/>
  <c r="W38" i="39"/>
  <c r="AC38" i="39"/>
  <c r="C27" i="12"/>
  <c r="C25" i="12" s="1"/>
  <c r="C32" i="12" s="1"/>
  <c r="B2" i="12" s="1"/>
  <c r="B3" i="12" s="1"/>
  <c r="C20" i="69"/>
  <c r="C28" i="69" s="1"/>
  <c r="C27" i="69" s="1"/>
  <c r="C24" i="69"/>
  <c r="C24" i="68"/>
  <c r="C39" i="69"/>
  <c r="C42" i="69"/>
  <c r="C39" i="68"/>
  <c r="C43" i="68" s="1"/>
  <c r="C42" i="68"/>
  <c r="J68" i="39"/>
  <c r="I70" i="39"/>
  <c r="I52" i="21"/>
  <c r="J52" i="21" s="1"/>
  <c r="AB7" i="21"/>
  <c r="T48" i="21" s="1"/>
  <c r="G48" i="21" s="1"/>
  <c r="U7" i="21"/>
  <c r="S7" i="21"/>
  <c r="AA7" i="21"/>
  <c r="R48" i="21" s="1"/>
  <c r="C34" i="84"/>
  <c r="F35" i="79"/>
  <c r="C14" i="15"/>
  <c r="M21" i="79"/>
  <c r="C34" i="83"/>
  <c r="C14" i="79"/>
  <c r="C19" i="67" l="1"/>
  <c r="C20" i="67" s="1"/>
  <c r="C26" i="67" s="1"/>
  <c r="E2" i="70"/>
  <c r="C38" i="83"/>
  <c r="C35" i="83"/>
  <c r="C33" i="83" s="1"/>
  <c r="C18" i="15"/>
  <c r="C15" i="15"/>
  <c r="F63" i="79"/>
  <c r="C62" i="79" s="1"/>
  <c r="C34" i="79"/>
  <c r="C31" i="79" s="1"/>
  <c r="J20" i="79"/>
  <c r="C15" i="79"/>
  <c r="C18" i="79"/>
  <c r="C38" i="84"/>
  <c r="C35" i="84"/>
  <c r="T16" i="1"/>
  <c r="I27" i="6"/>
  <c r="S19" i="6"/>
  <c r="S27" i="6" s="1"/>
  <c r="H19" i="6"/>
  <c r="D37" i="84"/>
  <c r="C37" i="84" s="1"/>
  <c r="C19" i="84"/>
  <c r="C24" i="84" s="1"/>
  <c r="C19" i="83"/>
  <c r="C24" i="83" s="1"/>
  <c r="D37" i="83"/>
  <c r="C37" i="83" s="1"/>
  <c r="C52" i="11"/>
  <c r="B2" i="11" s="1"/>
  <c r="B3" i="11" s="1"/>
  <c r="C27" i="43"/>
  <c r="M63" i="40"/>
  <c r="L65" i="40"/>
  <c r="B2" i="43"/>
  <c r="I6" i="6"/>
  <c r="C11" i="39" s="1"/>
  <c r="C41" i="68"/>
  <c r="C46" i="68"/>
  <c r="C45" i="68" s="1"/>
  <c r="C25" i="69"/>
  <c r="C22" i="69" s="1"/>
  <c r="C31" i="69" s="1"/>
  <c r="C46" i="69"/>
  <c r="C45" i="69" s="1"/>
  <c r="C43" i="69"/>
  <c r="C41" i="69" s="1"/>
  <c r="R49" i="21"/>
  <c r="E48" i="21"/>
  <c r="G52" i="21"/>
  <c r="H52" i="21" s="1"/>
  <c r="G53" i="21"/>
  <c r="H53" i="21" s="1"/>
  <c r="K68" i="39"/>
  <c r="J70" i="39"/>
  <c r="E6" i="76"/>
  <c r="B6" i="76"/>
  <c r="C19" i="15" l="1"/>
  <c r="C20" i="15" s="1"/>
  <c r="C26" i="15" s="1"/>
  <c r="C23" i="67"/>
  <c r="C29" i="67" s="1"/>
  <c r="C19" i="79"/>
  <c r="C20" i="79" s="1"/>
  <c r="C26" i="79" s="1"/>
  <c r="C33" i="84"/>
  <c r="C42" i="84" s="1"/>
  <c r="R19" i="6"/>
  <c r="H27" i="6"/>
  <c r="C39" i="83"/>
  <c r="C46" i="83" s="1"/>
  <c r="C45" i="83" s="1"/>
  <c r="C42" i="83"/>
  <c r="C56" i="11"/>
  <c r="C57" i="11" s="1"/>
  <c r="B2" i="76"/>
  <c r="E2" i="76"/>
  <c r="B3" i="43"/>
  <c r="N63" i="40"/>
  <c r="M65" i="40"/>
  <c r="H11" i="39"/>
  <c r="F11" i="39"/>
  <c r="J11" i="39"/>
  <c r="J59" i="15"/>
  <c r="J60" i="15" s="1"/>
  <c r="Q48" i="15" s="1"/>
  <c r="C49" i="68"/>
  <c r="C51" i="68" s="1"/>
  <c r="C49" i="69"/>
  <c r="C51" i="69" s="1"/>
  <c r="C52" i="69" s="1"/>
  <c r="B2" i="69" s="1"/>
  <c r="B3" i="69" s="1"/>
  <c r="L68" i="39"/>
  <c r="K70" i="39"/>
  <c r="E52" i="21"/>
  <c r="F52" i="21" s="1"/>
  <c r="E53" i="21"/>
  <c r="F53" i="21" s="1"/>
  <c r="I53" i="21"/>
  <c r="J53" i="21" s="1"/>
  <c r="C48" i="21"/>
  <c r="C49" i="21"/>
  <c r="B2" i="21" s="1"/>
  <c r="B3" i="21" s="1"/>
  <c r="C39" i="84" l="1"/>
  <c r="C43" i="84" s="1"/>
  <c r="C41" i="84" s="1"/>
  <c r="C23" i="79"/>
  <c r="C29" i="79" s="1"/>
  <c r="J14" i="79" s="1"/>
  <c r="J22" i="79" s="1"/>
  <c r="J59" i="67"/>
  <c r="J60" i="67" s="1"/>
  <c r="Q48" i="67" s="1"/>
  <c r="C57" i="67"/>
  <c r="C36" i="67"/>
  <c r="C13" i="67"/>
  <c r="C33" i="67"/>
  <c r="J19" i="67"/>
  <c r="J14" i="67"/>
  <c r="Q49" i="67"/>
  <c r="C23" i="15"/>
  <c r="C29" i="15" s="1"/>
  <c r="C43" i="83"/>
  <c r="C41" i="83" s="1"/>
  <c r="C49" i="83" s="1"/>
  <c r="C51" i="83" s="1"/>
  <c r="R27" i="6"/>
  <c r="R6" i="1"/>
  <c r="B3" i="76"/>
  <c r="N65" i="40"/>
  <c r="O63" i="40"/>
  <c r="O65" i="40" s="1"/>
  <c r="J7" i="40"/>
  <c r="AC11" i="39"/>
  <c r="W11" i="39"/>
  <c r="AB11" i="39"/>
  <c r="U11" i="39"/>
  <c r="AA11" i="39"/>
  <c r="S11" i="39"/>
  <c r="L57" i="15"/>
  <c r="L60" i="15" s="1"/>
  <c r="C57" i="69"/>
  <c r="C56" i="69" s="1"/>
  <c r="M68" i="39"/>
  <c r="L70" i="39"/>
  <c r="M21" i="15"/>
  <c r="F35" i="15"/>
  <c r="M21" i="67"/>
  <c r="F35" i="67"/>
  <c r="C46" i="84" l="1"/>
  <c r="C45" i="84" s="1"/>
  <c r="C49" i="84" s="1"/>
  <c r="C51" i="84" s="1"/>
  <c r="J19" i="79"/>
  <c r="J17" i="79" s="1"/>
  <c r="C13" i="79"/>
  <c r="C56" i="79" s="1"/>
  <c r="C65" i="79" s="1"/>
  <c r="Q49" i="79"/>
  <c r="J20" i="67"/>
  <c r="J17" i="67" s="1"/>
  <c r="F63" i="67"/>
  <c r="C62" i="67" s="1"/>
  <c r="C34" i="67"/>
  <c r="C31" i="67" s="1"/>
  <c r="J22" i="67"/>
  <c r="J13" i="67"/>
  <c r="J23" i="67" s="1"/>
  <c r="C37" i="67"/>
  <c r="Q70" i="67"/>
  <c r="C75" i="67"/>
  <c r="C56" i="67"/>
  <c r="C65" i="67" s="1"/>
  <c r="C61" i="67"/>
  <c r="C59" i="67" s="1"/>
  <c r="C64" i="67"/>
  <c r="C57" i="79"/>
  <c r="C36" i="79"/>
  <c r="J13" i="79"/>
  <c r="J23" i="79" s="1"/>
  <c r="C13" i="15"/>
  <c r="Q49" i="15"/>
  <c r="J19" i="15"/>
  <c r="C57" i="15"/>
  <c r="J14" i="15"/>
  <c r="C36" i="15"/>
  <c r="J20" i="15"/>
  <c r="C34" i="15"/>
  <c r="C31" i="15" s="1"/>
  <c r="F63" i="15"/>
  <c r="C62" i="15" s="1"/>
  <c r="R16" i="1"/>
  <c r="F7" i="40"/>
  <c r="H7" i="40"/>
  <c r="AC7" i="40"/>
  <c r="V42" i="40" s="1"/>
  <c r="I42" i="40" s="1"/>
  <c r="W7" i="40"/>
  <c r="L46" i="15"/>
  <c r="Q57" i="15"/>
  <c r="Q66" i="15"/>
  <c r="N68" i="39"/>
  <c r="M70" i="39"/>
  <c r="J17" i="15" l="1"/>
  <c r="J16" i="79"/>
  <c r="J25" i="79" s="1"/>
  <c r="Q70" i="79"/>
  <c r="C75" i="79"/>
  <c r="C37" i="79"/>
  <c r="C30" i="79" s="1"/>
  <c r="C39" i="79" s="1"/>
  <c r="C30" i="67"/>
  <c r="C39" i="67" s="1"/>
  <c r="C64" i="79"/>
  <c r="C61" i="79"/>
  <c r="C59" i="79" s="1"/>
  <c r="C58" i="67"/>
  <c r="C67" i="67" s="1"/>
  <c r="C68" i="67" s="1"/>
  <c r="C71" i="67" s="1"/>
  <c r="Q69" i="67"/>
  <c r="Q68" i="67" s="1"/>
  <c r="J16" i="67"/>
  <c r="J25" i="67" s="1"/>
  <c r="C61" i="15"/>
  <c r="C59" i="15" s="1"/>
  <c r="C64" i="15"/>
  <c r="J13" i="15"/>
  <c r="J23" i="15" s="1"/>
  <c r="J22" i="15"/>
  <c r="C56" i="15"/>
  <c r="C65" i="15" s="1"/>
  <c r="C37" i="15"/>
  <c r="C30" i="15" s="1"/>
  <c r="C39" i="15" s="1"/>
  <c r="Q70" i="15"/>
  <c r="C75" i="15"/>
  <c r="U7" i="40"/>
  <c r="AB7" i="40"/>
  <c r="T42" i="40" s="1"/>
  <c r="G42" i="40" s="1"/>
  <c r="I46" i="40"/>
  <c r="J46" i="40" s="1"/>
  <c r="S7" i="40"/>
  <c r="AA7" i="40"/>
  <c r="R42" i="40" s="1"/>
  <c r="O68" i="39"/>
  <c r="O70" i="39" s="1"/>
  <c r="N70" i="39"/>
  <c r="L51" i="15"/>
  <c r="L51" i="67"/>
  <c r="L51" i="79"/>
  <c r="C58" i="79" l="1"/>
  <c r="C67" i="79" s="1"/>
  <c r="C68" i="79" s="1"/>
  <c r="C71" i="79" s="1"/>
  <c r="Q67" i="79"/>
  <c r="Q69" i="79"/>
  <c r="Q68" i="79" s="1"/>
  <c r="C80" i="79"/>
  <c r="C79" i="79" s="1"/>
  <c r="C40" i="79"/>
  <c r="B2" i="79" s="1"/>
  <c r="B3" i="79" s="1"/>
  <c r="L57" i="67"/>
  <c r="L60" i="67" s="1"/>
  <c r="Q66" i="67" s="1"/>
  <c r="Q67" i="67"/>
  <c r="C80" i="67"/>
  <c r="C79" i="67" s="1"/>
  <c r="C40" i="67"/>
  <c r="C80" i="15"/>
  <c r="C79" i="15" s="1"/>
  <c r="J16" i="15"/>
  <c r="J25" i="15" s="1"/>
  <c r="Q67" i="15"/>
  <c r="C40" i="15"/>
  <c r="Q56" i="15" s="1"/>
  <c r="Q62" i="15" s="1"/>
  <c r="Q69" i="15"/>
  <c r="Q68" i="15" s="1"/>
  <c r="C58" i="15"/>
  <c r="C67" i="15" s="1"/>
  <c r="C68" i="15" s="1"/>
  <c r="C71" i="15" s="1"/>
  <c r="E42" i="40"/>
  <c r="R43" i="40"/>
  <c r="G46" i="40"/>
  <c r="H46" i="40" s="1"/>
  <c r="G47" i="40"/>
  <c r="H47" i="40" s="1"/>
  <c r="J7" i="39"/>
  <c r="F7" i="39"/>
  <c r="H7" i="39"/>
  <c r="AO7" i="1"/>
  <c r="C83" i="79" l="1"/>
  <c r="C82" i="79" s="1"/>
  <c r="C46" i="79"/>
  <c r="Q65" i="79"/>
  <c r="Q75" i="79" s="1"/>
  <c r="Q56" i="79"/>
  <c r="Q62" i="79" s="1"/>
  <c r="Q47" i="79"/>
  <c r="Q53" i="79" s="1"/>
  <c r="C43" i="79"/>
  <c r="B7" i="70"/>
  <c r="L46" i="67"/>
  <c r="D2" i="67" s="1"/>
  <c r="B2" i="67" s="1"/>
  <c r="Q57" i="67"/>
  <c r="C45" i="67"/>
  <c r="C46" i="67" s="1"/>
  <c r="Q47" i="67"/>
  <c r="Q53" i="67" s="1"/>
  <c r="C43" i="67"/>
  <c r="C83" i="67"/>
  <c r="C82" i="67" s="1"/>
  <c r="Q65" i="67"/>
  <c r="Q75" i="67" s="1"/>
  <c r="Q56" i="67"/>
  <c r="B3" i="67"/>
  <c r="Q47" i="15"/>
  <c r="Q53" i="15" s="1"/>
  <c r="C46" i="15"/>
  <c r="C83" i="15"/>
  <c r="C82" i="15" s="1"/>
  <c r="B2" i="15"/>
  <c r="B3" i="15" s="1"/>
  <c r="Q65" i="15"/>
  <c r="Q75" i="15" s="1"/>
  <c r="C43" i="15"/>
  <c r="C43" i="40"/>
  <c r="C42" i="40"/>
  <c r="E46" i="40"/>
  <c r="F46" i="40" s="1"/>
  <c r="E47" i="40"/>
  <c r="F47" i="40" s="1"/>
  <c r="I47" i="40"/>
  <c r="J47" i="40" s="1"/>
  <c r="AC7" i="39"/>
  <c r="V47" i="39" s="1"/>
  <c r="I47" i="39" s="1"/>
  <c r="W7" i="39"/>
  <c r="S7" i="39"/>
  <c r="AA7" i="39"/>
  <c r="R47" i="39" s="1"/>
  <c r="AB7" i="39"/>
  <c r="T47" i="39" s="1"/>
  <c r="G47" i="39" s="1"/>
  <c r="U7" i="39"/>
  <c r="AO6" i="1"/>
  <c r="Q62" i="67" l="1"/>
  <c r="B6" i="70"/>
  <c r="B2" i="70" s="1"/>
  <c r="B60" i="40"/>
  <c r="F60" i="40" s="1"/>
  <c r="B59" i="40"/>
  <c r="F59" i="40" s="1"/>
  <c r="B54" i="40"/>
  <c r="F54" i="40" s="1"/>
  <c r="F61" i="40"/>
  <c r="B2" i="40" s="1"/>
  <c r="B3" i="40" s="1"/>
  <c r="B52" i="40"/>
  <c r="F52" i="40" s="1"/>
  <c r="B55" i="40"/>
  <c r="F55" i="40" s="1"/>
  <c r="B57" i="40"/>
  <c r="F57" i="40" s="1"/>
  <c r="B56" i="40"/>
  <c r="F56" i="40" s="1"/>
  <c r="B53" i="40"/>
  <c r="F53" i="40" s="1"/>
  <c r="B58" i="40"/>
  <c r="F58" i="40" s="1"/>
  <c r="B51" i="40"/>
  <c r="F51" i="40" s="1"/>
  <c r="G52" i="39"/>
  <c r="H52" i="39" s="1"/>
  <c r="G51" i="39"/>
  <c r="H51" i="39" s="1"/>
  <c r="I51" i="39"/>
  <c r="J51" i="39" s="1"/>
  <c r="E47" i="39"/>
  <c r="R48" i="39"/>
  <c r="D19" i="9"/>
  <c r="D102" i="9" l="1"/>
  <c r="D21" i="9"/>
  <c r="B3" i="70"/>
  <c r="E51" i="39"/>
  <c r="F51" i="39" s="1"/>
  <c r="E52" i="39"/>
  <c r="F52" i="39" s="1"/>
  <c r="C48" i="39"/>
  <c r="C47" i="39"/>
  <c r="I52" i="39"/>
  <c r="J52" i="39" s="1"/>
  <c r="D20" i="9"/>
  <c r="D103" i="9" l="1"/>
  <c r="C6" i="84"/>
  <c r="C7" i="84" s="1"/>
  <c r="C5" i="84" s="1"/>
  <c r="C6" i="83"/>
  <c r="B60" i="39"/>
  <c r="F60" i="39" s="1"/>
  <c r="B58" i="39"/>
  <c r="F58" i="39" s="1"/>
  <c r="B64" i="39"/>
  <c r="F64" i="39" s="1"/>
  <c r="B57" i="39"/>
  <c r="F57" i="39" s="1"/>
  <c r="B62" i="39"/>
  <c r="F62" i="39" s="1"/>
  <c r="B61" i="39"/>
  <c r="F61" i="39" s="1"/>
  <c r="B56" i="39"/>
  <c r="F56" i="39" s="1"/>
  <c r="F66" i="39" s="1"/>
  <c r="B2" i="39" s="1"/>
  <c r="B59" i="39"/>
  <c r="F59" i="39" s="1"/>
  <c r="B65" i="39"/>
  <c r="F65" i="39" s="1"/>
  <c r="B63" i="39"/>
  <c r="F63" i="39" s="1"/>
  <c r="C7" i="83" l="1"/>
  <c r="C5" i="83" s="1"/>
  <c r="C20" i="84"/>
  <c r="C25" i="84" s="1"/>
  <c r="C23" i="84"/>
  <c r="B3" i="39"/>
  <c r="C6" i="68"/>
  <c r="C7" i="68" s="1"/>
  <c r="C5" i="68" s="1"/>
  <c r="C22" i="84" l="1"/>
  <c r="C20" i="83"/>
  <c r="C23" i="83"/>
  <c r="C28" i="84"/>
  <c r="C27" i="84" s="1"/>
  <c r="C23" i="68"/>
  <c r="C20" i="68"/>
  <c r="C25" i="68" s="1"/>
  <c r="C31" i="84" l="1"/>
  <c r="C52" i="84" s="1"/>
  <c r="B2" i="84" s="1"/>
  <c r="C28" i="83"/>
  <c r="C27" i="83" s="1"/>
  <c r="C25" i="83"/>
  <c r="C22" i="83" s="1"/>
  <c r="C28" i="68"/>
  <c r="C27" i="68" s="1"/>
  <c r="C22" i="68"/>
  <c r="B3" i="84"/>
  <c r="C57" i="84" l="1"/>
  <c r="C56" i="84" s="1"/>
  <c r="C31" i="83"/>
  <c r="C52" i="83" s="1"/>
  <c r="B2" i="83" s="1"/>
  <c r="C31" i="68"/>
  <c r="C52" i="68" s="1"/>
  <c r="C57" i="68" s="1"/>
  <c r="C56" i="68" s="1"/>
  <c r="B3" i="83"/>
  <c r="C57" i="83" l="1"/>
  <c r="C56" i="83" s="1"/>
  <c r="B2" i="68"/>
  <c r="C19" i="9"/>
  <c r="C21" i="9" l="1"/>
  <c r="G19" i="9"/>
  <c r="C32" i="9" s="1"/>
  <c r="C102" i="9"/>
  <c r="D22" i="9"/>
  <c r="B3" i="68"/>
  <c r="D35" i="9"/>
  <c r="C20" i="9"/>
  <c r="D34" i="9"/>
  <c r="G21" i="9" l="1"/>
  <c r="G20" i="9"/>
  <c r="F35" i="6" s="1"/>
  <c r="H35" i="6" s="1"/>
  <c r="H36" i="6" s="1"/>
  <c r="C103" i="9"/>
  <c r="H118" i="9"/>
  <c r="C35" i="9"/>
  <c r="F118" i="9" s="1"/>
  <c r="M4" i="86" l="1"/>
  <c r="N4" i="86" s="1"/>
  <c r="O4" i="86" s="1"/>
  <c r="M4" i="87"/>
  <c r="C34" i="9"/>
  <c r="D118" i="9" s="1"/>
  <c r="D4" i="52" s="1"/>
  <c r="B47" i="72" s="1"/>
  <c r="I118" i="9"/>
  <c r="H4" i="52"/>
  <c r="H119" i="9"/>
  <c r="H5" i="52" s="1"/>
  <c r="H101" i="9"/>
  <c r="D14" i="74"/>
  <c r="C104" i="9"/>
  <c r="G118" i="9"/>
  <c r="G4" i="52" s="1"/>
  <c r="B52" i="72" s="1"/>
  <c r="F4" i="52"/>
  <c r="B51" i="72" s="1"/>
  <c r="F119" i="9"/>
  <c r="F5" i="52" s="1"/>
  <c r="B53" i="72" s="1"/>
  <c r="N6" i="86" l="1"/>
  <c r="O6" i="86" s="1"/>
  <c r="N8" i="86"/>
  <c r="O8" i="86" s="1"/>
  <c r="N10" i="86"/>
  <c r="O10" i="86" s="1"/>
  <c r="N12" i="86"/>
  <c r="O12" i="86" s="1"/>
  <c r="N14" i="86"/>
  <c r="O14" i="86" s="1"/>
  <c r="N16" i="86"/>
  <c r="O16" i="86" s="1"/>
  <c r="N18" i="86"/>
  <c r="O18" i="86" s="1"/>
  <c r="N20" i="86"/>
  <c r="O20" i="86" s="1"/>
  <c r="N22" i="86"/>
  <c r="O22" i="86" s="1"/>
  <c r="N24" i="86"/>
  <c r="O24" i="86" s="1"/>
  <c r="N26" i="86"/>
  <c r="O26" i="86" s="1"/>
  <c r="N28" i="86"/>
  <c r="O28" i="86" s="1"/>
  <c r="N30" i="86"/>
  <c r="O30" i="86" s="1"/>
  <c r="N32" i="86"/>
  <c r="O32" i="86" s="1"/>
  <c r="N34" i="86"/>
  <c r="O34" i="86" s="1"/>
  <c r="N36" i="86"/>
  <c r="O36" i="86" s="1"/>
  <c r="N38" i="86"/>
  <c r="O38" i="86" s="1"/>
  <c r="N40" i="86"/>
  <c r="O40" i="86" s="1"/>
  <c r="N42" i="86"/>
  <c r="O42" i="86" s="1"/>
  <c r="N44" i="86"/>
  <c r="O44" i="86" s="1"/>
  <c r="N46" i="86"/>
  <c r="O46" i="86" s="1"/>
  <c r="N48" i="86"/>
  <c r="O48" i="86" s="1"/>
  <c r="N50" i="86"/>
  <c r="O50" i="86" s="1"/>
  <c r="N52" i="86"/>
  <c r="O52" i="86" s="1"/>
  <c r="N54" i="86"/>
  <c r="O54" i="86" s="1"/>
  <c r="N56" i="86"/>
  <c r="O56" i="86" s="1"/>
  <c r="N58" i="86"/>
  <c r="O58" i="86" s="1"/>
  <c r="N60" i="86"/>
  <c r="O60" i="86" s="1"/>
  <c r="N62" i="86"/>
  <c r="O62" i="86" s="1"/>
  <c r="N64" i="86"/>
  <c r="O64" i="86" s="1"/>
  <c r="N66" i="86"/>
  <c r="O66" i="86" s="1"/>
  <c r="N68" i="86"/>
  <c r="O68" i="86" s="1"/>
  <c r="N70" i="86"/>
  <c r="O70" i="86" s="1"/>
  <c r="N72" i="86"/>
  <c r="O72" i="86" s="1"/>
  <c r="N74" i="86"/>
  <c r="O74" i="86" s="1"/>
  <c r="N76" i="86"/>
  <c r="O76" i="86" s="1"/>
  <c r="N78" i="86"/>
  <c r="O78" i="86" s="1"/>
  <c r="N80" i="86"/>
  <c r="O80" i="86" s="1"/>
  <c r="N82" i="86"/>
  <c r="O82" i="86" s="1"/>
  <c r="N84" i="86"/>
  <c r="O84" i="86" s="1"/>
  <c r="N86" i="86"/>
  <c r="O86" i="86" s="1"/>
  <c r="N88" i="86"/>
  <c r="O88" i="86" s="1"/>
  <c r="N90" i="86"/>
  <c r="O90" i="86" s="1"/>
  <c r="N92" i="86"/>
  <c r="O92" i="86" s="1"/>
  <c r="N94" i="86"/>
  <c r="O94" i="86" s="1"/>
  <c r="N96" i="86"/>
  <c r="O96" i="86" s="1"/>
  <c r="N98" i="86"/>
  <c r="O98" i="86" s="1"/>
  <c r="N100" i="86"/>
  <c r="O100" i="86" s="1"/>
  <c r="N102" i="86"/>
  <c r="O102" i="86" s="1"/>
  <c r="N104" i="86"/>
  <c r="O104" i="86" s="1"/>
  <c r="N106" i="86"/>
  <c r="O106" i="86" s="1"/>
  <c r="N108" i="86"/>
  <c r="O108" i="86" s="1"/>
  <c r="N110" i="86"/>
  <c r="O110" i="86" s="1"/>
  <c r="N112" i="86"/>
  <c r="O112" i="86" s="1"/>
  <c r="N114" i="86"/>
  <c r="O114" i="86" s="1"/>
  <c r="N116" i="86"/>
  <c r="O116" i="86" s="1"/>
  <c r="N118" i="86"/>
  <c r="O118" i="86" s="1"/>
  <c r="N120" i="86"/>
  <c r="O120" i="86" s="1"/>
  <c r="N122" i="86"/>
  <c r="O122" i="86" s="1"/>
  <c r="N124" i="86"/>
  <c r="O124" i="86" s="1"/>
  <c r="N126" i="86"/>
  <c r="O126" i="86" s="1"/>
  <c r="N128" i="86"/>
  <c r="O128" i="86" s="1"/>
  <c r="N130" i="86"/>
  <c r="O130" i="86" s="1"/>
  <c r="N132" i="86"/>
  <c r="O132" i="86" s="1"/>
  <c r="N134" i="86"/>
  <c r="O134" i="86" s="1"/>
  <c r="N136" i="86"/>
  <c r="O136" i="86" s="1"/>
  <c r="N138" i="86"/>
  <c r="O138" i="86" s="1"/>
  <c r="N140" i="86"/>
  <c r="O140" i="86" s="1"/>
  <c r="N142" i="86"/>
  <c r="O142" i="86" s="1"/>
  <c r="N144" i="86"/>
  <c r="O144" i="86" s="1"/>
  <c r="N146" i="86"/>
  <c r="O146" i="86" s="1"/>
  <c r="N148" i="86"/>
  <c r="O148" i="86" s="1"/>
  <c r="N150" i="86"/>
  <c r="O150" i="86" s="1"/>
  <c r="N152" i="86"/>
  <c r="O152" i="86" s="1"/>
  <c r="N154" i="86"/>
  <c r="O154" i="86" s="1"/>
  <c r="N156" i="86"/>
  <c r="O156" i="86" s="1"/>
  <c r="N158" i="86"/>
  <c r="O158" i="86" s="1"/>
  <c r="N160" i="86"/>
  <c r="O160" i="86" s="1"/>
  <c r="N162" i="86"/>
  <c r="O162" i="86" s="1"/>
  <c r="N164" i="86"/>
  <c r="O164" i="86" s="1"/>
  <c r="N166" i="86"/>
  <c r="O166" i="86" s="1"/>
  <c r="N168" i="86"/>
  <c r="O168" i="86" s="1"/>
  <c r="N170" i="86"/>
  <c r="O170" i="86" s="1"/>
  <c r="N172" i="86"/>
  <c r="O172" i="86" s="1"/>
  <c r="N174" i="86"/>
  <c r="O174" i="86" s="1"/>
  <c r="N202" i="86"/>
  <c r="O202" i="86" s="1"/>
  <c r="N7" i="86"/>
  <c r="O7" i="86" s="1"/>
  <c r="N11" i="86"/>
  <c r="O11" i="86" s="1"/>
  <c r="N15" i="86"/>
  <c r="O15" i="86" s="1"/>
  <c r="N19" i="86"/>
  <c r="O19" i="86" s="1"/>
  <c r="N23" i="86"/>
  <c r="O23" i="86" s="1"/>
  <c r="N27" i="86"/>
  <c r="O27" i="86" s="1"/>
  <c r="N31" i="86"/>
  <c r="O31" i="86" s="1"/>
  <c r="N35" i="86"/>
  <c r="O35" i="86" s="1"/>
  <c r="N39" i="86"/>
  <c r="O39" i="86" s="1"/>
  <c r="N43" i="86"/>
  <c r="O43" i="86" s="1"/>
  <c r="N47" i="86"/>
  <c r="O47" i="86" s="1"/>
  <c r="N51" i="86"/>
  <c r="O51" i="86" s="1"/>
  <c r="N55" i="86"/>
  <c r="O55" i="86" s="1"/>
  <c r="N59" i="86"/>
  <c r="O59" i="86" s="1"/>
  <c r="N63" i="86"/>
  <c r="O63" i="86" s="1"/>
  <c r="N67" i="86"/>
  <c r="O67" i="86" s="1"/>
  <c r="N71" i="86"/>
  <c r="O71" i="86" s="1"/>
  <c r="N75" i="86"/>
  <c r="O75" i="86" s="1"/>
  <c r="N79" i="86"/>
  <c r="O79" i="86" s="1"/>
  <c r="N83" i="86"/>
  <c r="O83" i="86" s="1"/>
  <c r="N87" i="86"/>
  <c r="O87" i="86" s="1"/>
  <c r="N91" i="86"/>
  <c r="O91" i="86" s="1"/>
  <c r="N95" i="86"/>
  <c r="O95" i="86" s="1"/>
  <c r="N99" i="86"/>
  <c r="O99" i="86" s="1"/>
  <c r="N103" i="86"/>
  <c r="O103" i="86" s="1"/>
  <c r="N107" i="86"/>
  <c r="O107" i="86" s="1"/>
  <c r="N111" i="86"/>
  <c r="O111" i="86" s="1"/>
  <c r="N115" i="86"/>
  <c r="O115" i="86" s="1"/>
  <c r="N119" i="86"/>
  <c r="O119" i="86" s="1"/>
  <c r="N123" i="86"/>
  <c r="O123" i="86" s="1"/>
  <c r="N127" i="86"/>
  <c r="O127" i="86" s="1"/>
  <c r="N131" i="86"/>
  <c r="O131" i="86" s="1"/>
  <c r="N135" i="86"/>
  <c r="O135" i="86" s="1"/>
  <c r="N139" i="86"/>
  <c r="O139" i="86" s="1"/>
  <c r="N143" i="86"/>
  <c r="O143" i="86" s="1"/>
  <c r="N147" i="86"/>
  <c r="O147" i="86" s="1"/>
  <c r="N151" i="86"/>
  <c r="O151" i="86" s="1"/>
  <c r="N155" i="86"/>
  <c r="O155" i="86" s="1"/>
  <c r="N159" i="86"/>
  <c r="O159" i="86" s="1"/>
  <c r="N163" i="86"/>
  <c r="O163" i="86" s="1"/>
  <c r="N167" i="86"/>
  <c r="O167" i="86" s="1"/>
  <c r="N171" i="86"/>
  <c r="O171" i="86" s="1"/>
  <c r="N175" i="86"/>
  <c r="O175" i="86" s="1"/>
  <c r="N177" i="86"/>
  <c r="O177" i="86" s="1"/>
  <c r="N179" i="86"/>
  <c r="O179" i="86" s="1"/>
  <c r="N181" i="86"/>
  <c r="O181" i="86" s="1"/>
  <c r="N183" i="86"/>
  <c r="O183" i="86" s="1"/>
  <c r="N185" i="86"/>
  <c r="O185" i="86" s="1"/>
  <c r="N187" i="86"/>
  <c r="O187" i="86" s="1"/>
  <c r="N189" i="86"/>
  <c r="O189" i="86" s="1"/>
  <c r="N191" i="86"/>
  <c r="O191" i="86" s="1"/>
  <c r="N193" i="86"/>
  <c r="O193" i="86" s="1"/>
  <c r="N195" i="86"/>
  <c r="O195" i="86" s="1"/>
  <c r="N197" i="86"/>
  <c r="O197" i="86" s="1"/>
  <c r="N199" i="86"/>
  <c r="O199" i="86" s="1"/>
  <c r="N201" i="86"/>
  <c r="O201" i="86" s="1"/>
  <c r="N203" i="86"/>
  <c r="O203" i="86" s="1"/>
  <c r="N205" i="86"/>
  <c r="O205" i="86" s="1"/>
  <c r="N207" i="86"/>
  <c r="O207" i="86" s="1"/>
  <c r="N209" i="86"/>
  <c r="O209" i="86" s="1"/>
  <c r="N211" i="86"/>
  <c r="O211" i="86" s="1"/>
  <c r="N213" i="86"/>
  <c r="O213" i="86" s="1"/>
  <c r="N215" i="86"/>
  <c r="O215" i="86" s="1"/>
  <c r="N217" i="86"/>
  <c r="O217" i="86" s="1"/>
  <c r="N219" i="86"/>
  <c r="O219" i="86" s="1"/>
  <c r="N221" i="86"/>
  <c r="O221" i="86" s="1"/>
  <c r="N223" i="86"/>
  <c r="O223" i="86" s="1"/>
  <c r="N225" i="86"/>
  <c r="O225" i="86" s="1"/>
  <c r="N227" i="86"/>
  <c r="O227" i="86" s="1"/>
  <c r="N5" i="86"/>
  <c r="O5" i="86" s="1"/>
  <c r="N9" i="86"/>
  <c r="O9" i="86" s="1"/>
  <c r="N13" i="86"/>
  <c r="O13" i="86" s="1"/>
  <c r="N17" i="86"/>
  <c r="O17" i="86" s="1"/>
  <c r="N21" i="86"/>
  <c r="O21" i="86" s="1"/>
  <c r="N25" i="86"/>
  <c r="O25" i="86" s="1"/>
  <c r="N29" i="86"/>
  <c r="O29" i="86" s="1"/>
  <c r="N33" i="86"/>
  <c r="O33" i="86" s="1"/>
  <c r="N37" i="86"/>
  <c r="O37" i="86" s="1"/>
  <c r="N41" i="86"/>
  <c r="O41" i="86" s="1"/>
  <c r="N45" i="86"/>
  <c r="O45" i="86" s="1"/>
  <c r="N49" i="86"/>
  <c r="O49" i="86" s="1"/>
  <c r="N53" i="86"/>
  <c r="O53" i="86" s="1"/>
  <c r="N57" i="86"/>
  <c r="O57" i="86" s="1"/>
  <c r="N61" i="86"/>
  <c r="O61" i="86" s="1"/>
  <c r="N65" i="86"/>
  <c r="O65" i="86" s="1"/>
  <c r="N69" i="86"/>
  <c r="O69" i="86" s="1"/>
  <c r="N73" i="86"/>
  <c r="O73" i="86" s="1"/>
  <c r="N77" i="86"/>
  <c r="O77" i="86" s="1"/>
  <c r="N81" i="86"/>
  <c r="O81" i="86" s="1"/>
  <c r="N85" i="86"/>
  <c r="O85" i="86" s="1"/>
  <c r="N89" i="86"/>
  <c r="O89" i="86" s="1"/>
  <c r="N93" i="86"/>
  <c r="O93" i="86" s="1"/>
  <c r="N97" i="86"/>
  <c r="O97" i="86" s="1"/>
  <c r="N101" i="86"/>
  <c r="O101" i="86" s="1"/>
  <c r="N105" i="86"/>
  <c r="O105" i="86" s="1"/>
  <c r="N109" i="86"/>
  <c r="O109" i="86" s="1"/>
  <c r="N113" i="86"/>
  <c r="O113" i="86" s="1"/>
  <c r="N117" i="86"/>
  <c r="O117" i="86" s="1"/>
  <c r="N121" i="86"/>
  <c r="O121" i="86" s="1"/>
  <c r="N125" i="86"/>
  <c r="O125" i="86" s="1"/>
  <c r="N129" i="86"/>
  <c r="O129" i="86" s="1"/>
  <c r="N133" i="86"/>
  <c r="O133" i="86" s="1"/>
  <c r="N137" i="86"/>
  <c r="O137" i="86" s="1"/>
  <c r="N141" i="86"/>
  <c r="O141" i="86" s="1"/>
  <c r="N145" i="86"/>
  <c r="O145" i="86" s="1"/>
  <c r="N149" i="86"/>
  <c r="O149" i="86" s="1"/>
  <c r="N153" i="86"/>
  <c r="O153" i="86" s="1"/>
  <c r="N157" i="86"/>
  <c r="O157" i="86" s="1"/>
  <c r="N161" i="86"/>
  <c r="O161" i="86" s="1"/>
  <c r="N165" i="86"/>
  <c r="O165" i="86" s="1"/>
  <c r="N169" i="86"/>
  <c r="O169" i="86" s="1"/>
  <c r="N173" i="86"/>
  <c r="O173" i="86" s="1"/>
  <c r="N176" i="86"/>
  <c r="O176" i="86" s="1"/>
  <c r="N178" i="86"/>
  <c r="O178" i="86" s="1"/>
  <c r="N180" i="86"/>
  <c r="O180" i="86" s="1"/>
  <c r="N182" i="86"/>
  <c r="O182" i="86" s="1"/>
  <c r="N184" i="86"/>
  <c r="O184" i="86" s="1"/>
  <c r="N186" i="86"/>
  <c r="O186" i="86" s="1"/>
  <c r="N188" i="86"/>
  <c r="O188" i="86" s="1"/>
  <c r="N190" i="86"/>
  <c r="O190" i="86" s="1"/>
  <c r="N192" i="86"/>
  <c r="O192" i="86" s="1"/>
  <c r="N194" i="86"/>
  <c r="O194" i="86" s="1"/>
  <c r="N196" i="86"/>
  <c r="O196" i="86" s="1"/>
  <c r="N198" i="86"/>
  <c r="O198" i="86" s="1"/>
  <c r="N200" i="86"/>
  <c r="O200" i="86" s="1"/>
  <c r="N204" i="86"/>
  <c r="O204" i="86" s="1"/>
  <c r="N206" i="86"/>
  <c r="O206" i="86" s="1"/>
  <c r="N208" i="86"/>
  <c r="O208" i="86" s="1"/>
  <c r="N210" i="86"/>
  <c r="O210" i="86" s="1"/>
  <c r="N212" i="86"/>
  <c r="O212" i="86" s="1"/>
  <c r="N214" i="86"/>
  <c r="O214" i="86" s="1"/>
  <c r="N216" i="86"/>
  <c r="O216" i="86" s="1"/>
  <c r="N218" i="86"/>
  <c r="O218" i="86" s="1"/>
  <c r="N220" i="86"/>
  <c r="O220" i="86" s="1"/>
  <c r="N222" i="86"/>
  <c r="O222" i="86" s="1"/>
  <c r="N224" i="86"/>
  <c r="O224" i="86" s="1"/>
  <c r="N226" i="86"/>
  <c r="O226" i="86" s="1"/>
  <c r="N228" i="86"/>
  <c r="O228" i="86" s="1"/>
  <c r="N4" i="87"/>
  <c r="O4" i="87" s="1"/>
  <c r="N6" i="87"/>
  <c r="O6" i="87" s="1"/>
  <c r="N8" i="87"/>
  <c r="O8" i="87" s="1"/>
  <c r="N10" i="87"/>
  <c r="O10" i="87" s="1"/>
  <c r="N12" i="87"/>
  <c r="O12" i="87" s="1"/>
  <c r="N14" i="87"/>
  <c r="O14" i="87" s="1"/>
  <c r="N16" i="87"/>
  <c r="O16" i="87" s="1"/>
  <c r="N18" i="87"/>
  <c r="O18" i="87" s="1"/>
  <c r="N20" i="87"/>
  <c r="O20" i="87" s="1"/>
  <c r="N22" i="87"/>
  <c r="O22" i="87" s="1"/>
  <c r="N24" i="87"/>
  <c r="O24" i="87" s="1"/>
  <c r="N26" i="87"/>
  <c r="O26" i="87" s="1"/>
  <c r="N28" i="87"/>
  <c r="O28" i="87" s="1"/>
  <c r="N30" i="87"/>
  <c r="O30" i="87" s="1"/>
  <c r="N32" i="87"/>
  <c r="O32" i="87" s="1"/>
  <c r="N34" i="87"/>
  <c r="O34" i="87" s="1"/>
  <c r="N36" i="87"/>
  <c r="O36" i="87" s="1"/>
  <c r="N38" i="87"/>
  <c r="O38" i="87" s="1"/>
  <c r="N40" i="87"/>
  <c r="O40" i="87" s="1"/>
  <c r="N42" i="87"/>
  <c r="O42" i="87" s="1"/>
  <c r="N44" i="87"/>
  <c r="O44" i="87" s="1"/>
  <c r="N46" i="87"/>
  <c r="O46" i="87" s="1"/>
  <c r="N48" i="87"/>
  <c r="O48" i="87" s="1"/>
  <c r="N50" i="87"/>
  <c r="O50" i="87" s="1"/>
  <c r="N52" i="87"/>
  <c r="O52" i="87" s="1"/>
  <c r="N54" i="87"/>
  <c r="O54" i="87" s="1"/>
  <c r="N56" i="87"/>
  <c r="O56" i="87" s="1"/>
  <c r="N58" i="87"/>
  <c r="O58" i="87" s="1"/>
  <c r="N60" i="87"/>
  <c r="O60" i="87" s="1"/>
  <c r="N62" i="87"/>
  <c r="O62" i="87" s="1"/>
  <c r="N64" i="87"/>
  <c r="O64" i="87" s="1"/>
  <c r="N66" i="87"/>
  <c r="O66" i="87" s="1"/>
  <c r="N68" i="87"/>
  <c r="O68" i="87" s="1"/>
  <c r="N70" i="87"/>
  <c r="O70" i="87" s="1"/>
  <c r="N72" i="87"/>
  <c r="O72" i="87" s="1"/>
  <c r="N74" i="87"/>
  <c r="O74" i="87" s="1"/>
  <c r="N76" i="87"/>
  <c r="O76" i="87" s="1"/>
  <c r="N78" i="87"/>
  <c r="O78" i="87" s="1"/>
  <c r="N80" i="87"/>
  <c r="O80" i="87" s="1"/>
  <c r="N82" i="87"/>
  <c r="O82" i="87" s="1"/>
  <c r="N84" i="87"/>
  <c r="O84" i="87" s="1"/>
  <c r="N86" i="87"/>
  <c r="O86" i="87" s="1"/>
  <c r="N88" i="87"/>
  <c r="O88" i="87" s="1"/>
  <c r="N90" i="87"/>
  <c r="O90" i="87" s="1"/>
  <c r="N92" i="87"/>
  <c r="O92" i="87" s="1"/>
  <c r="N94" i="87"/>
  <c r="O94" i="87" s="1"/>
  <c r="N96" i="87"/>
  <c r="O96" i="87" s="1"/>
  <c r="N98" i="87"/>
  <c r="O98" i="87" s="1"/>
  <c r="N100" i="87"/>
  <c r="O100" i="87" s="1"/>
  <c r="N102" i="87"/>
  <c r="O102" i="87" s="1"/>
  <c r="N104" i="87"/>
  <c r="O104" i="87" s="1"/>
  <c r="N106" i="87"/>
  <c r="O106" i="87" s="1"/>
  <c r="N108" i="87"/>
  <c r="O108" i="87" s="1"/>
  <c r="N110" i="87"/>
  <c r="O110" i="87" s="1"/>
  <c r="N112" i="87"/>
  <c r="O112" i="87" s="1"/>
  <c r="N114" i="87"/>
  <c r="O114" i="87" s="1"/>
  <c r="N116" i="87"/>
  <c r="O116" i="87" s="1"/>
  <c r="N118" i="87"/>
  <c r="O118" i="87" s="1"/>
  <c r="N120" i="87"/>
  <c r="O120" i="87" s="1"/>
  <c r="N122" i="87"/>
  <c r="O122" i="87" s="1"/>
  <c r="N5" i="87"/>
  <c r="O5" i="87" s="1"/>
  <c r="N7" i="87"/>
  <c r="O7" i="87" s="1"/>
  <c r="N9" i="87"/>
  <c r="O9" i="87" s="1"/>
  <c r="N11" i="87"/>
  <c r="O11" i="87" s="1"/>
  <c r="N13" i="87"/>
  <c r="O13" i="87" s="1"/>
  <c r="N15" i="87"/>
  <c r="O15" i="87" s="1"/>
  <c r="N17" i="87"/>
  <c r="O17" i="87" s="1"/>
  <c r="N19" i="87"/>
  <c r="O19" i="87" s="1"/>
  <c r="N21" i="87"/>
  <c r="O21" i="87" s="1"/>
  <c r="N23" i="87"/>
  <c r="O23" i="87" s="1"/>
  <c r="N25" i="87"/>
  <c r="O25" i="87" s="1"/>
  <c r="N27" i="87"/>
  <c r="O27" i="87" s="1"/>
  <c r="N29" i="87"/>
  <c r="O29" i="87" s="1"/>
  <c r="N31" i="87"/>
  <c r="O31" i="87" s="1"/>
  <c r="N33" i="87"/>
  <c r="O33" i="87" s="1"/>
  <c r="N35" i="87"/>
  <c r="O35" i="87" s="1"/>
  <c r="N37" i="87"/>
  <c r="O37" i="87" s="1"/>
  <c r="N39" i="87"/>
  <c r="O39" i="87" s="1"/>
  <c r="N41" i="87"/>
  <c r="O41" i="87" s="1"/>
  <c r="N43" i="87"/>
  <c r="O43" i="87" s="1"/>
  <c r="N45" i="87"/>
  <c r="O45" i="87" s="1"/>
  <c r="N47" i="87"/>
  <c r="O47" i="87" s="1"/>
  <c r="N49" i="87"/>
  <c r="O49" i="87" s="1"/>
  <c r="N51" i="87"/>
  <c r="O51" i="87" s="1"/>
  <c r="N53" i="87"/>
  <c r="O53" i="87" s="1"/>
  <c r="N55" i="87"/>
  <c r="O55" i="87" s="1"/>
  <c r="N59" i="87"/>
  <c r="O59" i="87" s="1"/>
  <c r="N63" i="87"/>
  <c r="O63" i="87" s="1"/>
  <c r="N67" i="87"/>
  <c r="O67" i="87" s="1"/>
  <c r="N71" i="87"/>
  <c r="O71" i="87" s="1"/>
  <c r="N75" i="87"/>
  <c r="O75" i="87" s="1"/>
  <c r="N79" i="87"/>
  <c r="O79" i="87" s="1"/>
  <c r="N83" i="87"/>
  <c r="O83" i="87" s="1"/>
  <c r="N87" i="87"/>
  <c r="O87" i="87" s="1"/>
  <c r="N91" i="87"/>
  <c r="O91" i="87" s="1"/>
  <c r="N95" i="87"/>
  <c r="O95" i="87" s="1"/>
  <c r="N99" i="87"/>
  <c r="O99" i="87" s="1"/>
  <c r="N103" i="87"/>
  <c r="O103" i="87" s="1"/>
  <c r="N107" i="87"/>
  <c r="O107" i="87" s="1"/>
  <c r="N111" i="87"/>
  <c r="O111" i="87" s="1"/>
  <c r="N115" i="87"/>
  <c r="O115" i="87" s="1"/>
  <c r="N119" i="87"/>
  <c r="O119" i="87" s="1"/>
  <c r="N57" i="87"/>
  <c r="O57" i="87" s="1"/>
  <c r="N61" i="87"/>
  <c r="O61" i="87" s="1"/>
  <c r="N65" i="87"/>
  <c r="O65" i="87" s="1"/>
  <c r="N69" i="87"/>
  <c r="O69" i="87" s="1"/>
  <c r="N73" i="87"/>
  <c r="O73" i="87" s="1"/>
  <c r="N77" i="87"/>
  <c r="O77" i="87" s="1"/>
  <c r="N81" i="87"/>
  <c r="O81" i="87" s="1"/>
  <c r="N85" i="87"/>
  <c r="O85" i="87" s="1"/>
  <c r="N89" i="87"/>
  <c r="O89" i="87" s="1"/>
  <c r="N93" i="87"/>
  <c r="O93" i="87" s="1"/>
  <c r="N97" i="87"/>
  <c r="O97" i="87" s="1"/>
  <c r="N101" i="87"/>
  <c r="O101" i="87" s="1"/>
  <c r="N105" i="87"/>
  <c r="O105" i="87" s="1"/>
  <c r="N109" i="87"/>
  <c r="O109" i="87" s="1"/>
  <c r="N113" i="87"/>
  <c r="O113" i="87" s="1"/>
  <c r="N117" i="87"/>
  <c r="O117" i="87" s="1"/>
  <c r="N121" i="87"/>
  <c r="O121" i="87" s="1"/>
  <c r="D119" i="9"/>
  <c r="D5" i="52" s="1"/>
  <c r="B49" i="72" s="1"/>
  <c r="E14" i="74"/>
  <c r="F14" i="74"/>
  <c r="C105" i="9"/>
  <c r="I4" i="52"/>
  <c r="H102" i="9"/>
  <c r="D7" i="53" s="1"/>
  <c r="B21" i="72" s="1"/>
  <c r="E118" i="9"/>
  <c r="E4" i="52" s="1"/>
  <c r="B48" i="72" s="1"/>
  <c r="D5" i="53"/>
  <c r="M48" i="9"/>
  <c r="H107" i="9"/>
  <c r="D45" i="9"/>
  <c r="O123" i="87" l="1"/>
  <c r="F236" i="86" s="1"/>
  <c r="O229" i="86"/>
  <c r="F234" i="86" s="1"/>
  <c r="N123" i="87"/>
  <c r="N229" i="86"/>
  <c r="D55" i="9"/>
  <c r="M53" i="9" s="1"/>
  <c r="C64" i="9"/>
  <c r="C63" i="9" s="1"/>
  <c r="C67" i="9" s="1"/>
  <c r="C68" i="9" s="1"/>
  <c r="D54" i="9" s="1"/>
  <c r="C93" i="9"/>
  <c r="C86" i="9" s="1"/>
  <c r="D53" i="9"/>
  <c r="D52" i="9"/>
  <c r="C72" i="9"/>
  <c r="C78" i="9"/>
  <c r="C73" i="9" s="1"/>
  <c r="C85" i="9"/>
  <c r="M49" i="9"/>
  <c r="D13" i="53"/>
  <c r="D122" i="9"/>
  <c r="H108" i="9"/>
  <c r="D15" i="53" s="1"/>
  <c r="B31" i="72" s="1"/>
  <c r="B20" i="72"/>
  <c r="D6" i="53"/>
  <c r="B22" i="72" s="1"/>
  <c r="H234" i="86" l="1"/>
  <c r="F237" i="86"/>
  <c r="J10" i="85"/>
  <c r="E236" i="86"/>
  <c r="J8" i="85"/>
  <c r="E234" i="86"/>
  <c r="E237" i="86" s="1"/>
  <c r="L68" i="9"/>
  <c r="M68" i="9" s="1"/>
  <c r="L63" i="9"/>
  <c r="M63" i="9" s="1"/>
  <c r="L64" i="9"/>
  <c r="M64" i="9" s="1"/>
  <c r="L66" i="9"/>
  <c r="M66" i="9" s="1"/>
  <c r="L65" i="9"/>
  <c r="M65" i="9" s="1"/>
  <c r="L67" i="9"/>
  <c r="M67" i="9" s="1"/>
  <c r="B30" i="72"/>
  <c r="D14" i="53"/>
  <c r="B32" i="72" s="1"/>
  <c r="C95" i="9"/>
  <c r="C79" i="9"/>
  <c r="G14" i="74"/>
  <c r="D123" i="9"/>
  <c r="D9" i="52" s="1"/>
  <c r="D8" i="52"/>
  <c r="J11" i="85" l="1"/>
  <c r="M69" i="9"/>
  <c r="N69" i="9" s="1"/>
  <c r="C96" i="9"/>
  <c r="E96" i="9" s="1"/>
  <c r="E97" i="9" s="1"/>
  <c r="C80" i="9"/>
  <c r="E80" i="9" s="1"/>
  <c r="E81" i="9" s="1"/>
  <c r="C81" i="9" l="1"/>
  <c r="C97" i="9"/>
  <c r="D58" i="9" s="1"/>
  <c r="D56" i="9" s="1"/>
  <c r="M54" i="9" s="1"/>
  <c r="N57" i="9" s="1"/>
  <c r="N58" i="9" s="1"/>
  <c r="P57" i="9" l="1"/>
  <c r="N59" i="9"/>
  <c r="N60" i="9" s="1"/>
  <c r="N61" i="9" l="1"/>
  <c r="F15" i="74" l="1"/>
  <c r="E15" i="74"/>
  <c r="B5" i="74"/>
  <c r="D5" i="74" l="1"/>
  <c r="C5" i="74"/>
  <c r="B6" i="74"/>
  <c r="C6" i="74" l="1"/>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<sst xmlns="http://schemas.openxmlformats.org/spreadsheetml/2006/main" count="10936" uniqueCount="4504">
  <si>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</si>
  <si>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</si>
  <si>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</si>
  <si>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</si>
  <si>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</si>
  <si>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</si>
  <si>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</si>
  <si>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</si>
  <si>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</si>
  <si>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</si>
  <si>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</si>
  <si>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</si>
  <si>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</si>
  <si>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</si>
  <si>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</si>
  <si>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</si>
  <si>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</si>
  <si>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</si>
  <si>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</si>
  <si>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</si>
  <si>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</si>
  <si>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</si>
  <si>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</si>
  <si>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</si>
  <si>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</si>
  <si>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</si>
  <si>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</si>
  <si>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</si>
  <si>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</si>
  <si>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</si>
  <si>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</si>
  <si>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</si>
  <si>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</si>
  <si>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</si>
  <si>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</si>
  <si>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</si>
  <si>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</si>
  <si>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</si>
  <si>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</si>
  <si>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</si>
  <si>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</si>
  <si>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</si>
  <si>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</si>
  <si>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</si>
  <si>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</si>
  <si>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</si>
  <si>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</si>
  <si>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</si>
  <si>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</si>
  <si>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</si>
  <si>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</si>
  <si>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</si>
  <si>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</si>
  <si>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</si>
  <si>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</si>
  <si>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</si>
  <si>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</si>
  <si>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</si>
  <si>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</si>
  <si>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</si>
  <si>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</si>
  <si>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</si>
  <si>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</si>
  <si>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</si>
  <si>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</si>
  <si>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</si>
  <si>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</si>
  <si>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</si>
  <si>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</si>
  <si>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</si>
  <si>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</si>
  <si>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</si>
  <si>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</si>
  <si>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</si>
  <si>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</si>
  <si>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</si>
  <si>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</si>
  <si>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</si>
  <si>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</si>
  <si>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</si>
  <si>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</si>
  <si>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</si>
  <si>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</si>
  <si>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</si>
  <si>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</si>
  <si>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</si>
  <si>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</si>
  <si>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</si>
  <si>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</si>
  <si>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</si>
  <si>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</si>
  <si>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</si>
  <si>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</si>
  <si>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</si>
  <si>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</si>
  <si>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</si>
  <si>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</si>
  <si>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</si>
  <si>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</si>
  <si>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</si>
  <si>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</si>
  <si>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</si>
  <si>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</si>
  <si>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</si>
  <si>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</si>
  <si>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</si>
  <si>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</si>
  <si>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</si>
  <si>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</si>
  <si>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</si>
  <si>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</si>
  <si>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</si>
  <si>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</si>
  <si>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</si>
  <si>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</si>
  <si>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</si>
  <si>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</si>
  <si>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</si>
  <si>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</si>
  <si>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</si>
  <si>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</si>
  <si>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</si>
  <si>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</si>
  <si>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</si>
  <si>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</si>
  <si>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</si>
  <si>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</si>
  <si>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</si>
  <si>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</si>
  <si>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</si>
  <si>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</si>
  <si>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</si>
  <si>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</si>
  <si>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</si>
  <si>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</si>
  <si>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</si>
  <si>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</si>
  <si>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</si>
  <si>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</si>
  <si>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</si>
  <si>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</si>
  <si>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</si>
  <si>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</si>
  <si>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</si>
  <si>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</si>
  <si>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</si>
  <si>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</si>
  <si>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</si>
  <si>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</si>
  <si>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</si>
  <si>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</si>
  <si>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</si>
  <si>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</si>
  <si>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</si>
  <si>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</si>
  <si>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</si>
  <si>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</si>
  <si>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</si>
  <si>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</si>
  <si>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</si>
  <si>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</si>
  <si>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</si>
  <si>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</si>
  <si>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</si>
  <si>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</si>
  <si>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</si>
  <si>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</si>
  <si>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</si>
  <si>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</si>
  <si>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</si>
  <si>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</si>
  <si>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</si>
  <si>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</si>
  <si>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</si>
  <si>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</si>
  <si>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</si>
  <si>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</si>
  <si>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</si>
  <si>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</si>
  <si>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</si>
  <si>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</si>
  <si>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</si>
  <si>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</si>
  <si>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</si>
  <si>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</si>
  <si>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</si>
  <si>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</si>
  <si>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</si>
  <si>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</si>
  <si>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</si>
  <si>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</si>
  <si>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</si>
  <si>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</si>
  <si>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</si>
  <si>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</si>
  <si>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</si>
  <si>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</si>
  <si>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</si>
  <si>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</si>
  <si>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</si>
  <si>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</si>
  <si>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</si>
  <si>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</si>
  <si>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</si>
  <si>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</si>
  <si>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</si>
  <si>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</si>
  <si>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</si>
  <si>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</si>
  <si>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</si>
  <si>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</si>
  <si>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</si>
  <si>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</si>
  <si>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</si>
  <si>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</si>
  <si>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</si>
  <si>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</si>
  <si>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</si>
  <si>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</si>
  <si>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</si>
  <si>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</si>
  <si>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</si>
  <si>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</si>
  <si>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</si>
  <si>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</si>
  <si>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</si>
  <si>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</si>
  <si>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</si>
  <si>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</si>
  <si>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</si>
  <si>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</si>
  <si>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</si>
  <si>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</si>
  <si>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</si>
  <si>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</si>
  <si>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</si>
  <si>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</si>
  <si>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</si>
  <si>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</si>
  <si>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</si>
  <si>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</si>
  <si>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</si>
  <si>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</si>
  <si>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</si>
  <si>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</si>
  <si>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</si>
  <si>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</si>
  <si>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</si>
  <si>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</si>
  <si>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</si>
  <si>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</si>
  <si>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</si>
  <si>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</si>
  <si>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</si>
  <si>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</si>
  <si>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</si>
  <si>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</si>
  <si>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</si>
  <si>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</si>
  <si>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</si>
  <si>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</si>
  <si>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</si>
  <si>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</si>
  <si>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</si>
  <si>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</si>
  <si>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</si>
  <si>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</si>
  <si>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</si>
  <si>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</si>
  <si>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</si>
  <si>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</si>
  <si>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</si>
  <si>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</si>
  <si>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</si>
  <si>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</si>
  <si>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</si>
  <si>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</si>
  <si>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</si>
  <si>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</si>
  <si>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</si>
  <si>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</si>
  <si>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</si>
  <si>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</si>
  <si>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</si>
  <si>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</si>
  <si>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</si>
  <si>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</si>
  <si>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</si>
  <si>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</si>
  <si>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</si>
  <si>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</si>
  <si>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</si>
  <si>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</si>
  <si>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</si>
  <si>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</si>
  <si>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</si>
  <si>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</si>
  <si>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</si>
  <si>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</si>
  <si>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</si>
  <si>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</si>
  <si>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</si>
  <si>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</si>
  <si>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</si>
  <si>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</si>
  <si>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</si>
  <si>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</si>
  <si>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</si>
  <si>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</si>
  <si>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</si>
  <si>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</si>
  <si>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</si>
  <si>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</si>
  <si>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</si>
  <si>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</si>
  <si>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</si>
  <si>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</si>
  <si>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</si>
  <si>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</si>
  <si>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</si>
  <si>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</si>
  <si>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</si>
  <si>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</si>
  <si>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</si>
  <si>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</si>
  <si>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</si>
  <si>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</si>
  <si>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</si>
  <si>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</si>
  <si>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</si>
  <si>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</si>
  <si>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</si>
  <si>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</si>
  <si>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</si>
  <si>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</si>
  <si>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</si>
  <si>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</si>
  <si>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</si>
  <si>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</si>
  <si>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</si>
  <si>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</si>
  <si>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</si>
  <si>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</si>
  <si>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</si>
  <si>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</si>
  <si>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</si>
  <si>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</si>
  <si>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</si>
  <si>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</si>
  <si>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</si>
  <si>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</si>
  <si>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</si>
  <si>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</si>
  <si>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</si>
  <si>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</si>
  <si>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</si>
  <si>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</si>
  <si>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</si>
  <si>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</si>
  <si>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</si>
  <si>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</si>
  <si>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</si>
  <si>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</si>
  <si>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</si>
  <si>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</si>
  <si>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</si>
  <si>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</si>
  <si>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</si>
  <si>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</si>
  <si>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</si>
  <si>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</si>
  <si>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</si>
  <si>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</si>
  <si>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</si>
  <si>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</si>
  <si>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</si>
  <si>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</si>
  <si>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</si>
  <si>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</si>
  <si>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</si>
  <si>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</si>
  <si>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</si>
  <si>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</si>
  <si>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</si>
  <si>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</si>
  <si>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</si>
  <si>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</si>
  <si>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</si>
  <si>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</si>
  <si>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</si>
  <si>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</si>
  <si>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</si>
  <si>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</si>
  <si>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</si>
  <si>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</si>
  <si>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</si>
  <si>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</si>
  <si>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</si>
  <si>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</si>
  <si>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</si>
  <si>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</si>
  <si>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</si>
  <si>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</si>
  <si>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</si>
  <si>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</si>
  <si>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</si>
  <si>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</si>
  <si>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</si>
  <si>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</si>
  <si>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</si>
  <si>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</si>
  <si>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</si>
  <si>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</si>
  <si>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</si>
  <si>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</si>
  <si>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</si>
  <si>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</si>
  <si>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</si>
  <si>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</si>
  <si>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</si>
  <si>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</si>
  <si>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</si>
  <si>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</si>
  <si>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</si>
  <si>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</si>
  <si>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</si>
  <si>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</si>
  <si>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</si>
  <si>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</si>
  <si>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</si>
  <si>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</si>
  <si>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</si>
  <si>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</si>
  <si>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</si>
  <si>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</si>
  <si>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</si>
  <si>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</si>
  <si>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</si>
  <si>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</si>
  <si>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</si>
  <si>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</si>
  <si>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</si>
  <si>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</si>
  <si>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</si>
  <si>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</si>
  <si>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</si>
  <si>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</si>
  <si>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</si>
  <si>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</si>
  <si>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</si>
  <si>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</si>
  <si>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</si>
  <si>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</si>
  <si>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</si>
  <si>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</si>
  <si>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</si>
  <si>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</si>
  <si>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</si>
  <si>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</si>
  <si>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</si>
  <si>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</si>
  <si>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</si>
  <si>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</si>
  <si>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</si>
  <si>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</si>
  <si>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</si>
  <si>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</si>
  <si>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</si>
  <si>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</si>
  <si>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</si>
  <si>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</si>
  <si>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</si>
  <si>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</si>
  <si>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</si>
  <si>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</si>
  <si>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</si>
  <si>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</si>
  <si>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</si>
  <si>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</si>
  <si>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</si>
  <si>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</si>
  <si>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</si>
  <si>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</si>
  <si>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</si>
  <si>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</si>
  <si>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</si>
  <si>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</si>
  <si>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</si>
  <si>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</si>
  <si>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</si>
  <si>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</si>
  <si>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</si>
  <si>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</si>
  <si>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</si>
  <si>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</si>
  <si>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</si>
  <si>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</si>
  <si>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</si>
  <si>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</si>
  <si>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</si>
  <si>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</si>
  <si>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</si>
  <si>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</si>
  <si>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</si>
  <si>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</si>
  <si>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</si>
  <si>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</si>
  <si>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</si>
  <si>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</si>
  <si>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</si>
  <si>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</si>
  <si>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</si>
  <si>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</si>
  <si>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</si>
  <si>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</si>
  <si>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</si>
  <si>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</si>
  <si>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</si>
  <si>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</si>
  <si>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</si>
  <si>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</si>
  <si>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</si>
  <si>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</si>
  <si>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</si>
  <si>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</si>
  <si>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</si>
  <si>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</si>
  <si>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</si>
  <si>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</si>
  <si>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</si>
  <si>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</si>
  <si>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</si>
  <si>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</si>
  <si>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</si>
  <si>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</si>
  <si>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</si>
  <si>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</si>
  <si>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</si>
  <si>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</si>
  <si>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</si>
  <si>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</si>
  <si>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</si>
  <si>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</si>
  <si>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</si>
  <si>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</si>
  <si>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</si>
  <si>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</si>
  <si>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</si>
  <si>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</si>
  <si>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</si>
  <si>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</si>
  <si>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</si>
  <si>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</si>
  <si>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</si>
  <si>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</si>
  <si>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</si>
  <si>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</si>
  <si>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</si>
  <si>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</si>
  <si>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</si>
  <si>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</si>
  <si>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</si>
  <si>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</si>
  <si>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</si>
  <si>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</si>
  <si>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</si>
  <si>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</si>
  <si>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</si>
  <si>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</si>
  <si>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</si>
  <si>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</si>
  <si>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</si>
  <si>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</si>
  <si>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</si>
  <si>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</si>
  <si>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</si>
  <si>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</si>
  <si>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</si>
  <si>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</si>
  <si>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</si>
  <si>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</si>
  <si>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</si>
  <si>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</si>
  <si>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</si>
  <si>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</si>
  <si>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</si>
  <si>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</si>
  <si>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</si>
  <si>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</si>
  <si>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</si>
  <si>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</si>
  <si>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</si>
  <si>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</si>
  <si>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</si>
  <si>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</si>
  <si>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</si>
  <si>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</si>
  <si>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</si>
  <si>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</si>
  <si>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</si>
  <si>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</si>
  <si>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</si>
  <si>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</si>
  <si>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</si>
  <si>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</si>
  <si>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</si>
  <si>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</si>
  <si>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</si>
  <si>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</si>
  <si>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</si>
  <si>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</si>
  <si>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</si>
  <si>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</si>
  <si>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</si>
  <si>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</si>
  <si>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</si>
  <si>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</si>
  <si>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</si>
  <si>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</si>
  <si>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</si>
  <si>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</si>
  <si>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</si>
  <si>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</si>
  <si>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</si>
  <si>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</si>
  <si>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</si>
  <si>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</si>
  <si>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</si>
  <si>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</si>
  <si>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</si>
  <si>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</si>
  <si>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</si>
  <si>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</si>
  <si>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</si>
  <si>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</si>
  <si>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</si>
  <si>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</si>
  <si>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</si>
  <si>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</si>
  <si>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</si>
  <si>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</si>
  <si>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</si>
  <si>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</si>
  <si>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</si>
  <si>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</si>
  <si>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</si>
  <si>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</si>
  <si>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</si>
  <si>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</si>
  <si>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</si>
  <si>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</si>
  <si>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</si>
  <si>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</si>
  <si>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</si>
  <si>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</si>
  <si>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</si>
  <si>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</si>
  <si>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</si>
  <si>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</si>
  <si>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</si>
  <si>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</si>
  <si>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</si>
  <si>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</si>
  <si>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</si>
  <si>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</si>
  <si>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</si>
  <si>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</si>
  <si>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</si>
  <si>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</si>
  <si>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</si>
  <si>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</si>
  <si>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</si>
  <si>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</si>
  <si>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</si>
  <si>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</si>
  <si>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</si>
  <si>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</si>
  <si>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</si>
  <si>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</si>
  <si>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</si>
  <si>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</si>
  <si>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</si>
  <si>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</si>
  <si>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</si>
  <si>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</si>
  <si>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</si>
  <si>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</si>
  <si>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</si>
  <si>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</si>
  <si>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</si>
  <si>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</si>
  <si>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</si>
  <si>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</si>
  <si>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</si>
  <si>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</si>
  <si>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</si>
  <si>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</si>
  <si>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</si>
  <si>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</si>
  <si>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</si>
  <si>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</si>
  <si>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</si>
  <si>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</si>
  <si>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</si>
  <si>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</si>
  <si>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</si>
  <si>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</si>
  <si>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</si>
  <si>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</si>
  <si>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</si>
  <si>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</si>
  <si>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</si>
  <si>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</si>
  <si>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</si>
  <si>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</si>
  <si>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</si>
  <si>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</si>
  <si>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</si>
  <si>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</si>
  <si>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</si>
  <si>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</si>
  <si>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</si>
  <si>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</si>
  <si>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</si>
  <si>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</si>
  <si>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</si>
  <si>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</si>
  <si>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</si>
  <si>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</si>
  <si>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</si>
  <si>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</si>
  <si>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</si>
  <si>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</si>
  <si>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</si>
  <si>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</si>
  <si>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</si>
  <si>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</si>
  <si>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</si>
  <si>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</si>
  <si>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</si>
  <si>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</si>
  <si>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</si>
  <si>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</si>
  <si>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</si>
  <si>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</si>
  <si>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</si>
  <si>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</si>
  <si>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</si>
  <si>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</si>
  <si>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</si>
  <si>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</si>
  <si>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</si>
  <si>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</si>
  <si>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</si>
  <si>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</si>
  <si>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</si>
  <si>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</si>
  <si>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</si>
  <si>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</si>
  <si>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</si>
  <si>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</si>
  <si>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</si>
  <si>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</si>
  <si>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</si>
  <si>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</si>
  <si>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</si>
  <si>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</si>
  <si>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</si>
  <si>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</si>
  <si>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</si>
  <si>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</si>
  <si>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</si>
  <si>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</si>
  <si>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</si>
  <si>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</si>
  <si>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</si>
  <si>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</si>
  <si>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</si>
  <si>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</si>
  <si>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</si>
  <si>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</si>
  <si>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</si>
  <si>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</si>
  <si>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</si>
  <si>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</si>
  <si>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</si>
  <si>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</si>
  <si>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</si>
  <si>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</si>
  <si>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</si>
  <si>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</si>
  <si>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</si>
  <si>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</si>
  <si>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</si>
  <si>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</si>
  <si>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</si>
  <si>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</si>
  <si>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</si>
  <si>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</si>
  <si>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</si>
  <si>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</si>
  <si>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</si>
  <si>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</si>
  <si>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</si>
  <si>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</si>
  <si>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</si>
  <si>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</si>
  <si>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</si>
  <si>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</si>
  <si>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</si>
  <si>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</si>
  <si>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</si>
  <si>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</si>
  <si>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</si>
  <si>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</si>
  <si>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</si>
  <si>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</si>
  <si>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</si>
  <si>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</si>
  <si>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</si>
  <si>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</si>
  <si>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</si>
  <si>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</si>
  <si>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</si>
  <si>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</si>
  <si>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</si>
  <si>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</si>
  <si>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</si>
  <si>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</si>
  <si>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</si>
  <si>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</si>
  <si>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</si>
  <si>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</si>
  <si>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</si>
  <si>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</si>
  <si>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</si>
  <si>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</si>
  <si>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</si>
  <si>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</si>
  <si>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</si>
  <si>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</si>
  <si>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</si>
  <si>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</si>
  <si>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</si>
  <si>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</si>
  <si>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</si>
  <si>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</si>
  <si>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</si>
  <si>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</si>
  <si>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</si>
  <si>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</si>
  <si>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</si>
  <si>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</si>
  <si>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</si>
  <si>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</si>
  <si>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</si>
  <si>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</si>
  <si>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</si>
  <si>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</si>
  <si>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</si>
  <si>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</si>
  <si>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</si>
  <si>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</si>
  <si>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</si>
  <si>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</si>
  <si>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</si>
  <si>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</si>
  <si>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</si>
  <si>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</si>
  <si>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</si>
  <si>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</si>
  <si>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</si>
  <si>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</si>
  <si>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</si>
  <si>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</si>
  <si>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</si>
  <si>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</si>
  <si>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</si>
  <si>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</si>
  <si>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</si>
  <si>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</si>
  <si>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</si>
  <si>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</si>
  <si>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</si>
  <si>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</si>
  <si>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</si>
  <si>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</si>
  <si>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</si>
  <si>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</si>
  <si>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</si>
  <si>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</si>
  <si>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</si>
  <si>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</si>
  <si>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</si>
  <si>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</si>
  <si>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</si>
  <si>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</si>
  <si>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</si>
  <si>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</si>
  <si>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</si>
  <si>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</si>
  <si>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</si>
  <si>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</si>
  <si>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</si>
  <si>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</si>
  <si>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</si>
  <si>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</si>
  <si>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</si>
  <si>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</si>
  <si>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</si>
  <si>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</si>
  <si>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</si>
  <si>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</si>
  <si>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</si>
  <si>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</si>
  <si>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</si>
  <si>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</si>
  <si>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</si>
  <si>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</si>
  <si>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</si>
  <si>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</si>
  <si>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</si>
  <si>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</si>
  <si>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</si>
  <si>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</si>
  <si>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</si>
  <si>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</si>
  <si>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</si>
  <si>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</si>
  <si>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</si>
  <si>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</si>
  <si>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</si>
  <si>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</si>
  <si>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</si>
  <si>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</si>
  <si>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</si>
  <si>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</si>
  <si>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</si>
  <si>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</si>
  <si>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</si>
  <si>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</si>
  <si>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</si>
  <si>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</si>
  <si>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</si>
  <si>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</si>
  <si>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</si>
  <si>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</si>
  <si>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</si>
  <si>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</si>
  <si>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</si>
  <si>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</si>
  <si>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</si>
  <si>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</si>
  <si>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</si>
  <si>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</si>
  <si>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</si>
  <si>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</si>
  <si>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</si>
  <si>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</si>
  <si>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</si>
  <si>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</si>
  <si>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</si>
  <si>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</si>
  <si>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</si>
  <si>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</si>
  <si>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</si>
  <si>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</si>
  <si>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</si>
  <si>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</si>
  <si>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</si>
  <si>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</si>
  <si>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</si>
  <si>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</si>
  <si>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</si>
  <si>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</si>
  <si>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</si>
  <si>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</si>
  <si>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</si>
  <si>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</si>
  <si>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</si>
  <si>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</si>
  <si>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</si>
  <si>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</si>
  <si>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</si>
  <si>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</si>
  <si>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</si>
  <si>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</si>
  <si>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</si>
  <si>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</si>
  <si>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</si>
  <si>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</si>
  <si>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</si>
  <si>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</si>
  <si>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</si>
  <si>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</si>
  <si>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</si>
  <si>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</si>
  <si>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</si>
  <si>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</si>
  <si>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</si>
  <si>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</si>
  <si>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</si>
  <si>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</si>
  <si>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</si>
  <si>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</si>
  <si>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</si>
  <si>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</si>
  <si>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</si>
  <si>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</si>
  <si>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</si>
  <si>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</si>
  <si>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</si>
  <si>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</si>
  <si>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</si>
  <si>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</si>
  <si>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</si>
  <si>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</si>
  <si>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</si>
  <si>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</si>
  <si>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</si>
  <si>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</si>
  <si>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</si>
  <si>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</si>
  <si>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</si>
  <si>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</si>
  <si>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</si>
  <si>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</si>
  <si>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</si>
  <si>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</si>
  <si>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</si>
  <si>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</si>
  <si>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</si>
  <si>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</si>
  <si>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</si>
  <si>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</si>
  <si>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</si>
  <si>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</si>
  <si>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</si>
  <si>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</si>
  <si>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</si>
  <si>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</si>
  <si>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</si>
  <si>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</si>
  <si>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</si>
  <si>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</si>
  <si>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</si>
  <si>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</si>
  <si>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</si>
  <si>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</si>
  <si>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</si>
  <si>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</si>
  <si>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</si>
  <si>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</si>
  <si>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</si>
  <si>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</si>
  <si>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</si>
  <si>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</si>
  <si>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</si>
  <si>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</si>
  <si>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</si>
  <si>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</si>
  <si>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</si>
  <si>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</si>
  <si>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</si>
  <si>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</si>
  <si>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</si>
  <si>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</si>
  <si>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</si>
  <si>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</si>
  <si>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</si>
  <si>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</si>
  <si>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</si>
  <si>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</si>
  <si>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</si>
  <si>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</si>
  <si>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</si>
  <si>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</si>
  <si>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</si>
  <si>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</si>
  <si>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</si>
  <si>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</si>
  <si>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</si>
  <si>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</si>
  <si>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</si>
  <si>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</si>
  <si>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</si>
  <si>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</si>
  <si>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</si>
  <si>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</si>
  <si>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</si>
  <si>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</si>
  <si>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</si>
  <si>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</si>
  <si>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</si>
  <si>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</si>
  <si>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</si>
  <si>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</si>
  <si>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</si>
  <si>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</si>
  <si>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</si>
  <si>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</si>
  <si>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</si>
  <si>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</si>
  <si>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</si>
  <si>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</si>
  <si>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</si>
  <si>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</si>
  <si>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</si>
  <si>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</si>
  <si>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</si>
  <si>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</si>
  <si>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</si>
  <si>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</si>
  <si>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</si>
  <si>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</si>
  <si>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</si>
  <si>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</si>
  <si>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</si>
  <si>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</si>
  <si>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</si>
  <si>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</si>
  <si>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</si>
  <si>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</si>
  <si>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</si>
  <si>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</si>
  <si>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</si>
  <si>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</si>
  <si>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</si>
  <si>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</si>
  <si>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</si>
  <si>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</si>
  <si>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</si>
  <si>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</si>
  <si>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</si>
  <si>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</si>
  <si>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</si>
  <si>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</si>
  <si>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</si>
  <si>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</si>
  <si>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</si>
  <si>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</si>
  <si>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</si>
  <si>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</si>
  <si>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</si>
  <si>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</si>
  <si>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</si>
  <si>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</si>
  <si>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</si>
  <si>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</si>
  <si>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</si>
  <si>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</si>
  <si>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</si>
  <si>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</si>
  <si>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</si>
  <si>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</si>
  <si>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</si>
  <si>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</si>
  <si>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</si>
  <si>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</si>
  <si>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</si>
  <si>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</si>
  <si>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</si>
  <si>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</si>
  <si>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</si>
  <si>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</si>
  <si>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</si>
  <si>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</si>
  <si>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</si>
  <si>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</si>
  <si>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</si>
  <si>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</si>
  <si>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</si>
  <si>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</si>
  <si>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</si>
  <si>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</si>
  <si>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</si>
  <si>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</si>
  <si>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</si>
  <si>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</si>
  <si>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</si>
  <si>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</si>
  <si>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</si>
  <si>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</si>
  <si>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</si>
  <si>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</si>
  <si>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</si>
  <si>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</si>
  <si>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</si>
  <si>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</si>
  <si>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</si>
  <si>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</si>
  <si>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</si>
  <si>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</si>
  <si>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</si>
  <si>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</si>
  <si>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</si>
  <si>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</si>
  <si>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</si>
  <si>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</si>
  <si>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</si>
  <si>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</si>
  <si>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</si>
  <si>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</si>
  <si>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</si>
  <si>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</si>
  <si>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</si>
  <si>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</si>
  <si>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</si>
  <si>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</si>
  <si>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</si>
  <si>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</si>
  <si>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</si>
  <si>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</si>
  <si>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</si>
  <si>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</si>
  <si>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</si>
  <si>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</si>
  <si>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</si>
  <si>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</si>
  <si>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</si>
  <si>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</si>
  <si>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</si>
  <si>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</si>
  <si>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</si>
  <si>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</si>
  <si>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</si>
  <si>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</si>
  <si>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</si>
  <si>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</si>
  <si>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</si>
  <si>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</si>
  <si>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</si>
  <si>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</si>
  <si>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</si>
  <si>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</si>
  <si>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</si>
  <si>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</si>
  <si>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</si>
  <si>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</si>
  <si>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</si>
  <si>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</si>
  <si>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</si>
  <si>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</si>
  <si>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</si>
  <si>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</si>
  <si>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</si>
  <si>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</si>
  <si>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</si>
  <si>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</si>
  <si>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</si>
  <si>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</si>
  <si>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</si>
  <si>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</si>
  <si>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</si>
  <si>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</si>
  <si>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</si>
  <si>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</si>
  <si>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</si>
  <si>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</si>
  <si>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</si>
  <si>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</si>
  <si>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</si>
  <si>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</si>
  <si>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</si>
  <si>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</si>
  <si>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</si>
  <si>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</si>
  <si>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</si>
  <si>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</si>
  <si>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</si>
  <si>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</si>
  <si>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</si>
  <si>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</si>
  <si>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</si>
  <si>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</si>
  <si>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</si>
  <si>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</si>
  <si>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</si>
  <si>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</si>
  <si>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</si>
  <si>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</si>
  <si>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</si>
  <si>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</si>
  <si>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</si>
  <si>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</si>
  <si>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</si>
  <si>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</si>
  <si>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</si>
  <si>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</si>
  <si>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</si>
  <si>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</si>
  <si>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</si>
  <si>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</si>
  <si>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</si>
  <si>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</si>
  <si>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</si>
  <si>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</si>
  <si>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</si>
  <si>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</si>
  <si>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</si>
  <si>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</si>
  <si>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</si>
  <si>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</si>
  <si>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</si>
  <si>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</si>
  <si>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</si>
  <si>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</si>
  <si>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</si>
  <si>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</si>
  <si>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</si>
  <si>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</si>
  <si>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</si>
  <si>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</si>
  <si>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</si>
  <si>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</si>
  <si>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</si>
  <si>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</si>
  <si>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</si>
  <si>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</si>
  <si>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</si>
  <si>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</si>
  <si>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</si>
  <si>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</si>
  <si>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</si>
  <si>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</si>
  <si>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</si>
  <si>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</si>
  <si>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</si>
  <si>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</si>
  <si>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</si>
  <si>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</si>
  <si>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</si>
  <si>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</si>
  <si>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</si>
  <si>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</si>
  <si>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</si>
  <si>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</si>
  <si>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</si>
  <si>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</si>
  <si>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</si>
  <si>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</si>
  <si>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</si>
  <si>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</si>
  <si>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</si>
  <si>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</si>
  <si>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</si>
  <si>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</si>
  <si>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</si>
  <si>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</si>
  <si>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</si>
  <si>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</si>
  <si>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</si>
  <si>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</si>
  <si>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</si>
  <si>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</si>
  <si>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</si>
  <si>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</si>
  <si>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</si>
  <si>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</si>
  <si>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</si>
  <si>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</si>
  <si>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</si>
  <si>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</si>
  <si>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</si>
  <si>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</si>
  <si>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</si>
  <si>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</si>
  <si>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</si>
  <si>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</si>
  <si>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</si>
  <si>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</si>
  <si>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</si>
  <si>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</si>
  <si>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</si>
  <si>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</si>
  <si>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</si>
  <si>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</si>
  <si>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</si>
  <si>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</si>
  <si>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</si>
  <si>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</si>
  <si>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</si>
  <si>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</si>
  <si>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</si>
  <si>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</si>
  <si>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</si>
  <si>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</si>
  <si>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</si>
  <si>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</si>
  <si>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</si>
  <si>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</si>
  <si>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</si>
  <si>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</si>
  <si>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</si>
  <si>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</si>
  <si>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</si>
  <si>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</si>
  <si>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</si>
  <si>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</si>
  <si>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</si>
  <si>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</si>
  <si>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</si>
  <si>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</si>
  <si>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</si>
  <si>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</si>
  <si>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</si>
  <si>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</si>
  <si>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</si>
  <si>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</si>
  <si>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</si>
  <si>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</si>
  <si>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</si>
  <si>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</si>
  <si>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</si>
  <si>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</si>
  <si>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</si>
  <si>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</si>
  <si>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</si>
  <si>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</si>
  <si>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</si>
  <si>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</si>
  <si>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</si>
  <si>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</si>
  <si>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</si>
  <si>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</si>
  <si>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</si>
  <si>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</si>
  <si>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</si>
  <si>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</si>
  <si>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</si>
  <si>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</si>
  <si>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</si>
  <si>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</si>
  <si>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</si>
  <si>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</si>
  <si>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</si>
  <si>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</si>
  <si>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</si>
  <si>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</si>
  <si>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</si>
  <si>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</si>
  <si>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</si>
  <si>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</si>
  <si>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</si>
  <si>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</si>
  <si>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</si>
  <si>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</si>
  <si>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</si>
  <si>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</si>
  <si>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</si>
  <si>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</si>
  <si>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</si>
  <si>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</si>
  <si>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</si>
  <si>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</si>
  <si>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</si>
  <si>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</si>
  <si>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</si>
  <si>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</si>
  <si>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</si>
  <si>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</si>
  <si>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</si>
  <si>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</si>
  <si>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</si>
  <si>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</si>
  <si>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</si>
  <si>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</si>
  <si>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</si>
  <si>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</si>
  <si>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</si>
  <si>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</si>
  <si>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</si>
  <si>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</si>
  <si>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</si>
  <si>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</si>
  <si>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</si>
  <si>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</si>
  <si>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</si>
  <si>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</si>
  <si>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</si>
  <si>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</si>
  <si>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</si>
  <si>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</si>
  <si>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</si>
  <si>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</si>
  <si>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</si>
  <si>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</si>
  <si>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</si>
  <si>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</si>
  <si>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</si>
  <si>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</si>
  <si>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</si>
  <si>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</si>
  <si>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</si>
  <si>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</si>
  <si>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</si>
  <si>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</si>
  <si>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</si>
  <si>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</si>
  <si>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</si>
  <si>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</si>
  <si>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</si>
  <si>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</si>
  <si>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</si>
  <si>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</si>
  <si>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</si>
  <si>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</si>
  <si>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</si>
  <si>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</si>
  <si>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</si>
  <si>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</si>
  <si>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</si>
  <si>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</si>
  <si>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</si>
  <si>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</si>
  <si>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</si>
  <si>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</si>
  <si>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</si>
  <si>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</si>
  <si>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</si>
  <si>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</si>
  <si>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</si>
  <si>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</si>
  <si>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</si>
  <si>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</si>
  <si>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</si>
  <si>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</si>
  <si>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</si>
  <si>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</si>
  <si>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</si>
  <si>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</si>
  <si>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</si>
  <si>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</si>
  <si>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</si>
  <si>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</si>
  <si>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</si>
  <si>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</si>
  <si>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</si>
  <si>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</si>
  <si>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</si>
  <si>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</si>
  <si>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</si>
  <si>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</si>
  <si>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</si>
  <si>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</si>
  <si>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</si>
  <si>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</si>
  <si>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</si>
  <si>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</si>
  <si>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</si>
  <si>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</si>
  <si>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</si>
  <si>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</si>
  <si>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</si>
  <si>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</si>
  <si>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</si>
  <si>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</si>
  <si>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</si>
  <si>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</si>
  <si>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</si>
  <si>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</si>
  <si>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</si>
  <si>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</si>
  <si>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</si>
  <si>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</si>
  <si>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</si>
  <si>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</si>
  <si>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</si>
  <si>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</si>
  <si>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</si>
  <si>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</si>
  <si>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</si>
  <si>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</si>
  <si>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</si>
  <si>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</si>
  <si>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</si>
  <si>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</si>
  <si>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</si>
  <si>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</si>
  <si>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</si>
  <si>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</si>
  <si>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</si>
  <si>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</si>
  <si>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</si>
  <si>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</si>
  <si>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</si>
  <si>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</si>
  <si>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</si>
  <si>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</si>
  <si>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</si>
  <si>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</si>
  <si>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</si>
  <si>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</si>
  <si>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</si>
  <si>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</si>
  <si>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</si>
  <si>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</si>
  <si>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</si>
  <si>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</si>
  <si>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</si>
  <si>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</si>
  <si>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</si>
  <si>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</si>
  <si>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</si>
  <si>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</si>
  <si>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</si>
  <si>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</si>
  <si>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</si>
  <si>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</si>
  <si>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</si>
  <si>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</si>
  <si>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</si>
  <si>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</si>
  <si>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</si>
  <si>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</si>
  <si>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</si>
  <si>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</si>
  <si>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</si>
  <si>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</si>
  <si>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</si>
  <si>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</si>
  <si>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</si>
  <si>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</si>
  <si>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</si>
  <si>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</si>
  <si>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</si>
  <si>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</si>
  <si>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</si>
  <si>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</si>
  <si>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</si>
  <si>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</si>
  <si>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</si>
  <si>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</si>
  <si>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</si>
  <si>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</si>
  <si>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</si>
  <si>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</si>
  <si>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</si>
  <si>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</si>
  <si>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</si>
  <si>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</si>
  <si>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</si>
  <si>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</si>
  <si>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</si>
  <si>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</si>
  <si>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</si>
  <si>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</si>
  <si>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</si>
  <si>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</si>
  <si>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</si>
  <si>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</si>
  <si>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</si>
  <si>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</si>
  <si>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</si>
  <si>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</si>
  <si>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</si>
  <si>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</si>
  <si>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</si>
  <si>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</si>
  <si>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</si>
  <si>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</si>
  <si>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</si>
  <si>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</si>
  <si>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</si>
  <si>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</si>
  <si>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</si>
  <si>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</si>
  <si>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</si>
  <si>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</si>
  <si>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</si>
  <si>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</si>
  <si>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</si>
  <si>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</si>
  <si>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</si>
  <si>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</si>
  <si>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</si>
  <si>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</si>
  <si>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</si>
  <si>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</si>
  <si>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</si>
  <si>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</si>
  <si>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</si>
  <si>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</si>
  <si>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</si>
  <si>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</si>
  <si>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</si>
  <si>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</si>
  <si>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</si>
  <si>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</si>
  <si>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</si>
  <si>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</si>
  <si>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</si>
  <si>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</si>
  <si>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</si>
  <si>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</si>
  <si>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</si>
  <si>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</si>
  <si>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</si>
  <si>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</si>
  <si>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</si>
  <si>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</si>
  <si>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</si>
  <si>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</si>
  <si>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</si>
  <si>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</si>
  <si>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</si>
  <si>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</si>
  <si>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</si>
  <si>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</si>
  <si>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</si>
  <si>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</si>
  <si>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</si>
  <si>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</si>
  <si>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</si>
  <si>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</si>
  <si>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</si>
  <si>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</si>
  <si>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</si>
  <si>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</si>
  <si>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</si>
  <si>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</si>
  <si>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</si>
  <si>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</si>
  <si>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</si>
  <si>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</si>
  <si>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</si>
  <si>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</si>
  <si>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</si>
  <si>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</si>
  <si>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</si>
  <si>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</si>
  <si>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</si>
  <si>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</si>
  <si>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</si>
  <si>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</si>
  <si>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</si>
  <si>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</si>
  <si>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</si>
  <si>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</si>
  <si>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</si>
  <si>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</si>
  <si>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</si>
  <si>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</si>
  <si>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</si>
  <si>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</si>
  <si>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</si>
  <si>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</si>
  <si>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</si>
  <si>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</si>
  <si>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</si>
  <si>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</si>
  <si>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</si>
  <si>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</si>
  <si>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</si>
  <si>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</si>
  <si>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</si>
  <si>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</si>
  <si>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</si>
  <si>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</si>
  <si>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</si>
  <si>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</si>
  <si>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</si>
  <si>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</si>
  <si>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</si>
  <si>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</si>
  <si>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</si>
  <si>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</si>
  <si>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</si>
  <si>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</si>
  <si>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</si>
  <si>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</si>
  <si>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</si>
  <si>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</si>
  <si>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</si>
  <si>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</si>
  <si>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</si>
  <si>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</si>
  <si>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</si>
  <si>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</si>
  <si>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</si>
  <si>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</si>
  <si>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</si>
  <si>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</si>
  <si>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</si>
  <si>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</si>
  <si>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</si>
  <si>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</si>
  <si>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</si>
  <si>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</si>
  <si>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</si>
  <si>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</si>
  <si>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</si>
  <si>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</si>
  <si>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</si>
  <si>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</si>
  <si>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</si>
  <si>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</si>
  <si>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</si>
  <si>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</si>
  <si>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</si>
  <si>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</si>
  <si>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</si>
  <si>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</si>
  <si>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</si>
  <si>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</si>
  <si>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</si>
  <si>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</si>
  <si>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</si>
  <si>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</si>
  <si>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</si>
  <si>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</si>
  <si>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</si>
  <si>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</si>
  <si>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</si>
  <si>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</si>
  <si>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</si>
  <si>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</si>
  <si>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</si>
  <si>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</si>
  <si>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</si>
  <si>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</si>
  <si>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</si>
  <si>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</si>
  <si>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</si>
  <si>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</si>
  <si>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</si>
  <si>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</si>
  <si>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</si>
  <si>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</si>
  <si>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</si>
  <si>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</si>
  <si>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</si>
  <si>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</si>
  <si>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</si>
  <si>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</si>
  <si>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</si>
  <si>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</si>
  <si>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</si>
  <si>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</si>
  <si>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</si>
  <si>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</si>
  <si>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</si>
  <si>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</si>
  <si>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</si>
  <si>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</si>
  <si>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</si>
  <si>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</si>
  <si>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</si>
  <si>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</si>
  <si>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</si>
  <si>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</si>
  <si>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</si>
  <si>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</si>
  <si>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</si>
  <si>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</si>
  <si>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</si>
  <si>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</si>
  <si>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</si>
  <si>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</si>
  <si>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</si>
  <si>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</si>
  <si>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</si>
  <si>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</si>
  <si>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</si>
  <si>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</si>
  <si>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</si>
  <si>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</si>
  <si>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</si>
  <si>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</si>
  <si>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</si>
  <si>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</si>
  <si>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</si>
  <si>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</si>
  <si>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</si>
  <si>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</si>
  <si>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</si>
  <si>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</si>
  <si>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</si>
  <si>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</si>
  <si>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</si>
  <si>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</si>
  <si>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</si>
  <si>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</si>
  <si>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</si>
  <si>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</si>
  <si>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</si>
  <si>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</si>
  <si>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</si>
  <si>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</si>
  <si>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</si>
  <si>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</si>
  <si>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</si>
  <si>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</si>
  <si>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</si>
  <si>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</si>
  <si>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</si>
  <si>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</si>
  <si>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</si>
  <si>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</si>
  <si>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</si>
  <si>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</si>
  <si>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</si>
  <si>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</si>
  <si>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</si>
  <si>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</si>
  <si>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</si>
  <si>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</si>
  <si>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</si>
  <si>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</si>
  <si>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</si>
  <si>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</si>
  <si>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</si>
  <si>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</si>
  <si>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</si>
  <si>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</si>
  <si>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</si>
  <si>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</si>
  <si>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</si>
  <si>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</si>
  <si>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</si>
  <si>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</si>
  <si>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</si>
  <si>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</si>
  <si>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</si>
  <si>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</si>
  <si>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</si>
  <si>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</si>
  <si>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</si>
  <si>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</si>
  <si>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</si>
  <si>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</si>
  <si>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</si>
  <si>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</si>
  <si>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</si>
  <si>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</si>
  <si>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</si>
  <si>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</si>
  <si>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</si>
  <si>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</si>
  <si>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</si>
  <si>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</si>
  <si>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</si>
  <si>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</si>
  <si>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</si>
  <si>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</si>
  <si>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</si>
  <si>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</si>
  <si>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</si>
  <si>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</si>
  <si>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</si>
  <si>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</si>
  <si>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</si>
  <si>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</si>
  <si>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</si>
  <si>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</si>
  <si>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</si>
  <si>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</si>
  <si>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</si>
  <si>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</si>
  <si>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</si>
  <si>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</si>
  <si>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</si>
  <si>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</si>
  <si>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</si>
  <si>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</si>
  <si>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</si>
  <si>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</si>
  <si>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</si>
  <si>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</si>
  <si>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</si>
  <si>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</si>
  <si>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</si>
  <si>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</si>
  <si>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</si>
  <si>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</si>
  <si>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</si>
  <si>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</si>
  <si>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</si>
  <si>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</si>
  <si>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</si>
  <si>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</si>
  <si>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</si>
  <si>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</si>
  <si>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</si>
  <si>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</si>
  <si>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</si>
  <si>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</si>
  <si>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</si>
  <si>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</si>
  <si>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</si>
  <si>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</si>
  <si>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</si>
  <si>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</si>
  <si>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</si>
  <si>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</si>
  <si>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</si>
  <si>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</si>
  <si>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</si>
  <si>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</si>
  <si>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</si>
  <si>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</si>
  <si>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</si>
  <si>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</si>
  <si>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</si>
  <si>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</si>
  <si>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</si>
  <si>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</si>
  <si>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</si>
  <si>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</si>
  <si>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</si>
  <si>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</si>
  <si>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</si>
  <si>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</si>
  <si>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</si>
  <si>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</si>
  <si>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</si>
  <si>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</si>
  <si>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</si>
  <si>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</si>
  <si>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</si>
  <si>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</si>
  <si>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</si>
  <si>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</si>
  <si>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</si>
  <si>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</si>
  <si>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</si>
  <si>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</si>
  <si>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</si>
  <si>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</si>
  <si>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</si>
  <si>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</si>
  <si>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</si>
  <si>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</si>
  <si>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</si>
  <si>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</si>
  <si>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</si>
  <si>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</si>
  <si>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</si>
  <si>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</si>
  <si>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</si>
  <si>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</si>
  <si>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</si>
  <si>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</si>
  <si>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</si>
  <si>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</si>
  <si>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</si>
  <si>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</si>
  <si>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</si>
  <si>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</si>
  <si>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</si>
  <si>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</si>
  <si>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</si>
  <si>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</si>
  <si>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</si>
  <si>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</si>
  <si>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</si>
  <si>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</si>
  <si>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</si>
  <si>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</si>
  <si>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</si>
  <si>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</si>
  <si>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</si>
  <si>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</si>
  <si>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</si>
  <si>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</si>
  <si>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</si>
  <si>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</si>
  <si>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</si>
  <si>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</si>
  <si>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</si>
  <si>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</si>
  <si>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</si>
  <si>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</si>
  <si>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</si>
  <si>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</si>
  <si>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</si>
  <si>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</si>
  <si>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</si>
  <si>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</si>
  <si>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</si>
  <si>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</si>
  <si>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</si>
  <si>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</si>
  <si>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</si>
  <si>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</si>
  <si>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</si>
  <si>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</si>
  <si>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</si>
  <si>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</si>
  <si>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</si>
  <si>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</si>
  <si>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</si>
  <si>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</si>
  <si>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</si>
  <si>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</si>
  <si>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</si>
  <si>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</si>
  <si>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</si>
  <si>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</si>
  <si>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</si>
  <si>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</si>
  <si>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</si>
  <si>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</si>
  <si>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</si>
  <si>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</si>
  <si>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</si>
  <si>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</si>
  <si>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</si>
  <si>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</si>
  <si>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</si>
  <si>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</si>
  <si>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</si>
  <si>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</si>
  <si>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</si>
  <si>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</si>
  <si>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</si>
  <si>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</si>
  <si>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</si>
  <si>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</si>
  <si>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</si>
  <si>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</si>
  <si>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</si>
  <si>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</si>
  <si>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</si>
  <si>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</si>
  <si>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</si>
  <si>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</si>
  <si>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</si>
  <si>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</si>
  <si>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</si>
  <si>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</si>
  <si>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</si>
  <si>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</si>
  <si>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</si>
  <si>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</si>
  <si>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</si>
  <si>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</si>
  <si>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</si>
  <si>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</si>
  <si>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</si>
  <si>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</si>
  <si>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</si>
  <si>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</si>
  <si>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</si>
  <si>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</si>
  <si>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</si>
  <si>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</si>
  <si>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</si>
  <si>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</si>
  <si>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</si>
  <si>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</si>
  <si>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</si>
  <si>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</si>
  <si>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</si>
  <si>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</si>
  <si>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</si>
  <si>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</si>
  <si>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</si>
  <si>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</si>
  <si>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</si>
  <si>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</si>
  <si>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</si>
  <si>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</si>
  <si>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</si>
  <si>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</si>
  <si>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</si>
  <si>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</si>
  <si>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</si>
  <si>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</si>
  <si>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</si>
  <si>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</si>
  <si>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</si>
  <si>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</si>
  <si>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</si>
  <si>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</si>
  <si>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</si>
  <si>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</si>
  <si>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</si>
  <si>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</si>
  <si>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</si>
  <si>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</si>
  <si>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</si>
  <si>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</si>
  <si>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</si>
  <si>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</si>
  <si>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</si>
  <si>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</si>
  <si>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</si>
  <si>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</si>
  <si>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</si>
  <si>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</si>
  <si>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</si>
  <si>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</si>
  <si>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</si>
  <si>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</si>
  <si>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</si>
  <si>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</si>
  <si>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</si>
  <si>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</si>
  <si>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</si>
  <si>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</si>
  <si>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</si>
  <si>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</si>
  <si>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</si>
  <si>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</si>
  <si>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</si>
  <si>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</si>
  <si>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</si>
  <si>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</si>
  <si>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</si>
  <si>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</si>
  <si>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</si>
  <si>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</si>
  <si>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</si>
  <si>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</si>
  <si>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</si>
  <si>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</si>
  <si>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</si>
  <si>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</si>
  <si>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</si>
  <si>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</si>
  <si>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</si>
  <si>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</si>
  <si>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</si>
  <si>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</si>
  <si>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</si>
  <si>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</si>
  <si>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</si>
  <si>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</si>
  <si>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</si>
  <si>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</si>
  <si>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</si>
  <si>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</si>
  <si>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</si>
  <si>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</si>
  <si>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</si>
  <si>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</si>
  <si>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</si>
  <si>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</si>
  <si>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</si>
  <si>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</si>
  <si>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</si>
  <si>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</si>
  <si>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</si>
  <si>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</si>
  <si>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</si>
  <si>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</si>
  <si>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</si>
  <si>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</si>
  <si>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</si>
  <si>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</si>
  <si>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</si>
  <si>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</si>
  <si>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</si>
  <si>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</si>
  <si>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</si>
  <si>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</si>
  <si>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</si>
  <si>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</si>
  <si>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</si>
  <si>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</si>
  <si>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</si>
  <si>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</si>
  <si>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</si>
  <si>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</si>
  <si>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</si>
  <si>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</si>
  <si>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</si>
  <si>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</si>
  <si>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</si>
  <si>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</si>
  <si>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</si>
  <si>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</si>
  <si>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</si>
  <si>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</si>
  <si>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</si>
  <si>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</si>
  <si>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</si>
  <si>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</si>
  <si>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</si>
  <si>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</si>
  <si>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</si>
  <si>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</si>
  <si>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</si>
  <si>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</si>
  <si>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</si>
  <si>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</si>
  <si>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</si>
  <si>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</si>
  <si>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</si>
  <si>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</si>
  <si>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</si>
  <si>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</si>
  <si>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</si>
  <si>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</si>
  <si>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</si>
  <si>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</si>
  <si>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</si>
  <si>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</si>
  <si>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</si>
  <si>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</si>
  <si>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</si>
  <si>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</si>
  <si>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</si>
  <si>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</si>
  <si>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</si>
  <si>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</si>
  <si>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</si>
  <si>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</si>
  <si>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</si>
  <si>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</si>
  <si>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</si>
  <si>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</si>
  <si>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</si>
  <si>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</si>
  <si>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</si>
  <si>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</si>
  <si>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</si>
  <si>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</si>
  <si>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</si>
  <si>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</si>
  <si>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</si>
  <si>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</si>
  <si>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</si>
  <si>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</si>
  <si>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</si>
  <si>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</si>
  <si>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</si>
  <si>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</si>
  <si>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</si>
  <si>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</si>
  <si>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</si>
  <si>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</si>
  <si>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</si>
  <si>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</si>
  <si>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</si>
  <si>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</si>
  <si>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</si>
  <si>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</si>
  <si>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</si>
  <si>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</si>
  <si>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</si>
  <si>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</si>
  <si>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</si>
  <si>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</si>
  <si>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</si>
  <si>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</si>
  <si>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</si>
  <si>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</si>
  <si>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</si>
  <si>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</si>
  <si>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</si>
  <si>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</si>
  <si>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</si>
  <si>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</si>
  <si>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</si>
  <si>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</si>
  <si>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</si>
  <si>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</si>
  <si>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</si>
  <si>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</si>
  <si>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</si>
  <si>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</si>
  <si>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</si>
  <si>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</si>
  <si>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</si>
  <si>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</si>
  <si>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</si>
  <si>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</si>
  <si>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</si>
  <si>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</si>
  <si>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</si>
  <si>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</si>
  <si>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</si>
  <si>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</si>
  <si>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</si>
  <si>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</si>
  <si>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</si>
  <si>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</si>
  <si>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</si>
  <si>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</si>
  <si>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</si>
  <si>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</si>
  <si>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</si>
  <si>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</si>
  <si>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</si>
  <si>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</si>
  <si>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</si>
  <si>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</si>
  <si>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</si>
  <si>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</si>
  <si>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</si>
  <si>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</si>
  <si>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</si>
  <si>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</si>
  <si>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</si>
  <si>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</si>
  <si>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</si>
  <si>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</si>
  <si>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</si>
  <si>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</si>
  <si>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</si>
  <si>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</si>
  <si>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</si>
  <si>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</si>
  <si>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</si>
  <si>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</si>
  <si>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</si>
  <si>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</si>
  <si>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</si>
  <si>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</si>
  <si>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</si>
  <si>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</si>
  <si>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</si>
  <si>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</si>
  <si>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</si>
  <si>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</si>
  <si>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</si>
  <si>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</si>
  <si>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</si>
  <si>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</si>
  <si>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</si>
  <si>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</si>
  <si>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</si>
  <si>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</si>
  <si>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</si>
  <si>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</si>
  <si>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</si>
  <si>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</si>
  <si>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</si>
  <si>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</si>
  <si>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</si>
  <si>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</si>
  <si>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</si>
  <si>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</si>
  <si>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</si>
  <si>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</si>
  <si>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</si>
  <si>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</si>
  <si>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</si>
  <si>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</si>
  <si>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</si>
  <si>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</si>
  <si>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</si>
  <si>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</si>
  <si>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</si>
  <si>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</si>
  <si>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</si>
  <si>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</si>
  <si>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</si>
  <si>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</si>
  <si>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</si>
  <si>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</si>
  <si>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</si>
  <si>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</si>
  <si>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</si>
  <si>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</si>
  <si>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</si>
  <si>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</si>
  <si>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</si>
  <si>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</si>
  <si>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</si>
  <si>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</si>
  <si>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</si>
  <si>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</si>
  <si>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</si>
  <si>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</si>
  <si>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</si>
  <si>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</si>
  <si>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</si>
  <si>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</si>
  <si>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</si>
  <si>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</si>
  <si>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</si>
  <si>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</si>
  <si>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</si>
  <si>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</si>
  <si>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</si>
  <si>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</si>
  <si>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</si>
  <si>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</si>
  <si>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</si>
  <si>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</si>
  <si>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</si>
  <si>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</si>
  <si>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</si>
  <si>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</si>
  <si>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</si>
  <si>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</si>
  <si>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</si>
  <si>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</si>
  <si>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</si>
  <si>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</si>
  <si>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</si>
  <si>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</si>
  <si>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</si>
  <si>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</si>
  <si>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</si>
  <si>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</si>
  <si>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</si>
  <si>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</si>
  <si>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</si>
  <si>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</si>
  <si>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</si>
  <si>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</si>
  <si>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</si>
  <si>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</si>
  <si>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</si>
  <si>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</si>
  <si>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</si>
  <si>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</si>
  <si>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</si>
  <si>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</si>
  <si>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</si>
  <si>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</si>
  <si>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</si>
  <si>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</si>
  <si>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</si>
  <si>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</si>
  <si>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</si>
  <si>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</si>
  <si>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</si>
  <si>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</si>
  <si>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</si>
  <si>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</si>
  <si>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</si>
  <si>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</si>
  <si>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</si>
  <si>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</si>
  <si>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</si>
  <si>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</si>
  <si>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</si>
  <si>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</si>
  <si>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</si>
  <si>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</si>
  <si>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</si>
  <si>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</si>
  <si>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</si>
  <si>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</si>
  <si>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</si>
  <si>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</si>
  <si>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</si>
  <si>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</si>
  <si>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</si>
  <si>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</si>
  <si>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</si>
  <si>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</si>
  <si>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</si>
  <si>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</si>
  <si>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</si>
  <si>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</si>
  <si>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</si>
  <si>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</si>
  <si>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</si>
  <si>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</si>
  <si>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</si>
  <si>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</si>
  <si>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</si>
  <si>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</si>
  <si>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</si>
  <si>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</si>
  <si>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</si>
  <si>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</si>
  <si>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</si>
  <si>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</si>
  <si>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</si>
  <si>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</si>
  <si>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</si>
  <si>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</si>
  <si>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</si>
  <si>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</si>
  <si>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</si>
  <si>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</si>
  <si>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</si>
  <si>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</si>
  <si>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</si>
  <si>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</si>
  <si>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</si>
  <si>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</si>
  <si>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</si>
  <si>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</si>
  <si>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</si>
  <si>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</si>
  <si>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</si>
  <si>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</si>
  <si>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</si>
  <si>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</si>
  <si>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</si>
  <si>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</si>
  <si>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</si>
  <si>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</si>
  <si>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</si>
  <si>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</si>
  <si>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</si>
  <si>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</si>
  <si>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</si>
  <si>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</si>
  <si>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</si>
  <si>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</si>
  <si>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</si>
  <si>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</si>
  <si>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</si>
  <si>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</si>
  <si>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</si>
  <si>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</si>
  <si>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</si>
  <si>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</si>
  <si>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</si>
  <si>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</si>
  <si>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</si>
  <si>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</si>
  <si>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</si>
  <si>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</si>
  <si>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</si>
  <si>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</si>
  <si>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</si>
  <si>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</si>
  <si>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</si>
  <si>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</si>
  <si>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</si>
  <si>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</si>
  <si>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</si>
  <si>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</si>
  <si>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</si>
  <si>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</si>
  <si>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</si>
  <si>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</si>
  <si>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</si>
  <si>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</si>
  <si>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</si>
  <si>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</si>
  <si>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</si>
  <si>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</si>
  <si>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</si>
  <si>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</si>
  <si>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</si>
  <si>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</si>
  <si>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</si>
  <si>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</si>
  <si>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</si>
  <si>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</si>
  <si>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</si>
  <si>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</si>
  <si>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</si>
  <si>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</si>
  <si>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</si>
  <si>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</si>
  <si>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</si>
  <si>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</si>
  <si>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</si>
  <si>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</si>
  <si>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</si>
  <si>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</si>
  <si>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</si>
  <si>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</si>
  <si>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</si>
  <si>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</si>
  <si>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</si>
  <si>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</si>
  <si>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</si>
  <si>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</si>
  <si>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</si>
  <si>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</si>
  <si>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</si>
  <si>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</si>
  <si>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</si>
  <si>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</si>
  <si>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</si>
  <si>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</si>
  <si>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</si>
  <si>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</si>
  <si>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</si>
  <si>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</si>
  <si>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</si>
  <si>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</si>
  <si>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</si>
  <si>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</si>
  <si>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</si>
  <si>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</si>
  <si>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</si>
  <si>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</si>
  <si>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</si>
  <si>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</si>
  <si>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</si>
  <si>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</si>
  <si>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</si>
  <si>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</si>
  <si>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</si>
  <si>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</si>
  <si>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</si>
  <si>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</si>
  <si>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</si>
  <si>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</si>
  <si>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</si>
  <si>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</si>
  <si>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</si>
  <si>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</si>
  <si>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</si>
  <si>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</si>
  <si>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</si>
  <si>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</si>
  <si>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</si>
  <si>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</si>
  <si>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</si>
  <si>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</si>
  <si>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</si>
  <si>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</si>
  <si>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</si>
  <si>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</si>
  <si>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</si>
  <si>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</si>
  <si>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</si>
  <si>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</si>
  <si>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</si>
  <si>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</si>
  <si>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</si>
  <si>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</si>
  <si>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</si>
  <si>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</si>
  <si>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</si>
  <si>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</si>
  <si>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</si>
  <si>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</si>
  <si>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</si>
  <si>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</si>
  <si>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</si>
  <si>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</si>
  <si>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</si>
  <si>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</si>
  <si>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</si>
  <si>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</si>
  <si>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</si>
  <si>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</si>
  <si>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</si>
  <si>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</si>
  <si>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</si>
  <si>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</si>
  <si>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</si>
  <si>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</si>
  <si>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</si>
  <si>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</si>
  <si>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</si>
  <si>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</si>
  <si>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</si>
  <si>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</si>
  <si>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</si>
  <si>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</si>
  <si>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</si>
  <si>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</si>
  <si>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</si>
  <si>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</si>
  <si>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</si>
  <si>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</si>
  <si>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</si>
  <si>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</si>
  <si>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</si>
  <si>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</si>
  <si>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</si>
  <si>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</si>
  <si>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</si>
  <si>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</si>
  <si>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</si>
  <si>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</si>
  <si>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</si>
  <si>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</si>
  <si>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</si>
  <si>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</si>
  <si>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</si>
  <si>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</si>
  <si>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</si>
  <si>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</si>
  <si>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</si>
  <si>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</si>
  <si>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</si>
  <si>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</si>
  <si>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</si>
  <si>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</si>
  <si>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</si>
  <si>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</si>
  <si>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</si>
  <si>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</si>
  <si>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</si>
  <si>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</si>
  <si>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</si>
  <si>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</si>
  <si>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</si>
  <si>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</si>
  <si>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</si>
  <si>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</si>
  <si>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</si>
  <si>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</si>
  <si>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</si>
  <si>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</si>
  <si>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</si>
  <si>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</si>
  <si>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</si>
  <si>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</si>
  <si>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</si>
  <si>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</si>
  <si>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</si>
  <si>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</si>
  <si>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</si>
  <si>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</si>
  <si>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</si>
  <si>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</si>
  <si>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</si>
  <si>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</si>
  <si>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</si>
  <si>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</si>
  <si>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</si>
  <si>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</si>
  <si>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</si>
  <si>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</si>
  <si>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</si>
  <si>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</si>
  <si>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</si>
  <si>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</si>
  <si>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</si>
  <si>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</si>
  <si>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</si>
  <si>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</si>
  <si>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</si>
  <si>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</si>
  <si>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</si>
  <si>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</si>
  <si>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</si>
  <si>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</si>
  <si>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</si>
  <si>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</si>
  <si>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</si>
  <si>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</si>
  <si>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</si>
  <si>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</si>
  <si>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</si>
  <si>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</si>
  <si>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</si>
  <si>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</si>
  <si>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</si>
  <si>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</si>
  <si>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</si>
  <si>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</si>
  <si>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</si>
  <si>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</si>
  <si>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</si>
  <si>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</si>
  <si>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</si>
  <si>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</si>
  <si>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</si>
  <si>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</si>
  <si>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</si>
  <si>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</si>
  <si>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</si>
  <si>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</si>
  <si>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</si>
  <si>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</si>
  <si>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</si>
  <si>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</si>
  <si>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</si>
  <si>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</si>
  <si>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</si>
  <si>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</si>
  <si>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</si>
  <si>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</si>
  <si>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</si>
  <si>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</si>
  <si>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</si>
  <si>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</si>
  <si>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</si>
  <si>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</si>
  <si>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</si>
  <si>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</si>
  <si>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</si>
  <si>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</si>
  <si>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</si>
  <si>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</si>
  <si>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</si>
  <si>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</si>
  <si>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</si>
  <si>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</si>
  <si>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</si>
  <si>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</si>
  <si>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</si>
  <si>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</si>
  <si>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</si>
  <si>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</si>
  <si>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</si>
  <si>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</si>
  <si>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</si>
  <si>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</si>
  <si>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</si>
  <si>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</si>
  <si>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</si>
  <si>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</si>
  <si>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</si>
  <si>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</si>
  <si>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</si>
  <si>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</si>
  <si>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</si>
  <si>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</si>
  <si>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</si>
  <si>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</si>
  <si>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</si>
  <si>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</si>
  <si>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</si>
  <si>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</si>
  <si>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</si>
  <si>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</si>
  <si>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</si>
  <si>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</si>
  <si>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</si>
  <si>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</si>
  <si>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</si>
  <si>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</si>
  <si>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</si>
  <si>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</si>
  <si>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</si>
  <si>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</si>
  <si>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</si>
  <si>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</si>
  <si>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</si>
  <si>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</si>
  <si>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</si>
  <si>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</si>
  <si>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</si>
  <si>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</si>
  <si>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</si>
  <si>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</si>
  <si>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</si>
  <si>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</si>
  <si>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</si>
  <si>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</si>
  <si>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</si>
  <si>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</si>
  <si>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</si>
  <si>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</si>
  <si>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</si>
  <si>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</si>
  <si>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</si>
  <si>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</si>
  <si>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</si>
  <si>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</si>
  <si>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</si>
  <si>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</si>
  <si>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</si>
  <si>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</si>
  <si>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</si>
  <si>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</si>
  <si>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</si>
  <si>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</si>
  <si>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</si>
  <si>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</si>
  <si>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</si>
  <si>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</si>
  <si>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</si>
  <si>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</si>
  <si>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</si>
  <si>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</si>
  <si>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</si>
  <si>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</si>
  <si>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</si>
  <si>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</si>
  <si>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</si>
  <si>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</si>
  <si>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</si>
  <si>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</si>
  <si>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</si>
  <si>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</si>
  <si>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</si>
  <si>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</si>
  <si>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</si>
  <si>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</si>
  <si>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</si>
  <si>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</si>
  <si>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</si>
  <si>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</si>
  <si>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</si>
  <si>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</si>
  <si>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</si>
  <si>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</si>
  <si>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</si>
  <si>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</si>
  <si>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</si>
  <si>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</si>
  <si>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</si>
  <si>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</si>
  <si>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</si>
  <si>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</si>
  <si>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</si>
  <si>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</si>
  <si>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</si>
  <si>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</si>
  <si>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</si>
  <si>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</si>
  <si>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</si>
  <si>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</si>
  <si>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</si>
  <si>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</si>
  <si>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</si>
  <si>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</si>
  <si>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</si>
  <si>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</si>
  <si>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</si>
  <si>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</si>
  <si>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</si>
  <si>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</si>
  <si>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</si>
  <si>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</si>
  <si>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</si>
  <si>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</si>
  <si>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</si>
  <si>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</si>
  <si>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</si>
  <si>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</si>
  <si>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</si>
  <si>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</si>
  <si>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</si>
  <si>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</si>
  <si>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</si>
  <si>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</si>
  <si>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</si>
  <si>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</si>
  <si>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</si>
  <si>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</si>
  <si>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</si>
  <si>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</si>
  <si>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</si>
  <si>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</si>
  <si>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</si>
  <si>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</si>
  <si>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</si>
  <si>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</si>
  <si>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</si>
  <si>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</si>
  <si>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</si>
  <si>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</si>
  <si>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</si>
  <si>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</si>
  <si>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</si>
  <si>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</si>
  <si>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</si>
  <si>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</si>
  <si>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</si>
  <si>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</si>
  <si>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</si>
  <si>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</si>
  <si>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</si>
  <si>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</si>
  <si>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</si>
  <si>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</si>
  <si>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</si>
  <si>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</si>
  <si>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</si>
  <si>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</si>
  <si>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抵押</t>
  </si>
  <si>
    <t>房地产抵押价值</t>
  </si>
  <si>
    <t>其他：</t>
  </si>
  <si>
    <t>企业</t>
  </si>
  <si>
    <t>出让</t>
  </si>
  <si>
    <t>地上</t>
  </si>
  <si>
    <t>101</t>
  </si>
  <si>
    <t>102</t>
  </si>
  <si>
    <t>103</t>
  </si>
  <si>
    <t>104</t>
  </si>
  <si>
    <t>105</t>
  </si>
  <si>
    <t>106</t>
  </si>
  <si>
    <t>107</t>
  </si>
  <si>
    <t>108</t>
  </si>
  <si>
    <t>109</t>
  </si>
  <si>
    <t>110</t>
  </si>
  <si>
    <t>111</t>
  </si>
  <si>
    <t>112</t>
  </si>
  <si>
    <t>113</t>
  </si>
  <si>
    <t>114</t>
  </si>
  <si>
    <t>115</t>
  </si>
  <si>
    <t>116</t>
  </si>
  <si>
    <t>117</t>
  </si>
  <si>
    <t>118</t>
  </si>
  <si>
    <t>201</t>
  </si>
  <si>
    <t>202</t>
  </si>
  <si>
    <t>203</t>
  </si>
  <si>
    <t>204</t>
  </si>
  <si>
    <t>205</t>
  </si>
  <si>
    <t>206</t>
  </si>
  <si>
    <t>207</t>
  </si>
  <si>
    <t>208</t>
  </si>
  <si>
    <t>209</t>
  </si>
  <si>
    <t>210</t>
  </si>
  <si>
    <t>211</t>
  </si>
  <si>
    <t>212</t>
  </si>
  <si>
    <t>213</t>
  </si>
  <si>
    <t>214</t>
  </si>
  <si>
    <t>215</t>
  </si>
  <si>
    <t>216</t>
  </si>
  <si>
    <t>217</t>
  </si>
  <si>
    <t>218</t>
  </si>
  <si>
    <t>219</t>
  </si>
  <si>
    <t>220</t>
  </si>
  <si>
    <t>221</t>
  </si>
  <si>
    <t>222</t>
  </si>
  <si>
    <t>301</t>
  </si>
  <si>
    <t>302</t>
  </si>
  <si>
    <t>303</t>
  </si>
  <si>
    <t>304</t>
  </si>
  <si>
    <t>305</t>
  </si>
  <si>
    <t>306</t>
  </si>
  <si>
    <t>307</t>
  </si>
  <si>
    <t>308</t>
  </si>
  <si>
    <t>309</t>
  </si>
  <si>
    <t>310</t>
  </si>
  <si>
    <t>311</t>
  </si>
  <si>
    <t>312</t>
  </si>
  <si>
    <t>313</t>
  </si>
  <si>
    <t>314</t>
  </si>
  <si>
    <t>315</t>
  </si>
  <si>
    <t>316</t>
  </si>
  <si>
    <t>317</t>
  </si>
  <si>
    <t>318</t>
  </si>
  <si>
    <t>319</t>
  </si>
  <si>
    <t>320</t>
  </si>
  <si>
    <t>321</t>
  </si>
  <si>
    <t>322</t>
  </si>
  <si>
    <t>401</t>
  </si>
  <si>
    <t>402</t>
  </si>
  <si>
    <t>403</t>
  </si>
  <si>
    <t>404</t>
  </si>
  <si>
    <t>405</t>
  </si>
  <si>
    <t>406</t>
  </si>
  <si>
    <t>407</t>
  </si>
  <si>
    <t>408</t>
  </si>
  <si>
    <t>409</t>
  </si>
  <si>
    <t>410</t>
  </si>
  <si>
    <t>411</t>
  </si>
  <si>
    <t>412</t>
  </si>
  <si>
    <t>413</t>
  </si>
  <si>
    <t>414</t>
  </si>
  <si>
    <t>415</t>
  </si>
  <si>
    <t>416</t>
  </si>
  <si>
    <t>417</t>
  </si>
  <si>
    <t>418</t>
  </si>
  <si>
    <t>419</t>
  </si>
  <si>
    <t>420</t>
  </si>
  <si>
    <t>421</t>
  </si>
  <si>
    <t>422</t>
  </si>
  <si>
    <t>501</t>
  </si>
  <si>
    <t>502</t>
  </si>
  <si>
    <t>503</t>
  </si>
  <si>
    <t>504</t>
  </si>
  <si>
    <t>505</t>
  </si>
  <si>
    <t>506</t>
  </si>
  <si>
    <t>507</t>
  </si>
  <si>
    <t>508</t>
  </si>
  <si>
    <t>509</t>
  </si>
  <si>
    <t>510</t>
  </si>
  <si>
    <t>511</t>
  </si>
  <si>
    <t>512</t>
  </si>
  <si>
    <t>513</t>
  </si>
  <si>
    <t>514</t>
  </si>
  <si>
    <t>515</t>
  </si>
  <si>
    <t>516</t>
  </si>
  <si>
    <t>517</t>
  </si>
  <si>
    <t>518</t>
  </si>
  <si>
    <t>519</t>
  </si>
  <si>
    <t>520</t>
  </si>
  <si>
    <t>521</t>
  </si>
  <si>
    <t>601</t>
  </si>
  <si>
    <t>602</t>
  </si>
  <si>
    <t>603</t>
  </si>
  <si>
    <t>604</t>
  </si>
  <si>
    <t>605</t>
  </si>
  <si>
    <t>606</t>
  </si>
  <si>
    <t>607</t>
  </si>
  <si>
    <t>608</t>
  </si>
  <si>
    <t>609</t>
  </si>
  <si>
    <t>610</t>
  </si>
  <si>
    <t>611</t>
  </si>
  <si>
    <t>612</t>
  </si>
  <si>
    <t>613</t>
  </si>
  <si>
    <t>614</t>
  </si>
  <si>
    <t>615</t>
  </si>
  <si>
    <t>616</t>
  </si>
  <si>
    <t>617</t>
  </si>
  <si>
    <t>618</t>
  </si>
  <si>
    <t>619</t>
  </si>
  <si>
    <t>620</t>
  </si>
  <si>
    <t>621</t>
  </si>
  <si>
    <t>701</t>
  </si>
  <si>
    <t>702</t>
  </si>
  <si>
    <t>703</t>
  </si>
  <si>
    <t>704</t>
  </si>
  <si>
    <t>705</t>
  </si>
  <si>
    <t>706</t>
  </si>
  <si>
    <t>707</t>
  </si>
  <si>
    <t>708</t>
  </si>
  <si>
    <t>709</t>
  </si>
  <si>
    <t>710</t>
  </si>
  <si>
    <t>711</t>
  </si>
  <si>
    <t>712</t>
  </si>
  <si>
    <t>713</t>
  </si>
  <si>
    <t>714</t>
  </si>
  <si>
    <t>715</t>
  </si>
  <si>
    <t>716</t>
  </si>
  <si>
    <t>717</t>
  </si>
  <si>
    <t>718</t>
  </si>
  <si>
    <t>719</t>
  </si>
  <si>
    <t>720</t>
  </si>
  <si>
    <t>721</t>
  </si>
  <si>
    <t>801</t>
  </si>
  <si>
    <t>802</t>
  </si>
  <si>
    <t>803</t>
  </si>
  <si>
    <t>804</t>
  </si>
  <si>
    <t>805</t>
  </si>
  <si>
    <t>806</t>
  </si>
  <si>
    <t>807</t>
  </si>
  <si>
    <t>808</t>
  </si>
  <si>
    <t>809</t>
  </si>
  <si>
    <t>810</t>
  </si>
  <si>
    <t>811</t>
  </si>
  <si>
    <t>812</t>
  </si>
  <si>
    <t>813</t>
  </si>
  <si>
    <t>814</t>
  </si>
  <si>
    <t>815</t>
  </si>
  <si>
    <t>816</t>
  </si>
  <si>
    <t>817</t>
  </si>
  <si>
    <t>818</t>
  </si>
  <si>
    <t>819</t>
  </si>
  <si>
    <t>820</t>
  </si>
  <si>
    <t>821</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</si>
  <si>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</si>
  <si>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</si>
  <si>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</si>
  <si>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</si>
  <si>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</si>
  <si>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</si>
  <si>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</si>
  <si>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</si>
  <si>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</si>
  <si>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</si>
  <si>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</si>
  <si>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</si>
  <si>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</si>
  <si>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</si>
  <si>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</si>
  <si>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</si>
  <si>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</si>
  <si>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</si>
  <si>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</si>
  <si>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</si>
  <si>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</si>
  <si>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</si>
  <si>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</si>
  <si>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</si>
  <si>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</si>
  <si>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</si>
  <si>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</si>
  <si>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</si>
  <si>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</si>
  <si>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</si>
  <si>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</si>
  <si>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</si>
  <si>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</si>
  <si>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</si>
  <si>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</si>
  <si>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</si>
  <si>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</si>
  <si>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</si>
  <si>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</si>
  <si>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</si>
  <si>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</si>
  <si>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</si>
  <si>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</si>
  <si>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</si>
  <si>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</si>
  <si>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</si>
  <si>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1101</t>
  </si>
  <si>
    <t>1102</t>
  </si>
  <si>
    <t>1103</t>
  </si>
  <si>
    <t>1104</t>
  </si>
  <si>
    <t>1105</t>
  </si>
  <si>
    <t>1106</t>
  </si>
  <si>
    <t>1107</t>
  </si>
  <si>
    <t>1108</t>
  </si>
  <si>
    <t>1109</t>
  </si>
  <si>
    <t>1110</t>
  </si>
  <si>
    <t>1111</t>
  </si>
  <si>
    <t>1112</t>
  </si>
  <si>
    <r>
      <rPr>
        <sz val="10"/>
        <color indexed="8"/>
        <rFont val="宋体"/>
        <family val="3"/>
        <charset val="134"/>
      </rPr>
      <t>人防是否参与分摊</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</si>
  <si>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</si>
  <si>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t>是</t>
  </si>
  <si>
    <t>成新度</t>
  </si>
  <si>
    <t>按租金收入计税</t>
  </si>
  <si>
    <t>钢混</t>
  </si>
  <si>
    <t>非生产用房</t>
  </si>
  <si>
    <t>正常</t>
  </si>
  <si>
    <t>较差</t>
  </si>
  <si>
    <t>一般</t>
  </si>
  <si>
    <t>六通</t>
  </si>
  <si>
    <t>单面临街</t>
  </si>
  <si>
    <t>次干道</t>
  </si>
  <si>
    <t>三通</t>
  </si>
  <si>
    <t>单位面积地价</t>
  </si>
  <si>
    <t>地块名称</t>
  </si>
  <si>
    <t>城市</t>
  </si>
  <si>
    <t>用地性质</t>
  </si>
  <si>
    <t>建设用地面积(㎡)</t>
  </si>
  <si>
    <t>规划建筑面积(㎡)</t>
  </si>
  <si>
    <t>容积率</t>
  </si>
  <si>
    <t>出让方式</t>
  </si>
  <si>
    <t>截止日期</t>
  </si>
  <si>
    <t>起始价(万元)</t>
  </si>
  <si>
    <t>成交价(万元)</t>
  </si>
  <si>
    <t>成交楼面价(元/㎡)</t>
  </si>
  <si>
    <t>地面</t>
    <phoneticPr fontId="143" type="noConversion"/>
  </si>
  <si>
    <t>溢价率</t>
  </si>
  <si>
    <t>受让单位</t>
  </si>
  <si>
    <t>梅山保税港区37-5号地块</t>
  </si>
  <si>
    <t>宁波市</t>
  </si>
  <si>
    <t>商业/办公用地</t>
  </si>
  <si>
    <t>≥2.6且≤3.0</t>
  </si>
  <si>
    <t>挂牌</t>
  </si>
  <si>
    <t>2017-06-14</t>
  </si>
  <si>
    <t>中国纸业投资有限公司</t>
  </si>
  <si>
    <t>1.5-1.6</t>
  </si>
  <si>
    <t>2016-12-02</t>
  </si>
  <si>
    <t>宁波梅港海洋投资有限公司</t>
  </si>
  <si>
    <t>梅山保税港区37-3号地块</t>
  </si>
  <si>
    <t>2.0-2.7</t>
  </si>
  <si>
    <t>2016-09-02</t>
  </si>
  <si>
    <t>宁波梅山保税港区南鑫实业有限公司</t>
  </si>
  <si>
    <t>梅山保税港区42-2号地块</t>
  </si>
  <si>
    <t>≥1.5且＜3.1</t>
  </si>
  <si>
    <t>2016-08-05</t>
  </si>
  <si>
    <t>康达洲际医疗器械(宁波)有限公司</t>
  </si>
  <si>
    <t>北仑富春江路西、泰山路北地块</t>
    <phoneticPr fontId="143" type="noConversion"/>
  </si>
  <si>
    <t>≥1.0且≤1.2</t>
  </si>
  <si>
    <t>2016-06-03</t>
  </si>
  <si>
    <t>宁波北仑太河人力资源有限公司</t>
  </si>
  <si>
    <t>北仑小浃江路北、北平路西地块</t>
  </si>
  <si>
    <t>≥1.5且＜1.6</t>
  </si>
  <si>
    <t>2016-02-26</t>
  </si>
  <si>
    <t>宁波市北仑茗都酒店有限公司</t>
  </si>
  <si>
    <t>梅山港湾路南、踏海路东</t>
    <phoneticPr fontId="143" type="noConversion"/>
  </si>
  <si>
    <t>≥1.5且＜2.8</t>
  </si>
  <si>
    <t>2015-11-13</t>
  </si>
  <si>
    <t>宁波众创国际互联网广场开发有限公司</t>
  </si>
  <si>
    <t>春晓200-1号地块</t>
  </si>
  <si>
    <t>≥1.0且＜1.3</t>
  </si>
  <si>
    <t>2015-10-16</t>
  </si>
  <si>
    <t>宁波铭泰投资有限公司</t>
  </si>
  <si>
    <t>估价对象名称</t>
  </si>
  <si>
    <t>项目位置</t>
  </si>
  <si>
    <t>商业</t>
    <phoneticPr fontId="31" type="noConversion"/>
  </si>
  <si>
    <t>梅山保税港区37-4号地块</t>
    <phoneticPr fontId="143" type="noConversion"/>
  </si>
  <si>
    <t>较好</t>
  </si>
  <si>
    <t>主干道</t>
    <phoneticPr fontId="31" type="noConversion"/>
  </si>
  <si>
    <t>次干道</t>
    <phoneticPr fontId="31" type="noConversion"/>
  </si>
  <si>
    <t>六通</t>
    <phoneticPr fontId="31" type="noConversion"/>
  </si>
  <si>
    <t>三通</t>
    <phoneticPr fontId="31" type="noConversion"/>
  </si>
  <si>
    <t>五通</t>
    <phoneticPr fontId="31" type="noConversion"/>
  </si>
  <si>
    <t>四通</t>
    <phoneticPr fontId="31" type="noConversion"/>
  </si>
  <si>
    <t>现房</t>
  </si>
  <si>
    <t>成本法</t>
  </si>
  <si>
    <r>
      <rPr>
        <sz val="11"/>
        <color theme="9" tint="-0.249977111117893"/>
        <rFont val="宋体"/>
        <family val="3"/>
        <charset val="134"/>
      </rPr>
      <t>梅山保税港区</t>
    </r>
    <r>
      <rPr>
        <sz val="11"/>
        <color theme="9" tint="-0.249977111117893"/>
        <rFont val="Arial"/>
        <family val="2"/>
      </rPr>
      <t>37-5</t>
    </r>
    <r>
      <rPr>
        <sz val="11"/>
        <color theme="9" tint="-0.249977111117893"/>
        <rFont val="宋体"/>
        <family val="3"/>
        <charset val="134"/>
      </rPr>
      <t>号地块</t>
    </r>
    <phoneticPr fontId="31" type="noConversion"/>
  </si>
  <si>
    <t>规则</t>
  </si>
  <si>
    <t>规则</t>
    <phoneticPr fontId="31" type="noConversion"/>
  </si>
  <si>
    <t>不规则</t>
    <phoneticPr fontId="31" type="noConversion"/>
  </si>
  <si>
    <t>押一</t>
  </si>
  <si>
    <t>成本比率</t>
  </si>
  <si>
    <t>建筑物价值</t>
  </si>
  <si>
    <t>收益法-7</t>
  </si>
  <si>
    <t>收益法-3</t>
  </si>
  <si>
    <t>汇总表</t>
  </si>
  <si>
    <t>幢可售建筑面积</t>
  </si>
  <si>
    <t>分摊土地面积（登记）</t>
    <phoneticPr fontId="143" type="noConversion"/>
  </si>
  <si>
    <t>套数</t>
    <phoneticPr fontId="143" type="noConversion"/>
  </si>
  <si>
    <t>分摊土地面积（计算）</t>
    <phoneticPr fontId="143" type="noConversion"/>
  </si>
  <si>
    <t>3幢</t>
  </si>
  <si>
    <t>4幢</t>
  </si>
  <si>
    <t>5幢</t>
  </si>
  <si>
    <t>建筑面积</t>
    <phoneticPr fontId="143" type="noConversion"/>
  </si>
  <si>
    <t>地上</t>
    <phoneticPr fontId="143" type="noConversion"/>
  </si>
  <si>
    <t>6幢</t>
  </si>
  <si>
    <t>中东区</t>
    <phoneticPr fontId="143" type="noConversion"/>
  </si>
  <si>
    <t>可收益</t>
    <phoneticPr fontId="143" type="noConversion"/>
  </si>
  <si>
    <t>7幢</t>
  </si>
  <si>
    <t>西区</t>
    <phoneticPr fontId="143" type="noConversion"/>
  </si>
  <si>
    <t>可收益</t>
    <phoneticPr fontId="143" type="noConversion"/>
  </si>
  <si>
    <t>地下车位</t>
    <phoneticPr fontId="143" type="noConversion"/>
  </si>
  <si>
    <t>合计</t>
    <phoneticPr fontId="143" type="noConversion"/>
  </si>
  <si>
    <r>
      <t>1</t>
    </r>
    <r>
      <rPr>
        <sz val="11"/>
        <color theme="1"/>
        <rFont val="宋体"/>
        <family val="3"/>
        <charset val="134"/>
        <scheme val="minor"/>
      </rPr>
      <t>83项目容积率</t>
    </r>
    <phoneticPr fontId="143" type="noConversion"/>
  </si>
  <si>
    <t xml:space="preserve">备注：1、本次实测绘总建筑面积125164.81平方米，其中地上建筑面积86619.97平方米，地下建筑面积38544.84平方米。    </t>
  </si>
  <si>
    <t>3、地下建筑面积38544.84平方米，包括公建13943.19平方米、商业用房2037.22平方米、酒店608.56平方米、人防19236.23平方米、非人防区地下车位2719.64平方米（203个）。</t>
  </si>
  <si>
    <t>宁波住宅备案价</t>
    <phoneticPr fontId="143" type="noConversion"/>
  </si>
  <si>
    <t>龙湖滟澜海岸花园商业项目</t>
    <phoneticPr fontId="143" type="noConversion"/>
  </si>
  <si>
    <t>1层</t>
    <phoneticPr fontId="143" type="noConversion"/>
  </si>
  <si>
    <t>3.4-3.8</t>
    <phoneticPr fontId="143" type="noConversion"/>
  </si>
  <si>
    <t>2层</t>
    <phoneticPr fontId="143" type="noConversion"/>
  </si>
  <si>
    <r>
      <t>2</t>
    </r>
    <r>
      <rPr>
        <sz val="11"/>
        <color theme="1"/>
        <rFont val="宋体"/>
        <family val="3"/>
        <charset val="134"/>
        <scheme val="minor"/>
      </rPr>
      <t>.1-2.3</t>
    </r>
    <phoneticPr fontId="143" type="noConversion"/>
  </si>
  <si>
    <t>土地出让</t>
    <phoneticPr fontId="143" type="noConversion"/>
  </si>
  <si>
    <t>3层</t>
    <phoneticPr fontId="143" type="noConversion"/>
  </si>
  <si>
    <r>
      <t>1</t>
    </r>
    <r>
      <rPr>
        <sz val="11"/>
        <color theme="1"/>
        <rFont val="宋体"/>
        <family val="3"/>
        <charset val="134"/>
        <scheme val="minor"/>
      </rPr>
      <t>.3-1.5</t>
    </r>
    <phoneticPr fontId="143" type="noConversion"/>
  </si>
  <si>
    <t>签署日期</t>
    <phoneticPr fontId="143" type="noConversion"/>
  </si>
  <si>
    <t>土地面积</t>
    <phoneticPr fontId="143" type="noConversion"/>
  </si>
  <si>
    <t>总成交价</t>
    <phoneticPr fontId="143" type="noConversion"/>
  </si>
  <si>
    <t>地面单价</t>
    <phoneticPr fontId="143" type="noConversion"/>
  </si>
  <si>
    <t>楼面单价</t>
    <phoneticPr fontId="143" type="noConversion"/>
  </si>
  <si>
    <t>容积率</t>
    <phoneticPr fontId="143" type="noConversion"/>
  </si>
  <si>
    <t>成本法 (2)</t>
  </si>
  <si>
    <t>成本法 (3)</t>
  </si>
  <si>
    <t>规划建筑面积（㎡）</t>
  </si>
  <si>
    <t>地上规划建筑面积</t>
  </si>
  <si>
    <t>地下规划建筑面积</t>
  </si>
  <si>
    <t>坐落</t>
    <phoneticPr fontId="143" type="noConversion"/>
  </si>
  <si>
    <t>分摊土地面积</t>
    <phoneticPr fontId="143" type="noConversion"/>
  </si>
  <si>
    <r>
      <rPr>
        <sz val="10"/>
        <color rgb="FF000000"/>
        <rFont val="宋体"/>
        <family val="3"/>
        <charset val="134"/>
      </rPr>
      <t>浙江省宁波市北仑区春晓春晓大道</t>
    </r>
    <r>
      <rPr>
        <sz val="10"/>
        <color rgb="FF000000"/>
        <rFont val="Arial"/>
        <family val="2"/>
      </rPr>
      <t>999</t>
    </r>
    <r>
      <rPr>
        <sz val="10"/>
        <color rgb="FF000000"/>
        <rFont val="宋体"/>
        <family val="3"/>
        <charset val="134"/>
      </rPr>
      <t>号（乐享城）</t>
    </r>
    <r>
      <rPr>
        <sz val="10"/>
        <color rgb="FF000000"/>
        <rFont val="Arial"/>
        <family val="2"/>
      </rPr>
      <t>3</t>
    </r>
    <r>
      <rPr>
        <sz val="10"/>
        <color rgb="FF000000"/>
        <rFont val="宋体"/>
        <family val="3"/>
        <charset val="134"/>
      </rPr>
      <t>幢</t>
    </r>
    <phoneticPr fontId="143" type="noConversion"/>
  </si>
  <si>
    <r>
      <rPr>
        <sz val="10"/>
        <color rgb="FF000000"/>
        <rFont val="宋体"/>
        <family val="3"/>
        <charset val="134"/>
      </rPr>
      <t>浙江省宁波市北仑区春晓春晓大道</t>
    </r>
    <r>
      <rPr>
        <sz val="10"/>
        <color rgb="FF000000"/>
        <rFont val="Arial"/>
        <family val="2"/>
      </rPr>
      <t>999</t>
    </r>
    <r>
      <rPr>
        <sz val="10"/>
        <color rgb="FF000000"/>
        <rFont val="宋体"/>
        <family val="3"/>
        <charset val="134"/>
      </rPr>
      <t>号（乐享城）</t>
    </r>
    <r>
      <rPr>
        <sz val="10"/>
        <color rgb="FF000000"/>
        <rFont val="Arial"/>
        <family val="2"/>
      </rPr>
      <t>6</t>
    </r>
    <r>
      <rPr>
        <sz val="10"/>
        <color rgb="FF000000"/>
        <rFont val="宋体"/>
        <family val="3"/>
        <charset val="134"/>
      </rPr>
      <t>幢</t>
    </r>
    <phoneticPr fontId="143" type="noConversion"/>
  </si>
  <si>
    <r>
      <rPr>
        <sz val="10"/>
        <color rgb="FF000000"/>
        <rFont val="宋体"/>
        <family val="3"/>
        <charset val="134"/>
      </rPr>
      <t>浙江省宁波市北仑区春晓春晓大道</t>
    </r>
    <r>
      <rPr>
        <sz val="10"/>
        <color rgb="FF000000"/>
        <rFont val="Arial"/>
        <family val="2"/>
      </rPr>
      <t>999</t>
    </r>
    <r>
      <rPr>
        <sz val="10"/>
        <color rgb="FF000000"/>
        <rFont val="宋体"/>
        <family val="3"/>
        <charset val="134"/>
      </rPr>
      <t>号（乐享城）</t>
    </r>
    <r>
      <rPr>
        <sz val="10"/>
        <color rgb="FF000000"/>
        <rFont val="Arial"/>
        <family val="2"/>
      </rPr>
      <t>7</t>
    </r>
    <r>
      <rPr>
        <sz val="10"/>
        <color rgb="FF000000"/>
        <rFont val="宋体"/>
        <family val="3"/>
        <charset val="134"/>
      </rPr>
      <t>幢</t>
    </r>
    <phoneticPr fontId="143" type="noConversion"/>
  </si>
  <si>
    <t>已包含在土地取得成本中</t>
  </si>
  <si>
    <t>3号公寓楼不动产权证情况</t>
    <phoneticPr fontId="3" type="noConversion"/>
  </si>
  <si>
    <t>单位：㎡</t>
  </si>
  <si>
    <t>序号</t>
    <phoneticPr fontId="257" type="noConversion"/>
  </si>
  <si>
    <t>房号</t>
    <phoneticPr fontId="3" type="noConversion"/>
  </si>
  <si>
    <t>权利人</t>
    <phoneticPr fontId="3" type="noConversion"/>
  </si>
  <si>
    <t>房屋坐落</t>
    <phoneticPr fontId="3" type="noConversion"/>
  </si>
  <si>
    <t>《不动产权证书》证号</t>
    <phoneticPr fontId="257" type="noConversion"/>
  </si>
  <si>
    <t>建筑面积</t>
    <phoneticPr fontId="3" type="noConversion"/>
  </si>
  <si>
    <t>分摊土地面积</t>
    <phoneticPr fontId="3" type="noConversion"/>
  </si>
  <si>
    <t>规划用途</t>
  </si>
  <si>
    <t>土地用途</t>
    <phoneticPr fontId="3" type="noConversion"/>
  </si>
  <si>
    <t>土地终止日期</t>
    <phoneticPr fontId="3" type="noConversion"/>
  </si>
  <si>
    <t>总楼层</t>
    <phoneticPr fontId="3" type="noConversion"/>
  </si>
  <si>
    <t>所在楼层</t>
    <phoneticPr fontId="3" type="noConversion"/>
  </si>
  <si>
    <t>宁波万年基业文化旅游投资有限公司</t>
    <phoneticPr fontId="3" type="noConversion"/>
  </si>
  <si>
    <t>北仑区春晓镇春晓大道999号（乐享城）3幢101室</t>
    <phoneticPr fontId="3" type="noConversion"/>
  </si>
  <si>
    <t>浙（2018）北仑区不动产权第0024634号</t>
    <phoneticPr fontId="257" type="noConversion"/>
  </si>
  <si>
    <t>旅游用地</t>
    <phoneticPr fontId="3" type="noConversion"/>
  </si>
  <si>
    <t>12层</t>
    <phoneticPr fontId="3" type="noConversion"/>
  </si>
  <si>
    <t>1层</t>
    <phoneticPr fontId="3" type="noConversion"/>
  </si>
  <si>
    <t>宁波万年基业文化旅游投资有限公司</t>
    <phoneticPr fontId="3" type="noConversion"/>
  </si>
  <si>
    <t>北仑区春晓镇春晓大道999号（乐享城）3幢102室</t>
  </si>
  <si>
    <t>浙（2018）北仑区不动产权第0024609号</t>
    <phoneticPr fontId="257" type="noConversion"/>
  </si>
  <si>
    <t>旅游用地</t>
    <phoneticPr fontId="3" type="noConversion"/>
  </si>
  <si>
    <t>北仑区春晓镇春晓大道999号（乐享城）3幢103室</t>
  </si>
  <si>
    <t>浙（2018）北仑区不动产权第0024588号</t>
    <phoneticPr fontId="257" type="noConversion"/>
  </si>
  <si>
    <t>旅游用地</t>
    <phoneticPr fontId="3" type="noConversion"/>
  </si>
  <si>
    <t>北仑区春晓镇春晓大道999号（乐享城）3幢104室</t>
  </si>
  <si>
    <t>浙（2018）北仑区不动产权第0024663号</t>
    <phoneticPr fontId="257" type="noConversion"/>
  </si>
  <si>
    <t>北仑区春晓镇春晓大道999号（乐享城）3幢106室</t>
    <phoneticPr fontId="3" type="noConversion"/>
  </si>
  <si>
    <t>浙（2018）北仑区不动产权第0024658号</t>
    <phoneticPr fontId="257" type="noConversion"/>
  </si>
  <si>
    <t>旅游用地</t>
    <phoneticPr fontId="3" type="noConversion"/>
  </si>
  <si>
    <t>宁波万年基业文化旅游投资有限公司</t>
    <phoneticPr fontId="3" type="noConversion"/>
  </si>
  <si>
    <t>北仑区春晓镇春晓大道999号（乐享城）3幢107室</t>
  </si>
  <si>
    <t>浙（2018）北仑区不动产权第0024579号</t>
    <phoneticPr fontId="257" type="noConversion"/>
  </si>
  <si>
    <t>北仑区春晓镇春晓大道999号（乐享城）3幢108室</t>
  </si>
  <si>
    <t>浙（2018）北仑区不动产权第0024629号</t>
    <phoneticPr fontId="257" type="noConversion"/>
  </si>
  <si>
    <t>北仑区春晓镇春晓大道999号（乐享城）3幢109室</t>
  </si>
  <si>
    <t>浙（2018）北仑区不动产权第0024744号</t>
    <phoneticPr fontId="257" type="noConversion"/>
  </si>
  <si>
    <t>北仑区春晓镇春晓大道999号（乐享城）3幢110室</t>
  </si>
  <si>
    <t>浙（2018）北仑区不动产权第0024620号</t>
    <phoneticPr fontId="257" type="noConversion"/>
  </si>
  <si>
    <t>北仑区春晓镇春晓大道999号（乐享城）3幢111室</t>
  </si>
  <si>
    <t>浙（2018）北仑区不动产权第0024739号</t>
    <phoneticPr fontId="257" type="noConversion"/>
  </si>
  <si>
    <t>北仑区春晓镇春晓大道999号（乐享城）3幢112室</t>
  </si>
  <si>
    <t>浙（2018）北仑区不动产权第0024607号</t>
    <phoneticPr fontId="257" type="noConversion"/>
  </si>
  <si>
    <t>北仑区春晓镇春晓大道999号（乐享城）3幢113室</t>
  </si>
  <si>
    <t>浙（2018）北仑区不动产权第0024587号</t>
    <phoneticPr fontId="257" type="noConversion"/>
  </si>
  <si>
    <t>北仑区春晓镇春晓大道999号（乐享城）3幢114室</t>
  </si>
  <si>
    <t>浙（2018）北仑区不动产权第0024533号</t>
    <phoneticPr fontId="257" type="noConversion"/>
  </si>
  <si>
    <t>北仑区春晓镇春晓大道999号（乐享城）3幢115室</t>
  </si>
  <si>
    <t>浙（2018）北仑区不动产权第0024731号</t>
    <phoneticPr fontId="257" type="noConversion"/>
  </si>
  <si>
    <t>北仑区春晓镇春晓大道999号（乐享城）3幢116室</t>
  </si>
  <si>
    <t>浙（2018）北仑区不动产权第0024570号</t>
    <phoneticPr fontId="257" type="noConversion"/>
  </si>
  <si>
    <t>北仑区春晓镇春晓大道999号（乐享城）3幢117室</t>
  </si>
  <si>
    <t>浙（2018）北仑区不动产权第0024668号</t>
    <phoneticPr fontId="257" type="noConversion"/>
  </si>
  <si>
    <t>北仑区春晓镇春晓大道999号（乐享城）3幢118室</t>
  </si>
  <si>
    <t>浙（2018）北仑区不动产权第0024535号</t>
    <phoneticPr fontId="257" type="noConversion"/>
  </si>
  <si>
    <t>北仑区春晓镇春晓大道999号（乐享城）3幢201室</t>
    <phoneticPr fontId="3" type="noConversion"/>
  </si>
  <si>
    <t>浙（2018）北仑区不动产权第0024591号</t>
    <phoneticPr fontId="257" type="noConversion"/>
  </si>
  <si>
    <t>2层</t>
    <phoneticPr fontId="3" type="noConversion"/>
  </si>
  <si>
    <t>宁波万年基业文化旅游投资有限公司</t>
    <phoneticPr fontId="3" type="noConversion"/>
  </si>
  <si>
    <t>北仑区春晓镇春晓大道999号（乐享城）3幢202室</t>
  </si>
  <si>
    <t>浙（2018）北仑区不动产权第0024593号</t>
    <phoneticPr fontId="257" type="noConversion"/>
  </si>
  <si>
    <t>北仑区春晓镇春晓大道999号（乐享城）3幢203室</t>
  </si>
  <si>
    <t>浙（2018）北仑区不动产权第0024651号</t>
    <phoneticPr fontId="257" type="noConversion"/>
  </si>
  <si>
    <t>北仑区春晓镇春晓大道999号（乐享城）3幢204室</t>
  </si>
  <si>
    <t>浙（2018）北仑区不动产权第0024601号</t>
    <phoneticPr fontId="257" type="noConversion"/>
  </si>
  <si>
    <t>北仑区春晓镇春晓大道999号（乐享城）3幢205室</t>
  </si>
  <si>
    <t>浙（2018）北仑区不动产权第0024577号</t>
    <phoneticPr fontId="257" type="noConversion"/>
  </si>
  <si>
    <t>北仑区春晓镇春晓大道999号（乐享城）3幢206室</t>
  </si>
  <si>
    <t>浙（2018）北仑区不动产权第0024565号</t>
    <phoneticPr fontId="257" type="noConversion"/>
  </si>
  <si>
    <t>北仑区春晓镇春晓大道999号（乐享城）3幢207室</t>
  </si>
  <si>
    <t>浙（2018）北仑区不动产权第0024673号</t>
    <phoneticPr fontId="257" type="noConversion"/>
  </si>
  <si>
    <t>北仑区春晓镇春晓大道999号（乐享城）3幢208室</t>
  </si>
  <si>
    <t>浙（2018）北仑区不动产权第0024627号</t>
    <phoneticPr fontId="257" type="noConversion"/>
  </si>
  <si>
    <t>北仑区春晓镇春晓大道999号（乐享城）3幢209室</t>
  </si>
  <si>
    <t>浙（2018）北仑区不动产权第0024671号</t>
    <phoneticPr fontId="257" type="noConversion"/>
  </si>
  <si>
    <t>北仑区春晓镇春晓大道999号（乐享城）3幢210室</t>
  </si>
  <si>
    <t>浙（2018）北仑区不动产权第0024543号</t>
    <phoneticPr fontId="257" type="noConversion"/>
  </si>
  <si>
    <t>北仑区春晓镇春晓大道999号（乐享城）3幢211室</t>
  </si>
  <si>
    <t>浙（2018）北仑区不动产权第0024704号</t>
    <phoneticPr fontId="257" type="noConversion"/>
  </si>
  <si>
    <t>北仑区春晓镇春晓大道999号（乐享城）3幢212室</t>
  </si>
  <si>
    <t>浙（2018）北仑区不动产权第0024707号</t>
    <phoneticPr fontId="257" type="noConversion"/>
  </si>
  <si>
    <t>北仑区春晓镇春晓大道999号（乐享城）3幢213室</t>
  </si>
  <si>
    <t>浙（2018）北仑区不动产权第0024736号</t>
    <phoneticPr fontId="257" type="noConversion"/>
  </si>
  <si>
    <t>北仑区春晓镇春晓大道999号（乐享城）3幢214室</t>
  </si>
  <si>
    <t>浙（2018）北仑区不动产权第0024548号</t>
    <phoneticPr fontId="257" type="noConversion"/>
  </si>
  <si>
    <t>北仑区春晓镇春晓大道999号（乐享城）3幢215室</t>
  </si>
  <si>
    <t>浙（2018）北仑区不动产权第0024571号</t>
    <phoneticPr fontId="257" type="noConversion"/>
  </si>
  <si>
    <t>北仑区春晓镇春晓大道999号（乐享城）3幢216室</t>
  </si>
  <si>
    <t>浙（2018）北仑区不动产权第0024567号</t>
    <phoneticPr fontId="257" type="noConversion"/>
  </si>
  <si>
    <t>北仑区春晓镇春晓大道999号（乐享城）3幢217室</t>
  </si>
  <si>
    <t>浙（2018）北仑区不动产权第0024600号</t>
    <phoneticPr fontId="257" type="noConversion"/>
  </si>
  <si>
    <t>北仑区春晓镇春晓大道999号（乐享城）3幢218室</t>
  </si>
  <si>
    <t>浙（2018）北仑区不动产权第0024649号</t>
    <phoneticPr fontId="257" type="noConversion"/>
  </si>
  <si>
    <t>北仑区春晓镇春晓大道999号（乐享城）3幢219室</t>
  </si>
  <si>
    <t>浙（2018）北仑区不动产权第0024690号</t>
    <phoneticPr fontId="257" type="noConversion"/>
  </si>
  <si>
    <t>北仑区春晓镇春晓大道999号（乐享城）3幢220室</t>
  </si>
  <si>
    <t>浙（2018）北仑区不动产权第0024528号</t>
    <phoneticPr fontId="257" type="noConversion"/>
  </si>
  <si>
    <t>北仑区春晓镇春晓大道999号（乐享城）3幢221室</t>
  </si>
  <si>
    <t>浙（2018）北仑区不动产权第0024625号</t>
    <phoneticPr fontId="257" type="noConversion"/>
  </si>
  <si>
    <t>北仑区春晓镇春晓大道999号（乐享城）3幢222室</t>
    <phoneticPr fontId="3" type="noConversion"/>
  </si>
  <si>
    <t>浙（2018）北仑区不动产权第0024573号</t>
    <phoneticPr fontId="257" type="noConversion"/>
  </si>
  <si>
    <t>北仑区春晓镇春晓大道999号（乐享城）3幢301室</t>
    <phoneticPr fontId="3" type="noConversion"/>
  </si>
  <si>
    <t>浙（2018）北仑区不动产权第0024746号</t>
    <phoneticPr fontId="257" type="noConversion"/>
  </si>
  <si>
    <t>3层</t>
    <phoneticPr fontId="3" type="noConversion"/>
  </si>
  <si>
    <t>北仑区春晓镇春晓大道999号（乐享城）3幢302室</t>
  </si>
  <si>
    <t>浙（2018）北仑区不动产权第0024722号</t>
    <phoneticPr fontId="257" type="noConversion"/>
  </si>
  <si>
    <t>北仑区春晓镇春晓大道999号（乐享城）3幢303室</t>
  </si>
  <si>
    <t>浙（2018）北仑区不动产权第0024698号</t>
    <phoneticPr fontId="257" type="noConversion"/>
  </si>
  <si>
    <t>宁波万年基业文化旅游投资有限公司</t>
    <phoneticPr fontId="3" type="noConversion"/>
  </si>
  <si>
    <t>北仑区春晓镇春晓大道999号（乐享城）3幢304室</t>
  </si>
  <si>
    <t>浙（2018）北仑区不动产权第0024619号</t>
    <phoneticPr fontId="257" type="noConversion"/>
  </si>
  <si>
    <t>旅游用地</t>
    <phoneticPr fontId="3" type="noConversion"/>
  </si>
  <si>
    <t>北仑区春晓镇春晓大道999号（乐享城）3幢305室</t>
  </si>
  <si>
    <t>浙（2018）北仑区不动产权第0024635号</t>
    <phoneticPr fontId="257" type="noConversion"/>
  </si>
  <si>
    <t>北仑区春晓镇春晓大道999号（乐享城）3幢306室</t>
  </si>
  <si>
    <t>浙（2018）北仑区不动产权第0024699号</t>
    <phoneticPr fontId="257" type="noConversion"/>
  </si>
  <si>
    <t>北仑区春晓镇春晓大道999号（乐享城）3幢307室</t>
  </si>
  <si>
    <t>浙（2018）北仑区不动产权第0024660号</t>
    <phoneticPr fontId="257" type="noConversion"/>
  </si>
  <si>
    <t>北仑区春晓镇春晓大道999号（乐享城）3幢308室</t>
  </si>
  <si>
    <t>浙（2018）北仑区不动产权第0024545号</t>
    <phoneticPr fontId="257" type="noConversion"/>
  </si>
  <si>
    <t>北仑区春晓镇春晓大道999号（乐享城）3幢309室</t>
  </si>
  <si>
    <t>浙（2018）北仑区不动产权第0024602号</t>
    <phoneticPr fontId="257" type="noConversion"/>
  </si>
  <si>
    <t>北仑区春晓镇春晓大道999号（乐享城）3幢310室</t>
  </si>
  <si>
    <t>浙（2018）北仑区不动产权第0024697号</t>
    <phoneticPr fontId="257" type="noConversion"/>
  </si>
  <si>
    <t>北仑区春晓镇春晓大道999号（乐享城）3幢311室</t>
  </si>
  <si>
    <t>浙（2018）北仑区不动产权第0024718号</t>
    <phoneticPr fontId="257" type="noConversion"/>
  </si>
  <si>
    <t>北仑区春晓镇春晓大道999号（乐享城）3幢312室</t>
  </si>
  <si>
    <t>浙（2018）北仑区不动产权第0024637号</t>
    <phoneticPr fontId="257" type="noConversion"/>
  </si>
  <si>
    <t>北仑区春晓镇春晓大道999号（乐享城）3幢313室</t>
  </si>
  <si>
    <t>浙（2018）北仑区不动产权第0024552号</t>
    <phoneticPr fontId="257" type="noConversion"/>
  </si>
  <si>
    <t>北仑区春晓镇春晓大道999号（乐享城）3幢314室</t>
  </si>
  <si>
    <t>浙（2018）北仑区不动产权第0024677号</t>
    <phoneticPr fontId="257" type="noConversion"/>
  </si>
  <si>
    <t>北仑区春晓镇春晓大道999号（乐享城）3幢315室</t>
  </si>
  <si>
    <t>浙（2018）北仑区不动产权第0024633号</t>
    <phoneticPr fontId="257" type="noConversion"/>
  </si>
  <si>
    <t>北仑区春晓镇春晓大道999号（乐享城）3幢316室</t>
  </si>
  <si>
    <t>浙（2018）北仑区不动产权第0024655号</t>
    <phoneticPr fontId="257" type="noConversion"/>
  </si>
  <si>
    <t>北仑区春晓镇春晓大道999号（乐享城）3幢317室</t>
  </si>
  <si>
    <t>浙（2018）北仑区不动产权第0024631号</t>
    <phoneticPr fontId="257" type="noConversion"/>
  </si>
  <si>
    <t>北仑区春晓镇春晓大道999号（乐享城）3幢318室</t>
  </si>
  <si>
    <t>浙（2018）北仑区不动产权第0024526号</t>
    <phoneticPr fontId="257" type="noConversion"/>
  </si>
  <si>
    <t>北仑区春晓镇春晓大道999号（乐享城）3幢319室</t>
  </si>
  <si>
    <t>浙（2018）北仑区不动产权第0024529号</t>
    <phoneticPr fontId="257" type="noConversion"/>
  </si>
  <si>
    <t>北仑区春晓镇春晓大道999号（乐享城）3幢320室</t>
  </si>
  <si>
    <t>浙（2018）北仑区不动产权第0024611号</t>
    <phoneticPr fontId="257" type="noConversion"/>
  </si>
  <si>
    <t>旅游用地</t>
    <phoneticPr fontId="3" type="noConversion"/>
  </si>
  <si>
    <t>宁波万年基业文化旅游投资有限公司</t>
    <phoneticPr fontId="3" type="noConversion"/>
  </si>
  <si>
    <t>北仑区春晓镇春晓大道999号（乐享城）3幢321室</t>
  </si>
  <si>
    <t>浙（2018）北仑区不动产权第0024711号</t>
    <phoneticPr fontId="257" type="noConversion"/>
  </si>
  <si>
    <t>北仑区春晓镇春晓大道999号（乐享城）3幢322室</t>
    <phoneticPr fontId="3" type="noConversion"/>
  </si>
  <si>
    <t>浙（2018）北仑区不动产权第0024617号</t>
    <phoneticPr fontId="257" type="noConversion"/>
  </si>
  <si>
    <t>北仑区春晓镇春晓大道999号（乐享城）3幢401室</t>
    <phoneticPr fontId="3" type="noConversion"/>
  </si>
  <si>
    <t>浙（2018）北仑区不动产权第0024654号</t>
    <phoneticPr fontId="257" type="noConversion"/>
  </si>
  <si>
    <t>4层</t>
    <phoneticPr fontId="3" type="noConversion"/>
  </si>
  <si>
    <t>北仑区春晓镇春晓大道999号（乐享城）3幢402室</t>
  </si>
  <si>
    <t>浙（2018）北仑区不动产权第0024682号</t>
    <phoneticPr fontId="257" type="noConversion"/>
  </si>
  <si>
    <t>北仑区春晓镇春晓大道999号（乐享城）3幢403室</t>
  </si>
  <si>
    <t>浙（2018）北仑区不动产权第0024710号</t>
    <phoneticPr fontId="257" type="noConversion"/>
  </si>
  <si>
    <t>北仑区春晓镇春晓大道999号（乐享城）3幢404室</t>
  </si>
  <si>
    <t>浙（2018）北仑区不动产权第0024569号</t>
    <phoneticPr fontId="257" type="noConversion"/>
  </si>
  <si>
    <t>北仑区春晓镇春晓大道999号（乐享城）3幢405室</t>
  </si>
  <si>
    <t>浙（2018）北仑区不动产权第0024574号</t>
    <phoneticPr fontId="257" type="noConversion"/>
  </si>
  <si>
    <t>北仑区春晓镇春晓大道999号（乐享城）3幢406室</t>
  </si>
  <si>
    <t>浙（2018）北仑区不动产权第0024702号</t>
    <phoneticPr fontId="257" type="noConversion"/>
  </si>
  <si>
    <t>北仑区春晓镇春晓大道999号（乐享城）3幢407室</t>
  </si>
  <si>
    <t>浙（2018）北仑区不动产权第0024669号</t>
    <phoneticPr fontId="257" type="noConversion"/>
  </si>
  <si>
    <t>北仑区春晓镇春晓大道999号（乐享城）3幢408室</t>
  </si>
  <si>
    <t>浙（2018）北仑区不动产权第0024636号</t>
    <phoneticPr fontId="257" type="noConversion"/>
  </si>
  <si>
    <t>北仑区春晓镇春晓大道999号（乐享城）3幢409室</t>
  </si>
  <si>
    <t>浙（2018）北仑区不动产权第0024696号</t>
    <phoneticPr fontId="257" type="noConversion"/>
  </si>
  <si>
    <t>北仑区春晓镇春晓大道999号（乐享城）3幢410室</t>
  </si>
  <si>
    <t>浙（2018）北仑区不动产权第0024538号</t>
    <phoneticPr fontId="257" type="noConversion"/>
  </si>
  <si>
    <t>北仑区春晓镇春晓大道999号（乐享城）3幢411室</t>
  </si>
  <si>
    <t>浙（2018）北仑区不动产权第0024730号</t>
    <phoneticPr fontId="257" type="noConversion"/>
  </si>
  <si>
    <t>北仑区春晓镇春晓大道999号（乐享城）3幢412室</t>
  </si>
  <si>
    <t>浙（2018）北仑区不动产权第0024572号</t>
    <phoneticPr fontId="257" type="noConversion"/>
  </si>
  <si>
    <t>北仑区春晓镇春晓大道999号（乐享城）3幢413室</t>
  </si>
  <si>
    <t>浙（2018）北仑区不动产权第0024582号</t>
    <phoneticPr fontId="257" type="noConversion"/>
  </si>
  <si>
    <t>北仑区春晓镇春晓大道999号（乐享城）3幢414室</t>
  </si>
  <si>
    <t>浙（2018）北仑区不动产权第0024693号</t>
    <phoneticPr fontId="257" type="noConversion"/>
  </si>
  <si>
    <t>北仑区春晓镇春晓大道999号（乐享城）3幢415室</t>
  </si>
  <si>
    <t>浙（2018）北仑区不动产权第0024558号</t>
    <phoneticPr fontId="257" type="noConversion"/>
  </si>
  <si>
    <t>北仑区春晓镇春晓大道999号（乐享城）3幢416室</t>
  </si>
  <si>
    <t>浙（2018）北仑区不动产权第0024638号</t>
    <phoneticPr fontId="257" type="noConversion"/>
  </si>
  <si>
    <t>北仑区春晓镇春晓大道999号（乐享城）3幢417室</t>
  </si>
  <si>
    <t>浙（2018）北仑区不动产权第0024537号</t>
    <phoneticPr fontId="257" type="noConversion"/>
  </si>
  <si>
    <t>北仑区春晓镇春晓大道999号（乐享城）3幢418室</t>
  </si>
  <si>
    <t>浙（2018）北仑区不动产权第0024709号</t>
    <phoneticPr fontId="257" type="noConversion"/>
  </si>
  <si>
    <t>北仑区春晓镇春晓大道999号（乐享城）3幢419室</t>
  </si>
  <si>
    <t>浙（2018）北仑区不动产权第0024712号</t>
    <phoneticPr fontId="257" type="noConversion"/>
  </si>
  <si>
    <t>北仑区春晓镇春晓大道999号（乐享城）3幢420室</t>
  </si>
  <si>
    <t>浙（2018）北仑区不动产权第0024589号</t>
    <phoneticPr fontId="257" type="noConversion"/>
  </si>
  <si>
    <t>北仑区春晓镇春晓大道999号（乐享城）3幢421室</t>
  </si>
  <si>
    <t>浙（2018）北仑区不动产权第0024684号</t>
    <phoneticPr fontId="257" type="noConversion"/>
  </si>
  <si>
    <t>北仑区春晓镇春晓大道999号（乐享城）3幢422室</t>
    <phoneticPr fontId="3" type="noConversion"/>
  </si>
  <si>
    <t>浙（2018）北仑区不动产权第0024721号</t>
    <phoneticPr fontId="257" type="noConversion"/>
  </si>
  <si>
    <t>北仑区春晓镇春晓大道999号（乐享城）3幢501室</t>
    <phoneticPr fontId="3" type="noConversion"/>
  </si>
  <si>
    <t>浙（2018）北仑区不动产权第0024726号</t>
    <phoneticPr fontId="257" type="noConversion"/>
  </si>
  <si>
    <t>5层</t>
    <phoneticPr fontId="3" type="noConversion"/>
  </si>
  <si>
    <t>北仑区春晓镇春晓大道999号（乐享城）3幢502室</t>
  </si>
  <si>
    <t>浙（2018）北仑区不动产权第0024687号</t>
    <phoneticPr fontId="257" type="noConversion"/>
  </si>
  <si>
    <t>北仑区春晓镇春晓大道999号（乐享城）3幢503室</t>
  </si>
  <si>
    <t>浙（2018）北仑区不动产权第0024595号</t>
    <phoneticPr fontId="257" type="noConversion"/>
  </si>
  <si>
    <t>宁波万年基业文化旅游投资有限公司</t>
    <phoneticPr fontId="3" type="noConversion"/>
  </si>
  <si>
    <t>北仑区春晓镇春晓大道999号（乐享城）3幢504室</t>
  </si>
  <si>
    <t>浙（2018）北仑区不动产权第0024727号</t>
    <phoneticPr fontId="257" type="noConversion"/>
  </si>
  <si>
    <t>北仑区春晓镇春晓大道999号（乐享城）3幢505室</t>
  </si>
  <si>
    <t>浙（2018）北仑区不动产权第0024560号</t>
    <phoneticPr fontId="257" type="noConversion"/>
  </si>
  <si>
    <t>北仑区春晓镇春晓大道999号（乐享城）3幢506室</t>
  </si>
  <si>
    <t>浙（2018）北仑区不动产权第0024534号</t>
    <phoneticPr fontId="257" type="noConversion"/>
  </si>
  <si>
    <t>北仑区春晓镇春晓大道999号（乐享城）3幢507室</t>
  </si>
  <si>
    <t>浙（2018）北仑区不动产权第0024585号</t>
    <phoneticPr fontId="257" type="noConversion"/>
  </si>
  <si>
    <t>北仑区春晓镇春晓大道999号（乐享城）3幢508室</t>
  </si>
  <si>
    <t>浙（2018）北仑区不动产权第0024546号</t>
    <phoneticPr fontId="257" type="noConversion"/>
  </si>
  <si>
    <t>北仑区春晓镇春晓大道999号（乐享城）3幢509室</t>
  </si>
  <si>
    <t>浙（2018）北仑区不动产权第0024735号</t>
    <phoneticPr fontId="257" type="noConversion"/>
  </si>
  <si>
    <t>北仑区春晓镇春晓大道999号（乐享城）3幢510室</t>
  </si>
  <si>
    <t>浙（2018）北仑区不动产权第0024596号</t>
    <phoneticPr fontId="257" type="noConversion"/>
  </si>
  <si>
    <t>北仑区春晓镇春晓大道999号（乐享城）3幢511室</t>
  </si>
  <si>
    <t>浙（2018）北仑区不动产权第0024606号</t>
    <phoneticPr fontId="257" type="noConversion"/>
  </si>
  <si>
    <t>北仑区春晓镇春晓大道999号（乐享城）3幢512室</t>
  </si>
  <si>
    <t>浙（2018）北仑区不动产权第0024554号</t>
    <phoneticPr fontId="257" type="noConversion"/>
  </si>
  <si>
    <t>北仑区春晓镇春晓大道999号（乐享城）3幢513室</t>
  </si>
  <si>
    <t>浙（2018）北仑区不动产权第0024561号</t>
    <phoneticPr fontId="257" type="noConversion"/>
  </si>
  <si>
    <t>北仑区春晓镇春晓大道999号（乐享城）3幢514室</t>
  </si>
  <si>
    <t>浙（2018）北仑区不动产权第0024559号</t>
    <phoneticPr fontId="257" type="noConversion"/>
  </si>
  <si>
    <t>北仑区春晓镇春晓大道999号（乐享城）3幢515室</t>
  </si>
  <si>
    <t>浙（2018）北仑区不动产权第0024746号</t>
    <phoneticPr fontId="257" type="noConversion"/>
  </si>
  <si>
    <t>北仑区春晓镇春晓大道999号（乐享城）3幢516室</t>
  </si>
  <si>
    <t>浙（2018）北仑区不动产权第0024618号</t>
    <phoneticPr fontId="257" type="noConversion"/>
  </si>
  <si>
    <t>北仑区春晓镇春晓大道999号（乐享城）3幢517室</t>
  </si>
  <si>
    <t>浙（2018）北仑区不动产权第0024743号</t>
    <phoneticPr fontId="257" type="noConversion"/>
  </si>
  <si>
    <t>北仑区春晓镇春晓大道999号（乐享城）3幢518室</t>
  </si>
  <si>
    <t>浙（2018）北仑区不动产权第0024666号</t>
    <phoneticPr fontId="257" type="noConversion"/>
  </si>
  <si>
    <t>北仑区春晓镇春晓大道999号（乐享城）3幢519室</t>
  </si>
  <si>
    <t>浙（2018）北仑区不动产权第0024542号</t>
    <phoneticPr fontId="257" type="noConversion"/>
  </si>
  <si>
    <t>北仑区春晓镇春晓大道999号（乐享城）3幢520室</t>
  </si>
  <si>
    <t>浙（2018）北仑区不动产权第0024652号</t>
    <phoneticPr fontId="257" type="noConversion"/>
  </si>
  <si>
    <t>北仑区春晓镇春晓大道999号（乐享城）3幢521室</t>
    <phoneticPr fontId="3" type="noConversion"/>
  </si>
  <si>
    <t>浙（2018）北仑区不动产权第0024724号</t>
    <phoneticPr fontId="257" type="noConversion"/>
  </si>
  <si>
    <t>北仑区春晓镇春晓大道999号（乐享城）3幢601室</t>
    <phoneticPr fontId="3" type="noConversion"/>
  </si>
  <si>
    <t>浙（2018）北仑区不动产权第0024586号</t>
    <phoneticPr fontId="257" type="noConversion"/>
  </si>
  <si>
    <t>6层</t>
    <phoneticPr fontId="3" type="noConversion"/>
  </si>
  <si>
    <t>北仑区春晓镇春晓大道999号（乐享城）3幢602室</t>
  </si>
  <si>
    <t>浙（2018）北仑区不动产权第0024624号</t>
    <phoneticPr fontId="257" type="noConversion"/>
  </si>
  <si>
    <t>北仑区春晓镇春晓大道999号（乐享城）3幢603室</t>
  </si>
  <si>
    <t>浙（2018）北仑区不动产权第0024540号</t>
    <phoneticPr fontId="257" type="noConversion"/>
  </si>
  <si>
    <t>旅游用地</t>
    <phoneticPr fontId="3" type="noConversion"/>
  </si>
  <si>
    <t>北仑区春晓镇春晓大道999号（乐享城）3幢604室</t>
  </si>
  <si>
    <t>浙（2018）北仑区不动产权第0024557号</t>
    <phoneticPr fontId="257" type="noConversion"/>
  </si>
  <si>
    <t>北仑区春晓镇春晓大道999号（乐享城）3幢605室</t>
  </si>
  <si>
    <t>浙（2018）北仑区不动产权第0024612号</t>
    <phoneticPr fontId="257" type="noConversion"/>
  </si>
  <si>
    <t>北仑区春晓镇春晓大道999号（乐享城）3幢606室</t>
  </si>
  <si>
    <t>浙（2018）北仑区不动产权第0024555号</t>
    <phoneticPr fontId="257" type="noConversion"/>
  </si>
  <si>
    <t>北仑区春晓镇春晓大道999号（乐享城）3幢607室</t>
  </si>
  <si>
    <t>浙（2018）北仑区不动产权第0024680号</t>
    <phoneticPr fontId="257" type="noConversion"/>
  </si>
  <si>
    <t>北仑区春晓镇春晓大道999号（乐享城）3幢608室</t>
  </si>
  <si>
    <t>浙（2018）北仑区不动产权第0024738号</t>
    <phoneticPr fontId="257" type="noConversion"/>
  </si>
  <si>
    <t>北仑区春晓镇春晓大道999号（乐享城）3幢609室</t>
  </si>
  <si>
    <t>浙（2018）北仑区不动产权第0024599号</t>
    <phoneticPr fontId="257" type="noConversion"/>
  </si>
  <si>
    <t>北仑区春晓镇春晓大道999号（乐享城）3幢610室</t>
  </si>
  <si>
    <t>浙（2018）北仑区不动产权第0024639号</t>
    <phoneticPr fontId="257" type="noConversion"/>
  </si>
  <si>
    <t>北仑区春晓镇春晓大道999号（乐享城）3幢611室</t>
  </si>
  <si>
    <t>浙（2018）北仑区不动产权第0024562号</t>
    <phoneticPr fontId="257" type="noConversion"/>
  </si>
  <si>
    <t>北仑区春晓镇春晓大道999号（乐享城）3幢612室</t>
  </si>
  <si>
    <t>浙（2018）北仑区不动产权第0024549号</t>
    <phoneticPr fontId="257" type="noConversion"/>
  </si>
  <si>
    <t>北仑区春晓镇春晓大道999号（乐享城）3幢613室</t>
  </si>
  <si>
    <t>浙（2018）北仑区不动产权第0024733号</t>
    <phoneticPr fontId="257" type="noConversion"/>
  </si>
  <si>
    <t>北仑区春晓镇春晓大道999号（乐享城）3幢614室</t>
  </si>
  <si>
    <t>浙（2018）北仑区不动产权第0024616号</t>
    <phoneticPr fontId="257" type="noConversion"/>
  </si>
  <si>
    <t>北仑区春晓镇春晓大道999号（乐享城）3幢615室</t>
  </si>
  <si>
    <t>浙（2018）北仑区不动产权第0024628号</t>
    <phoneticPr fontId="257" type="noConversion"/>
  </si>
  <si>
    <t>北仑区春晓镇春晓大道999号（乐享城）3幢616室</t>
  </si>
  <si>
    <t>浙（2018）北仑区不动产权第0024657号</t>
    <phoneticPr fontId="257" type="noConversion"/>
  </si>
  <si>
    <t>北仑区春晓镇春晓大道999号（乐享城）3幢617室</t>
  </si>
  <si>
    <t>浙（2018）北仑区不动产权第0024686号</t>
    <phoneticPr fontId="257" type="noConversion"/>
  </si>
  <si>
    <t>北仑区春晓镇春晓大道999号（乐享城）3幢618室</t>
  </si>
  <si>
    <t>浙（2018）北仑区不动产权第0024527号</t>
    <phoneticPr fontId="257" type="noConversion"/>
  </si>
  <si>
    <t>北仑区春晓镇春晓大道999号（乐享城）3幢619室</t>
  </si>
  <si>
    <t>浙（2018）北仑区不动产权第0024695号</t>
    <phoneticPr fontId="257" type="noConversion"/>
  </si>
  <si>
    <t>北仑区春晓镇春晓大道999号（乐享城）3幢620室</t>
  </si>
  <si>
    <t>浙（2018）北仑区不动产权第0024725号</t>
    <phoneticPr fontId="257" type="noConversion"/>
  </si>
  <si>
    <t>北仑区春晓镇春晓大道999号（乐享城）3幢621室</t>
    <phoneticPr fontId="3" type="noConversion"/>
  </si>
  <si>
    <t>浙（2018）北仑区不动产权第0024706号</t>
    <phoneticPr fontId="257" type="noConversion"/>
  </si>
  <si>
    <t>北仑区春晓镇春晓大道999号（乐享城）3幢701室</t>
    <phoneticPr fontId="3" type="noConversion"/>
  </si>
  <si>
    <t>浙（2018）北仑区不动产权第0024717号</t>
    <phoneticPr fontId="257" type="noConversion"/>
  </si>
  <si>
    <t>7层</t>
    <phoneticPr fontId="3" type="noConversion"/>
  </si>
  <si>
    <t>北仑区春晓镇春晓大道999号（乐享城）3幢702室</t>
    <phoneticPr fontId="3" type="noConversion"/>
  </si>
  <si>
    <t>浙（2018）北仑区不动产权第0024550号</t>
    <phoneticPr fontId="257" type="noConversion"/>
  </si>
  <si>
    <t>北仑区春晓镇春晓大道999号（乐享城）3幢703室</t>
  </si>
  <si>
    <t>浙（2018）北仑区不动产权第0024740号</t>
    <phoneticPr fontId="257" type="noConversion"/>
  </si>
  <si>
    <t>北仑区春晓镇春晓大道999号（乐享城）3幢704室</t>
  </si>
  <si>
    <t>浙（2018）北仑区不动产权第0024544号</t>
    <phoneticPr fontId="257" type="noConversion"/>
  </si>
  <si>
    <t>北仑区春晓镇春晓大道999号（乐享城）3幢705室</t>
  </si>
  <si>
    <t>浙（2018）北仑区不动产权第0024581号</t>
    <phoneticPr fontId="257" type="noConversion"/>
  </si>
  <si>
    <t>北仑区春晓镇春晓大道999号（乐享城）3幢706室</t>
  </si>
  <si>
    <t>浙（2018）北仑区不动产权第0024597号</t>
    <phoneticPr fontId="257" type="noConversion"/>
  </si>
  <si>
    <t>北仑区春晓镇春晓大道999号（乐享城）3幢707室</t>
  </si>
  <si>
    <t>浙（2018）北仑区不动产权第0024592号</t>
    <phoneticPr fontId="257" type="noConversion"/>
  </si>
  <si>
    <t>北仑区春晓镇春晓大道999号（乐享城）3幢708室</t>
  </si>
  <si>
    <t>浙（2018）北仑区不动产权第0024626号</t>
    <phoneticPr fontId="257" type="noConversion"/>
  </si>
  <si>
    <t>北仑区春晓镇春晓大道999号（乐享城）3幢709室</t>
  </si>
  <si>
    <t>浙（2018）北仑区不动产权第0024646号</t>
    <phoneticPr fontId="257" type="noConversion"/>
  </si>
  <si>
    <t>北仑区春晓镇春晓大道999号（乐享城）3幢710室</t>
  </si>
  <si>
    <t>浙（2018）北仑区不动产权第0024603号</t>
    <phoneticPr fontId="257" type="noConversion"/>
  </si>
  <si>
    <t>北仑区春晓镇春晓大道999号（乐享城）3幢711室</t>
  </si>
  <si>
    <t>浙（2018）北仑区不动产权第0024648号</t>
    <phoneticPr fontId="257" type="noConversion"/>
  </si>
  <si>
    <t>北仑区春晓镇春晓大道999号（乐享城）3幢712室</t>
  </si>
  <si>
    <t>浙（2018）北仑区不动产权第0024661号</t>
    <phoneticPr fontId="257" type="noConversion"/>
  </si>
  <si>
    <t>北仑区春晓镇春晓大道999号（乐享城）3幢713室</t>
  </si>
  <si>
    <t>浙（2018）北仑区不动产权第0024598号</t>
    <phoneticPr fontId="257" type="noConversion"/>
  </si>
  <si>
    <t>北仑区春晓镇春晓大道999号（乐享城）3幢714室</t>
  </si>
  <si>
    <t>浙（2018）北仑区不动产权第0024630号</t>
    <phoneticPr fontId="257" type="noConversion"/>
  </si>
  <si>
    <t>北仑区春晓镇春晓大道999号（乐享城）3幢715室</t>
  </si>
  <si>
    <t>浙（2018）北仑区不动产权第0024683号</t>
    <phoneticPr fontId="257" type="noConversion"/>
  </si>
  <si>
    <t>北仑区春晓镇春晓大道999号（乐享城）3幢716室</t>
  </si>
  <si>
    <t>浙（2018）北仑区不动产权第0024747号</t>
    <phoneticPr fontId="257" type="noConversion"/>
  </si>
  <si>
    <t>北仑区春晓镇春晓大道999号（乐享城）3幢717室</t>
  </si>
  <si>
    <t>浙（2018）北仑区不动产权第0024532号</t>
    <phoneticPr fontId="257" type="noConversion"/>
  </si>
  <si>
    <t>北仑区春晓镇春晓大道999号（乐享城）3幢718室</t>
  </si>
  <si>
    <t>浙（2018）北仑区不动产权第0024524号</t>
    <phoneticPr fontId="257" type="noConversion"/>
  </si>
  <si>
    <t>北仑区春晓镇春晓大道999号（乐享城）3幢719室</t>
  </si>
  <si>
    <t>浙（2018）北仑区不动产权第0024685号</t>
    <phoneticPr fontId="257" type="noConversion"/>
  </si>
  <si>
    <t>北仑区春晓镇春晓大道999号（乐享城）3幢720室</t>
  </si>
  <si>
    <t>浙（2018）北仑区不动产权第0024622号</t>
    <phoneticPr fontId="257" type="noConversion"/>
  </si>
  <si>
    <t>北仑区春晓镇春晓大道999号（乐享城）3幢721室</t>
    <phoneticPr fontId="3" type="noConversion"/>
  </si>
  <si>
    <t>浙（2018）北仑区不动产权第0024728号</t>
    <phoneticPr fontId="257" type="noConversion"/>
  </si>
  <si>
    <t>北仑区春晓镇春晓大道999号（乐享城）3幢801室</t>
    <phoneticPr fontId="3" type="noConversion"/>
  </si>
  <si>
    <t>浙（2018）北仑区不动产权第0024737号</t>
    <phoneticPr fontId="257" type="noConversion"/>
  </si>
  <si>
    <t>8层</t>
    <phoneticPr fontId="3" type="noConversion"/>
  </si>
  <si>
    <t>北仑区春晓镇春晓大道999号（乐享城）3幢802室</t>
    <phoneticPr fontId="3" type="noConversion"/>
  </si>
  <si>
    <t>浙（2018）北仑区不动产权第0024705号</t>
    <phoneticPr fontId="257" type="noConversion"/>
  </si>
  <si>
    <t>北仑区春晓镇春晓大道999号（乐享城）3幢803室</t>
  </si>
  <si>
    <t>浙（2018）北仑区不动产权第0024623号</t>
    <phoneticPr fontId="257" type="noConversion"/>
  </si>
  <si>
    <t>北仑区春晓镇春晓大道999号（乐享城）3幢804室</t>
  </si>
  <si>
    <t>浙（2018）北仑区不动产权第0024665号</t>
    <phoneticPr fontId="257" type="noConversion"/>
  </si>
  <si>
    <t>北仑区春晓镇春晓大道999号（乐享城）3幢805室</t>
  </si>
  <si>
    <t>浙（2018）北仑区不动产权第0024720号</t>
    <phoneticPr fontId="257" type="noConversion"/>
  </si>
  <si>
    <t>北仑区春晓镇春晓大道999号（乐享城）3幢806室</t>
  </si>
  <si>
    <t>浙（2018）北仑区不动产权第0024678号</t>
    <phoneticPr fontId="257" type="noConversion"/>
  </si>
  <si>
    <t>北仑区春晓镇春晓大道999号（乐享城）3幢807室</t>
  </si>
  <si>
    <t>浙（2018）北仑区不动产权第0024553号</t>
    <phoneticPr fontId="257" type="noConversion"/>
  </si>
  <si>
    <t>北仑区春晓镇春晓大道999号（乐享城）3幢808室</t>
  </si>
  <si>
    <t>浙（2018）北仑区不动产权第0024729号</t>
    <phoneticPr fontId="257" type="noConversion"/>
  </si>
  <si>
    <t>北仑区春晓镇春晓大道999号（乐享城）3幢809室</t>
  </si>
  <si>
    <t>浙（2018）北仑区不动产权第0024632号</t>
    <phoneticPr fontId="257" type="noConversion"/>
  </si>
  <si>
    <t>北仑区春晓镇春晓大道999号（乐享城）3幢810室</t>
  </si>
  <si>
    <t>浙（2018）北仑区不动产权第0024566号</t>
    <phoneticPr fontId="257" type="noConversion"/>
  </si>
  <si>
    <t>北仑区春晓镇春晓大道999号（乐享城）3幢811室</t>
  </si>
  <si>
    <t>浙（2018）北仑区不动产权第0024689号</t>
    <phoneticPr fontId="257" type="noConversion"/>
  </si>
  <si>
    <t>北仑区春晓镇春晓大道999号（乐享城）3幢812室</t>
  </si>
  <si>
    <t>浙（2018）北仑区不动产权第0024650号</t>
    <phoneticPr fontId="257" type="noConversion"/>
  </si>
  <si>
    <t>北仑区春晓镇春晓大道999号（乐享城）3幢813室</t>
  </si>
  <si>
    <t>浙（2018）北仑区不动产权第0024590号</t>
    <phoneticPr fontId="257" type="noConversion"/>
  </si>
  <si>
    <t>北仑区春晓镇春晓大道999号（乐享城）3幢814室</t>
  </si>
  <si>
    <t>浙（2018）北仑区不动产权第0024608号</t>
    <phoneticPr fontId="257" type="noConversion"/>
  </si>
  <si>
    <t>北仑区春晓镇春晓大道999号（乐享城）3幢815室</t>
  </si>
  <si>
    <t>浙（2018）北仑区不动产权第0024563号</t>
    <phoneticPr fontId="257" type="noConversion"/>
  </si>
  <si>
    <t>北仑区春晓镇春晓大道999号（乐享城）3幢816室</t>
  </si>
  <si>
    <t>浙（2018）北仑区不动产权第0024716号</t>
    <phoneticPr fontId="257" type="noConversion"/>
  </si>
  <si>
    <t>北仑区春晓镇春晓大道999号（乐享城）3幢817室</t>
  </si>
  <si>
    <t>浙（2018）北仑区不动产权第0024605号</t>
    <phoneticPr fontId="257" type="noConversion"/>
  </si>
  <si>
    <t>北仑区春晓镇春晓大道999号（乐享城）3幢818室</t>
  </si>
  <si>
    <t>浙（2018）北仑区不动产权第0024742号</t>
    <phoneticPr fontId="257" type="noConversion"/>
  </si>
  <si>
    <t>北仑区春晓镇春晓大道999号（乐享城）3幢819室</t>
  </si>
  <si>
    <t>浙（2018）北仑区不动产权第0024674号</t>
    <phoneticPr fontId="257" type="noConversion"/>
  </si>
  <si>
    <t>北仑区春晓镇春晓大道999号（乐享城）3幢820室</t>
  </si>
  <si>
    <t>浙（2018）北仑区不动产权第0024583号</t>
    <phoneticPr fontId="257" type="noConversion"/>
  </si>
  <si>
    <t>北仑区春晓镇春晓大道999号（乐享城）3幢821室</t>
    <phoneticPr fontId="3" type="noConversion"/>
  </si>
  <si>
    <t>浙（2018）北仑区不动产权第0024614号</t>
    <phoneticPr fontId="257" type="noConversion"/>
  </si>
  <si>
    <t>北仑区春晓镇春晓大道999号（乐享城）3幢901室</t>
    <phoneticPr fontId="3" type="noConversion"/>
  </si>
  <si>
    <t>浙（2018）北仑区不动产权第0024621号</t>
    <phoneticPr fontId="257" type="noConversion"/>
  </si>
  <si>
    <t>9层</t>
    <phoneticPr fontId="3" type="noConversion"/>
  </si>
  <si>
    <t>北仑区春晓镇春晓大道999号（乐享城）3幢902室</t>
  </si>
  <si>
    <t>浙（2018）北仑区不动产权第0024541号</t>
    <phoneticPr fontId="257" type="noConversion"/>
  </si>
  <si>
    <t>北仑区春晓镇春晓大道999号（乐享城）3幢903室</t>
  </si>
  <si>
    <t>浙（2018）北仑区不动产权第0024568号</t>
    <phoneticPr fontId="257" type="noConversion"/>
  </si>
  <si>
    <t>北仑区春晓镇春晓大道999号（乐享城）3幢904室</t>
  </si>
  <si>
    <t>浙（2018）北仑区不动产权第0024692号</t>
    <phoneticPr fontId="257" type="noConversion"/>
  </si>
  <si>
    <t>北仑区春晓镇春晓大道999号（乐享城）3幢905室</t>
  </si>
  <si>
    <t>浙（2018）北仑区不动产权第0024675号</t>
    <phoneticPr fontId="257" type="noConversion"/>
  </si>
  <si>
    <t>北仑区春晓镇春晓大道999号（乐享城）3幢906室</t>
  </si>
  <si>
    <t>浙（2018）北仑区不动产权第0024662号</t>
    <phoneticPr fontId="257" type="noConversion"/>
  </si>
  <si>
    <t>北仑区春晓镇春晓大道999号（乐享城）3幢907室</t>
  </si>
  <si>
    <t>浙（2018）北仑区不动产权第0024659号</t>
    <phoneticPr fontId="257" type="noConversion"/>
  </si>
  <si>
    <t>北仑区春晓镇春晓大道999号（乐享城）3幢908室</t>
  </si>
  <si>
    <t>浙（2018）北仑区不动产权第0024575号</t>
    <phoneticPr fontId="257" type="noConversion"/>
  </si>
  <si>
    <t>北仑区春晓镇春晓大道999号（乐享城）3幢909室</t>
  </si>
  <si>
    <t>浙（2018）北仑区不动产权第0024647号</t>
    <phoneticPr fontId="257" type="noConversion"/>
  </si>
  <si>
    <t>北仑区春晓镇春晓大道999号（乐享城）3幢910室</t>
  </si>
  <si>
    <t>浙（2018）北仑区不动产权第0024679号</t>
    <phoneticPr fontId="257" type="noConversion"/>
  </si>
  <si>
    <t>北仑区春晓镇春晓大道999号（乐享城）3幢911室</t>
  </si>
  <si>
    <t>浙（2018）北仑区不动产权第0024741号</t>
    <phoneticPr fontId="257" type="noConversion"/>
  </si>
  <si>
    <t>北仑区春晓镇春晓大道999号（乐享城）3幢912室</t>
  </si>
  <si>
    <t>浙（2018）北仑区不动产权第0024615号</t>
    <phoneticPr fontId="257" type="noConversion"/>
  </si>
  <si>
    <t>北仑区春晓镇春晓大道999号（乐享城）3幢913室</t>
  </si>
  <si>
    <t>浙（2018）北仑区不动产权第0024701号</t>
    <phoneticPr fontId="257" type="noConversion"/>
  </si>
  <si>
    <t>北仑区春晓镇春晓大道999号（乐享城）3幢914室</t>
  </si>
  <si>
    <t>浙（2018）北仑区不动产权第0024536号</t>
    <phoneticPr fontId="257" type="noConversion"/>
  </si>
  <si>
    <t>北仑区春晓镇春晓大道999号（乐享城）3幢915室</t>
  </si>
  <si>
    <t>浙（2018）北仑区不动产权第0024732号</t>
    <phoneticPr fontId="257" type="noConversion"/>
  </si>
  <si>
    <t>北仑区春晓镇春晓大道999号（乐享城）3幢916室</t>
  </si>
  <si>
    <t>浙（2018）北仑区不动产权第0024525号</t>
    <phoneticPr fontId="257" type="noConversion"/>
  </si>
  <si>
    <t>北仑区春晓镇春晓大道999号（乐享城）3幢917室</t>
  </si>
  <si>
    <t>浙（2018）北仑区不动产权第0024644号</t>
    <phoneticPr fontId="257" type="noConversion"/>
  </si>
  <si>
    <t>北仑区春晓镇春晓大道999号（乐享城）3幢918室</t>
  </si>
  <si>
    <t>浙（2018）北仑区不动产权第0024708号</t>
    <phoneticPr fontId="257" type="noConversion"/>
  </si>
  <si>
    <t>北仑区春晓镇春晓大道999号（乐享城）3幢919室</t>
  </si>
  <si>
    <t>浙（2018）北仑区不动产权第0024714号</t>
    <phoneticPr fontId="257" type="noConversion"/>
  </si>
  <si>
    <t>北仑区春晓镇春晓大道999号（乐享城）3幢920室</t>
  </si>
  <si>
    <t>浙（2018）北仑区不动产权第0024610号</t>
    <phoneticPr fontId="257" type="noConversion"/>
  </si>
  <si>
    <t>北仑区春晓镇春晓大道999号（乐享城）3幢921室</t>
  </si>
  <si>
    <t>浙（2018）北仑区不动产权第0024703号</t>
    <phoneticPr fontId="257" type="noConversion"/>
  </si>
  <si>
    <t>北仑区春晓镇春晓大道999号（乐享城）3幢922室</t>
  </si>
  <si>
    <t>浙（2018）北仑区不动产权第0024613号</t>
    <phoneticPr fontId="257" type="noConversion"/>
  </si>
  <si>
    <t>北仑区春晓镇春晓大道999号（乐享城）3幢923室</t>
    <phoneticPr fontId="3" type="noConversion"/>
  </si>
  <si>
    <t>浙（2018）北仑区不动产权第0024713号</t>
    <phoneticPr fontId="257" type="noConversion"/>
  </si>
  <si>
    <t>北仑区春晓镇春晓大道999号（乐享城）3幢1001室</t>
    <phoneticPr fontId="3" type="noConversion"/>
  </si>
  <si>
    <t>浙（2018）北仑区不动产权第0024584号</t>
    <phoneticPr fontId="257" type="noConversion"/>
  </si>
  <si>
    <t>10层</t>
    <phoneticPr fontId="3" type="noConversion"/>
  </si>
  <si>
    <t>北仑区春晓镇春晓大道999号（乐享城）3幢1002室</t>
    <phoneticPr fontId="3" type="noConversion"/>
  </si>
  <si>
    <t>浙（2018）北仑区不动产权第0024556号</t>
    <phoneticPr fontId="257" type="noConversion"/>
  </si>
  <si>
    <t>宁波万年基业文化旅游投资有限公司</t>
    <phoneticPr fontId="3" type="noConversion"/>
  </si>
  <si>
    <t>北仑区春晓镇春晓大道999号（乐享城）3幢1003室</t>
  </si>
  <si>
    <t>浙（2018）北仑区不动产权第0024640号</t>
    <phoneticPr fontId="257" type="noConversion"/>
  </si>
  <si>
    <t>旅游用地</t>
    <phoneticPr fontId="3" type="noConversion"/>
  </si>
  <si>
    <t>北仑区春晓镇春晓大道999号（乐享城）3幢1004室</t>
  </si>
  <si>
    <t>浙（2018）北仑区不动产权第0024748号</t>
    <phoneticPr fontId="257" type="noConversion"/>
  </si>
  <si>
    <t>北仑区春晓镇春晓大道999号（乐享城）3幢1005室</t>
  </si>
  <si>
    <t>浙（2018）北仑区不动产权第0024645号</t>
    <phoneticPr fontId="257" type="noConversion"/>
  </si>
  <si>
    <t>北仑区春晓镇春晓大道999号（乐享城）3幢1006室</t>
  </si>
  <si>
    <t>浙（2018）北仑区不动产权第0024653号</t>
    <phoneticPr fontId="257" type="noConversion"/>
  </si>
  <si>
    <t>北仑区春晓镇春晓大道999号（乐享城）3幢1007室</t>
  </si>
  <si>
    <t>浙（2018）北仑区不动产权第0024539号</t>
    <phoneticPr fontId="257" type="noConversion"/>
  </si>
  <si>
    <t>北仑区春晓镇春晓大道999号（乐享城）3幢1008室</t>
  </si>
  <si>
    <t>浙（2018）北仑区不动产权第0024681号</t>
    <phoneticPr fontId="257" type="noConversion"/>
  </si>
  <si>
    <t>北仑区春晓镇春晓大道999号（乐享城）3幢1009室</t>
  </si>
  <si>
    <t>浙（2018）北仑区不动产权第0024694号</t>
    <phoneticPr fontId="257" type="noConversion"/>
  </si>
  <si>
    <t>北仑区春晓镇春晓大道999号（乐享城）3幢1010室</t>
  </si>
  <si>
    <t>浙（2018）北仑区不动产权第0024604号</t>
    <phoneticPr fontId="257" type="noConversion"/>
  </si>
  <si>
    <t>北仑区春晓镇春晓大道999号（乐享城）3幢1011室</t>
  </si>
  <si>
    <t>浙（2018）北仑区不动产权第0024715号</t>
    <phoneticPr fontId="257" type="noConversion"/>
  </si>
  <si>
    <t>北仑区春晓镇春晓大道999号（乐享城）3幢1012室</t>
  </si>
  <si>
    <t>浙（2018）北仑区不动产权第0024642号</t>
    <phoneticPr fontId="257" type="noConversion"/>
  </si>
  <si>
    <t>北仑区春晓镇春晓大道999号（乐享城）3幢1013室</t>
  </si>
  <si>
    <t>浙（2018）北仑区不动产权第0024688号</t>
    <phoneticPr fontId="257" type="noConversion"/>
  </si>
  <si>
    <t>北仑区春晓镇春晓大道999号（乐享城）3幢1014室</t>
  </si>
  <si>
    <t>浙（2018）北仑区不动产权第0024564号</t>
    <phoneticPr fontId="257" type="noConversion"/>
  </si>
  <si>
    <t>北仑区春晓镇春晓大道999号（乐享城）3幢1015室</t>
  </si>
  <si>
    <t>浙（2018）北仑区不动产权第0024576号</t>
    <phoneticPr fontId="257" type="noConversion"/>
  </si>
  <si>
    <t>北仑区春晓镇春晓大道999号（乐享城）3幢1016室</t>
  </si>
  <si>
    <t>浙（2018）北仑区不动产权第0024672号</t>
    <phoneticPr fontId="257" type="noConversion"/>
  </si>
  <si>
    <t>北仑区春晓镇春晓大道999号（乐享城）3幢1017室</t>
  </si>
  <si>
    <t>浙（2018）北仑区不动产权第0024594号</t>
    <phoneticPr fontId="257" type="noConversion"/>
  </si>
  <si>
    <t>北仑区春晓镇春晓大道999号（乐享城）3幢1018室</t>
  </si>
  <si>
    <t>浙（2018）北仑区不动产权第0024723号</t>
    <phoneticPr fontId="257" type="noConversion"/>
  </si>
  <si>
    <t>北仑区春晓镇春晓大道999号（乐享城）3幢1019室</t>
  </si>
  <si>
    <t>浙（2018）北仑区不动产权第0024700号</t>
    <phoneticPr fontId="257" type="noConversion"/>
  </si>
  <si>
    <t>北仑区春晓镇春晓大道999号（乐享城）3幢1020室</t>
  </si>
  <si>
    <t>浙（2018）北仑区不动产权第0024656号</t>
    <phoneticPr fontId="257" type="noConversion"/>
  </si>
  <si>
    <t>北仑区春晓镇春晓大道999号（乐享城）3幢1021室</t>
  </si>
  <si>
    <t>浙（2018）北仑区不动产权第0024578号</t>
    <phoneticPr fontId="257" type="noConversion"/>
  </si>
  <si>
    <t>北仑区春晓镇春晓大道999号（乐享城）3幢1022室</t>
  </si>
  <si>
    <t>浙（2018）北仑区不动产权第0024547号</t>
    <phoneticPr fontId="257" type="noConversion"/>
  </si>
  <si>
    <t>北仑区春晓镇春晓大道999号（乐享城）3幢1023室</t>
    <phoneticPr fontId="3" type="noConversion"/>
  </si>
  <si>
    <t>浙（2018）北仑区不动产权第0024551号</t>
    <phoneticPr fontId="257" type="noConversion"/>
  </si>
  <si>
    <t>北仑区春晓镇春晓大道999号（乐享城）3幢1101室</t>
    <phoneticPr fontId="3" type="noConversion"/>
  </si>
  <si>
    <t>浙（2018）北仑区不动产权第0024719号</t>
    <phoneticPr fontId="257" type="noConversion"/>
  </si>
  <si>
    <t>11层</t>
    <phoneticPr fontId="3" type="noConversion"/>
  </si>
  <si>
    <t>北仑区春晓镇春晓大道999号（乐享城）3幢1102室</t>
    <phoneticPr fontId="3" type="noConversion"/>
  </si>
  <si>
    <t>浙（2018）北仑区不动产权第0024734号</t>
    <phoneticPr fontId="257" type="noConversion"/>
  </si>
  <si>
    <t>北仑区春晓镇春晓大道999号（乐享城）3幢1103室</t>
  </si>
  <si>
    <t>浙（2018）北仑区不动产权第0024580号</t>
    <phoneticPr fontId="257" type="noConversion"/>
  </si>
  <si>
    <t>北仑区春晓镇春晓大道999号（乐享城）3幢1104室</t>
  </si>
  <si>
    <t>浙（2018）北仑区不动产权第0024641号</t>
    <phoneticPr fontId="257" type="noConversion"/>
  </si>
  <si>
    <t>北仑区春晓镇春晓大道999号（乐享城）3幢1105室</t>
  </si>
  <si>
    <t>浙（2018）北仑区不动产权第0024664号</t>
    <phoneticPr fontId="257" type="noConversion"/>
  </si>
  <si>
    <t>北仑区春晓镇春晓大道999号（乐享城）3幢1106室</t>
  </si>
  <si>
    <t>浙（2018）北仑区不动产权第0024530号</t>
    <phoneticPr fontId="257" type="noConversion"/>
  </si>
  <si>
    <t>北仑区春晓镇春晓大道999号（乐享城）3幢1107室</t>
  </si>
  <si>
    <t>浙（2018）北仑区不动产权第0024691号</t>
    <phoneticPr fontId="257" type="noConversion"/>
  </si>
  <si>
    <t>北仑区春晓镇春晓大道999号（乐享城）3幢1108室</t>
  </si>
  <si>
    <t>浙（2018）北仑区不动产权第0024531号</t>
    <phoneticPr fontId="257" type="noConversion"/>
  </si>
  <si>
    <t>旅游用地</t>
    <phoneticPr fontId="3" type="noConversion"/>
  </si>
  <si>
    <t>宁波万年基业文化旅游投资有限公司</t>
    <phoneticPr fontId="3" type="noConversion"/>
  </si>
  <si>
    <t>北仑区春晓镇春晓大道999号（乐享城）3幢1109室</t>
  </si>
  <si>
    <t>浙（2018）北仑区不动产权第0024676号</t>
    <phoneticPr fontId="257" type="noConversion"/>
  </si>
  <si>
    <t>北仑区春晓镇春晓大道999号（乐享城）3幢1110室</t>
  </si>
  <si>
    <t>浙（2018）北仑区不动产权第0024667号</t>
    <phoneticPr fontId="257" type="noConversion"/>
  </si>
  <si>
    <t>北仑区春晓镇春晓大道999号（乐享城）3幢1111室</t>
  </si>
  <si>
    <t>浙（2018）北仑区不动产权第0024643号</t>
    <phoneticPr fontId="257" type="noConversion"/>
  </si>
  <si>
    <t>北仑区春晓镇春晓大道999号（乐享城）3幢1112室</t>
  </si>
  <si>
    <t>浙（2018）北仑区不动产权第0024670号</t>
    <phoneticPr fontId="257" type="noConversion"/>
  </si>
  <si>
    <t>合计</t>
    <phoneticPr fontId="257" type="noConversion"/>
  </si>
  <si>
    <t>7号公寓楼不动产权证情况</t>
    <phoneticPr fontId="3" type="noConversion"/>
  </si>
  <si>
    <t>序号</t>
    <phoneticPr fontId="257" type="noConversion"/>
  </si>
  <si>
    <t>房号</t>
    <phoneticPr fontId="3" type="noConversion"/>
  </si>
  <si>
    <t>权利人</t>
    <phoneticPr fontId="3" type="noConversion"/>
  </si>
  <si>
    <t>房屋坐落</t>
    <phoneticPr fontId="3" type="noConversion"/>
  </si>
  <si>
    <t>《不动产权证书》证号</t>
    <phoneticPr fontId="257" type="noConversion"/>
  </si>
  <si>
    <t>建筑面积</t>
    <phoneticPr fontId="3" type="noConversion"/>
  </si>
  <si>
    <t>分摊土地面积</t>
    <phoneticPr fontId="3" type="noConversion"/>
  </si>
  <si>
    <t>土地用途</t>
    <phoneticPr fontId="3" type="noConversion"/>
  </si>
  <si>
    <t>土地终止日期</t>
    <phoneticPr fontId="3" type="noConversion"/>
  </si>
  <si>
    <t>总楼层</t>
    <phoneticPr fontId="3" type="noConversion"/>
  </si>
  <si>
    <t>所在楼层</t>
    <phoneticPr fontId="3" type="noConversion"/>
  </si>
  <si>
    <t>宁波万年基业文化旅游投资有限公司</t>
    <phoneticPr fontId="3" type="noConversion"/>
  </si>
  <si>
    <t>北仑区春晓镇春晓大道999号（乐享城）7幢101室</t>
    <phoneticPr fontId="3" type="noConversion"/>
  </si>
  <si>
    <t>浙（2018）北仑区不动产权第0017738号</t>
  </si>
  <si>
    <t>旅游用地</t>
    <phoneticPr fontId="3" type="noConversion"/>
  </si>
  <si>
    <t xml:space="preserve">10层 </t>
    <phoneticPr fontId="3" type="noConversion"/>
  </si>
  <si>
    <t>1层</t>
    <phoneticPr fontId="3" type="noConversion"/>
  </si>
  <si>
    <t>北仑区春晓镇春晓大道999号（乐享城）7幢102室</t>
  </si>
  <si>
    <t>浙（2018）北仑区不动产权第0017675号</t>
  </si>
  <si>
    <t>北仑区春晓镇春晓大道999号（乐享城）7幢103室</t>
  </si>
  <si>
    <t>浙（2018）北仑区不动产权第0017722号</t>
  </si>
  <si>
    <t>宁波万年基业文化旅游投资有限公司</t>
    <phoneticPr fontId="3" type="noConversion"/>
  </si>
  <si>
    <t>北仑区春晓镇春晓大道999号（乐享城）7幢104室</t>
  </si>
  <si>
    <t>浙（2018）北仑区不动产权第0017742号</t>
  </si>
  <si>
    <t>北仑区春晓镇春晓大道999号（乐享城）7幢105室</t>
  </si>
  <si>
    <t>浙（2018）北仑区不动产权第0017735号</t>
  </si>
  <si>
    <t>北仑区春晓镇春晓大道999号（乐享城）7幢106室</t>
  </si>
  <si>
    <t>浙（2018）北仑区不动产权第0017732号</t>
  </si>
  <si>
    <t>北仑区春晓镇春晓大道999号（乐享城）7幢107室</t>
  </si>
  <si>
    <t>浙（2018）北仑区不动产权第0017726号</t>
  </si>
  <si>
    <t>宁波万年基业文化旅游投资有限公司</t>
    <phoneticPr fontId="3" type="noConversion"/>
  </si>
  <si>
    <t>北仑区春晓镇春晓大道999号（乐享城）7幢108室</t>
  </si>
  <si>
    <t>浙（2018）北仑区不动产权第0017657号</t>
  </si>
  <si>
    <t>北仑区春晓镇春晓大道999号（乐享城）7幢109室</t>
  </si>
  <si>
    <t>浙（2018）北仑区不动产权第0017660号</t>
  </si>
  <si>
    <t>北仑区春晓镇春晓大道999号（乐享城）7幢110室</t>
  </si>
  <si>
    <t>浙（2018）北仑区不动产权第0017647号</t>
  </si>
  <si>
    <t>北仑区春晓镇春晓大道999号（乐享城）7幢111室</t>
  </si>
  <si>
    <t>浙（2018）北仑区不动产权第0017648号</t>
  </si>
  <si>
    <t>北仑区春晓镇春晓大道999号（乐享城）7幢112室</t>
    <phoneticPr fontId="3" type="noConversion"/>
  </si>
  <si>
    <t>浙（2018）北仑区不动产权第0017749号</t>
  </si>
  <si>
    <t>北仑区春晓镇春晓大道999号（乐享城）7幢201室</t>
    <phoneticPr fontId="3" type="noConversion"/>
  </si>
  <si>
    <t>浙（2018）北仑区不动产权第0017755号</t>
  </si>
  <si>
    <t>2层</t>
    <phoneticPr fontId="3" type="noConversion"/>
  </si>
  <si>
    <t>北仑区春晓镇春晓大道999号（乐享城）7幢202室</t>
  </si>
  <si>
    <t>浙（2018）北仑区不动产权第0017659号</t>
  </si>
  <si>
    <t>北仑区春晓镇春晓大道999号（乐享城）7幢203室</t>
  </si>
  <si>
    <t>浙（2018）北仑区不动产权第0017700号</t>
  </si>
  <si>
    <t>北仑区春晓镇春晓大道999号（乐享城）7幢204室</t>
  </si>
  <si>
    <t>浙（2018）北仑区不动产权第0017754号</t>
  </si>
  <si>
    <t>北仑区春晓镇春晓大道999号（乐享城）7幢205室</t>
  </si>
  <si>
    <t>浙（2018）北仑区不动产权第0017705号</t>
  </si>
  <si>
    <t>北仑区春晓镇春晓大道999号（乐享城）7幢206室</t>
  </si>
  <si>
    <t>浙（2018）北仑区不动产权第0017714号</t>
  </si>
  <si>
    <t>北仑区春晓镇春晓大道999号（乐享城）7幢207室</t>
  </si>
  <si>
    <t>浙（2018）北仑区不动产权第0017708号</t>
  </si>
  <si>
    <t>北仑区春晓镇春晓大道999号（乐享城）7幢208室</t>
  </si>
  <si>
    <t>浙（2018）北仑区不动产权第0017683号</t>
  </si>
  <si>
    <t>北仑区春晓镇春晓大道999号（乐享城）7幢209室</t>
  </si>
  <si>
    <t>浙（2018）北仑区不动产权第0017672号</t>
  </si>
  <si>
    <t>北仑区春晓镇春晓大道999号（乐享城）7幢210室</t>
  </si>
  <si>
    <t>浙（2018）北仑区不动产权第0017704号</t>
  </si>
  <si>
    <t>北仑区春晓镇春晓大道999号（乐享城）7幢211室</t>
  </si>
  <si>
    <t>浙（2018）北仑区不动产权第0017759号</t>
  </si>
  <si>
    <t>北仑区春晓镇春晓大道999号（乐享城）7幢212室</t>
  </si>
  <si>
    <t>浙（2018）北仑区不动产权第0017678号</t>
  </si>
  <si>
    <t>北仑区春晓镇春晓大道999号（乐享城）7幢213室</t>
  </si>
  <si>
    <t>浙（2018）北仑区不动产权第0017710号</t>
  </si>
  <si>
    <t>北仑区春晓镇春晓大道999号（乐享城）7幢214室</t>
    <phoneticPr fontId="3" type="noConversion"/>
  </si>
  <si>
    <t>浙（2018）北仑区不动产权第0017693号</t>
  </si>
  <si>
    <t>北仑区春晓镇春晓大道999号（乐享城）7幢301室</t>
    <phoneticPr fontId="3" type="noConversion"/>
  </si>
  <si>
    <t>浙（2018）北仑区不动产权第0017729号</t>
  </si>
  <si>
    <t>北仑区春晓镇春晓大道999号（乐享城）7幢302室</t>
    <phoneticPr fontId="3" type="noConversion"/>
  </si>
  <si>
    <t>浙（2018）北仑区不动产权第0017723号</t>
  </si>
  <si>
    <t>北仑区春晓镇春晓大道999号（乐享城）7幢303室</t>
  </si>
  <si>
    <t>浙（2018）北仑区不动产权第0017673号</t>
  </si>
  <si>
    <t>北仑区春晓镇春晓大道999号（乐享城）7幢304室</t>
  </si>
  <si>
    <t>浙（2018）北仑区不动产权第0017743号</t>
  </si>
  <si>
    <t>北仑区春晓镇春晓大道999号（乐享城）7幢305室</t>
  </si>
  <si>
    <t>浙（2018）北仑区不动产权第0017760号</t>
  </si>
  <si>
    <t>宁波万年基业文化旅游投资有限公司</t>
    <phoneticPr fontId="3" type="noConversion"/>
  </si>
  <si>
    <t>北仑区春晓镇春晓大道999号（乐享城）7幢306室</t>
  </si>
  <si>
    <t>浙（2018）北仑区不动产权第0017650号</t>
  </si>
  <si>
    <t>宁波万年基业文化旅游投资有限公司</t>
    <phoneticPr fontId="3" type="noConversion"/>
  </si>
  <si>
    <t>北仑区春晓镇春晓大道999号（乐享城）7幢307室</t>
  </si>
  <si>
    <t>浙（2018）北仑区不动产权第0017688号</t>
  </si>
  <si>
    <t>宁波万年基业文化旅游投资有限公司</t>
    <phoneticPr fontId="3" type="noConversion"/>
  </si>
  <si>
    <t>北仑区春晓镇春晓大道999号（乐享城）7幢308室</t>
  </si>
  <si>
    <t>浙（2018）北仑区不动产权第0017721号</t>
  </si>
  <si>
    <t>宁波万年基业文化旅游投资有限公司</t>
    <phoneticPr fontId="3" type="noConversion"/>
  </si>
  <si>
    <t>北仑区春晓镇春晓大道999号（乐享城）7幢309室</t>
  </si>
  <si>
    <t>浙（2018）北仑区不动产权第0017730号</t>
  </si>
  <si>
    <t>宁波万年基业文化旅游投资有限公司</t>
    <phoneticPr fontId="3" type="noConversion"/>
  </si>
  <si>
    <t>北仑区春晓镇春晓大道999号（乐享城）7幢310室</t>
  </si>
  <si>
    <t>浙（2018）北仑区不动产权第0017661号</t>
  </si>
  <si>
    <t>北仑区春晓镇春晓大道999号（乐享城）7幢311室</t>
  </si>
  <si>
    <t>浙（2018）北仑区不动产权第0017689号</t>
  </si>
  <si>
    <t>北仑区春晓镇春晓大道999号（乐享城）7幢312室</t>
  </si>
  <si>
    <t>浙（2018）北仑区不动产权第0017724号</t>
  </si>
  <si>
    <t>宁波万年基业文化旅游投资有限公司</t>
    <phoneticPr fontId="3" type="noConversion"/>
  </si>
  <si>
    <t>北仑区春晓镇春晓大道999号（乐享城）7幢313室</t>
  </si>
  <si>
    <t>浙（2018）北仑区不动产权第0017695号</t>
  </si>
  <si>
    <t>北仑区春晓镇春晓大道999号（乐享城）7幢314室</t>
    <phoneticPr fontId="3" type="noConversion"/>
  </si>
  <si>
    <t>浙（2018）北仑区不动产权第0017644号</t>
  </si>
  <si>
    <t>宁波万年基业文化旅游投资有限公司</t>
    <phoneticPr fontId="3" type="noConversion"/>
  </si>
  <si>
    <t>北仑区春晓镇春晓大道999号（乐享城）7幢401室</t>
    <phoneticPr fontId="3" type="noConversion"/>
  </si>
  <si>
    <t>浙（2018）北仑区不动产权第0017651号</t>
  </si>
  <si>
    <t>4层</t>
    <phoneticPr fontId="3" type="noConversion"/>
  </si>
  <si>
    <t>北仑区春晓镇春晓大道999号（乐享城）7幢402室</t>
  </si>
  <si>
    <t>浙（2018）北仑区不动产权第0017751号</t>
  </si>
  <si>
    <t>宁波万年基业文化旅游投资有限公司</t>
    <phoneticPr fontId="3" type="noConversion"/>
  </si>
  <si>
    <t>北仑区春晓镇春晓大道999号（乐享城）7幢403室</t>
  </si>
  <si>
    <t>浙（2018）北仑区不动产权第0017745号</t>
  </si>
  <si>
    <t>北仑区春晓镇春晓大道999号（乐享城）7幢404室</t>
  </si>
  <si>
    <t>浙（2018）北仑区不动产权第0017699号</t>
  </si>
  <si>
    <t>宁波万年基业文化旅游投资有限公司</t>
    <phoneticPr fontId="3" type="noConversion"/>
  </si>
  <si>
    <t>北仑区春晓镇春晓大道999号（乐享城）7幢405室</t>
  </si>
  <si>
    <t>浙（2018）北仑区不动产权第0017702号</t>
  </si>
  <si>
    <t>北仑区春晓镇春晓大道999号（乐享城）7幢406室</t>
  </si>
  <si>
    <t>浙（2018）北仑区不动产权第0017748号</t>
  </si>
  <si>
    <t>宁波万年基业文化旅游投资有限公司</t>
    <phoneticPr fontId="3" type="noConversion"/>
  </si>
  <si>
    <t>北仑区春晓镇春晓大道999号（乐享城）7幢407室</t>
  </si>
  <si>
    <t>浙（2018）北仑区不动产权第0017653号</t>
  </si>
  <si>
    <t>北仑区春晓镇春晓大道999号（乐享城）7幢408室</t>
  </si>
  <si>
    <t>浙（2018）北仑区不动产权第0017639号</t>
  </si>
  <si>
    <t>北仑区春晓镇春晓大道999号（乐享城）7幢409室</t>
  </si>
  <si>
    <t>浙（2018）北仑区不动产权第0017664号</t>
  </si>
  <si>
    <t>宁波万年基业文化旅游投资有限公司</t>
    <phoneticPr fontId="3" type="noConversion"/>
  </si>
  <si>
    <t>北仑区春晓镇春晓大道999号（乐享城）7幢410室</t>
  </si>
  <si>
    <t>浙（2018）北仑区不动产权第0017669号</t>
  </si>
  <si>
    <t>北仑区春晓镇春晓大道999号（乐享城）7幢411室</t>
  </si>
  <si>
    <t>浙（2018）北仑区不动产权第0017716号</t>
  </si>
  <si>
    <t>北仑区春晓镇春晓大道999号（乐享城）7幢412室</t>
  </si>
  <si>
    <t>浙（2018）北仑区不动产权第0017686号</t>
  </si>
  <si>
    <t>宁波万年基业文化旅游投资有限公司</t>
    <phoneticPr fontId="3" type="noConversion"/>
  </si>
  <si>
    <t>北仑区春晓镇春晓大道999号（乐享城）7幢413室</t>
  </si>
  <si>
    <t>浙（2018）北仑区不动产权第0017725号</t>
  </si>
  <si>
    <t>北仑区春晓镇春晓大道999号（乐享城）7幢414室</t>
    <phoneticPr fontId="3" type="noConversion"/>
  </si>
  <si>
    <t>浙（2018）北仑区不动产权第0017670号</t>
  </si>
  <si>
    <t>北仑区春晓镇春晓大道999号（乐享城）7幢501室</t>
    <phoneticPr fontId="3" type="noConversion"/>
  </si>
  <si>
    <t>浙（2018）北仑区不动产权第0017752号</t>
  </si>
  <si>
    <t>5层</t>
    <phoneticPr fontId="3" type="noConversion"/>
  </si>
  <si>
    <t>北仑区春晓镇春晓大道999号（乐享城）7幢502室</t>
  </si>
  <si>
    <t>浙（2018）北仑区不动产权第0017741号</t>
  </si>
  <si>
    <t>北仑区春晓镇春晓大道999号（乐享城）7幢503室</t>
  </si>
  <si>
    <t>浙（2018）北仑区不动产权第0017692号</t>
  </si>
  <si>
    <t>北仑区春晓镇春晓大道999号（乐享城）7幢504室</t>
  </si>
  <si>
    <t>浙（2018）北仑区不动产权第0017663号</t>
  </si>
  <si>
    <t>北仑区春晓镇春晓大道999号（乐享城）7幢505室</t>
  </si>
  <si>
    <t>浙（2018）北仑区不动产权第0017747号</t>
  </si>
  <si>
    <t>北仑区春晓镇春晓大道999号（乐享城）7幢506室</t>
  </si>
  <si>
    <t>浙（2018）北仑区不动产权第0017709号</t>
  </si>
  <si>
    <t>宁波万年基业文化旅游投资有限公司</t>
    <phoneticPr fontId="3" type="noConversion"/>
  </si>
  <si>
    <t>北仑区春晓镇春晓大道999号（乐享城）7幢507室</t>
  </si>
  <si>
    <t>浙（2018）北仑区不动产权第0017677号</t>
  </si>
  <si>
    <t>北仑区春晓镇春晓大道999号（乐享城）7幢508室</t>
  </si>
  <si>
    <t>浙（2018）北仑区不动产权第0017733号</t>
  </si>
  <si>
    <t>宁波万年基业文化旅游投资有限公司</t>
    <phoneticPr fontId="3" type="noConversion"/>
  </si>
  <si>
    <t>北仑区春晓镇春晓大道999号（乐享城）7幢509室</t>
  </si>
  <si>
    <t>浙（2018）北仑区不动产权第0017652号</t>
  </si>
  <si>
    <t>宁波万年基业文化旅游投资有限公司</t>
    <phoneticPr fontId="3" type="noConversion"/>
  </si>
  <si>
    <t>北仑区春晓镇春晓大道999号（乐享城）7幢510室</t>
  </si>
  <si>
    <t>浙（2018）北仑区不动产权第0017698号</t>
  </si>
  <si>
    <t>北仑区春晓镇春晓大道999号（乐享城）7幢511室</t>
  </si>
  <si>
    <t>浙（2018）北仑区不动产权第0017655号</t>
  </si>
  <si>
    <t>北仑区春晓镇春晓大道999号（乐享城）7幢512室</t>
  </si>
  <si>
    <t>浙（2018）北仑区不动产权第0017676号</t>
  </si>
  <si>
    <t>北仑区春晓镇春晓大道999号（乐享城）7幢513室</t>
  </si>
  <si>
    <t>浙（2018）北仑区不动产权第0017685号</t>
  </si>
  <si>
    <t>北仑区春晓镇春晓大道999号（乐享城）7幢514室</t>
    <phoneticPr fontId="3" type="noConversion"/>
  </si>
  <si>
    <t>浙（2018）北仑区不动产权第0017706号</t>
  </si>
  <si>
    <t>北仑区春晓镇春晓大道999号（乐享城）7幢601室</t>
    <phoneticPr fontId="3" type="noConversion"/>
  </si>
  <si>
    <t>浙（2018）北仑区不动产权第0017757号</t>
  </si>
  <si>
    <t>6层</t>
    <phoneticPr fontId="3" type="noConversion"/>
  </si>
  <si>
    <t>北仑区春晓镇春晓大道999号（乐享城）7幢602室</t>
  </si>
  <si>
    <t>浙（2018）北仑区不动产权第0017681号</t>
  </si>
  <si>
    <t>北仑区春晓镇春晓大道999号（乐享城）7幢603室</t>
  </si>
  <si>
    <t>浙（2018）北仑区不动产权第0017680号</t>
  </si>
  <si>
    <t>北仑区春晓镇春晓大道999号（乐享城）7幢604室</t>
  </si>
  <si>
    <t>浙（2018）北仑区不动产权第0017746号</t>
  </si>
  <si>
    <t>北仑区春晓镇春晓大道999号（乐享城）7幢605室</t>
  </si>
  <si>
    <t>浙（2018）北仑区不动产权第0017684号</t>
  </si>
  <si>
    <t>北仑区春晓镇春晓大道999号（乐享城）7幢606室</t>
  </si>
  <si>
    <t>浙（2018）北仑区不动产权第0017756号</t>
  </si>
  <si>
    <t>北仑区春晓镇春晓大道999号（乐享城）7幢607室</t>
  </si>
  <si>
    <t>浙（2018）北仑区不动产权第0017712号</t>
  </si>
  <si>
    <t>北仑区春晓镇春晓大道999号（乐享城）7幢608室</t>
  </si>
  <si>
    <t>浙（2018）北仑区不动产权第0017696号</t>
  </si>
  <si>
    <t>北仑区春晓镇春晓大道999号（乐享城）7幢609室</t>
  </si>
  <si>
    <t>浙（2018）北仑区不动产权第0017718号</t>
  </si>
  <si>
    <t>北仑区春晓镇春晓大道999号（乐享城）7幢610室</t>
  </si>
  <si>
    <t>浙（2018）北仑区不动产权第0017727号</t>
  </si>
  <si>
    <t>北仑区春晓镇春晓大道999号（乐享城）7幢611室</t>
  </si>
  <si>
    <t>浙（2018）北仑区不动产权第0017666号</t>
  </si>
  <si>
    <t>北仑区春晓镇春晓大道999号（乐享城）7幢612室</t>
  </si>
  <si>
    <t>浙（2018）北仑区不动产权第0017753号</t>
  </si>
  <si>
    <t>北仑区春晓镇春晓大道999号（乐享城）7幢613室</t>
  </si>
  <si>
    <t>浙（2018）北仑区不动产权第0017674号</t>
  </si>
  <si>
    <t>北仑区春晓镇春晓大道999号（乐享城）7幢614室</t>
    <phoneticPr fontId="3" type="noConversion"/>
  </si>
  <si>
    <t>浙（2018）北仑区不动产权第0017694号</t>
  </si>
  <si>
    <t>宁波万年基业文化旅游投资有限公司</t>
    <phoneticPr fontId="3" type="noConversion"/>
  </si>
  <si>
    <t>北仑区春晓镇春晓大道999号（乐享城）7幢701室</t>
    <phoneticPr fontId="3" type="noConversion"/>
  </si>
  <si>
    <t>浙（2018）北仑区不动产权第0017671号</t>
  </si>
  <si>
    <t>7层</t>
    <phoneticPr fontId="3" type="noConversion"/>
  </si>
  <si>
    <t>北仑区春晓镇春晓大道999号（乐享城）7幢702室</t>
  </si>
  <si>
    <t>浙（2018）北仑区不动产权第0017649号</t>
  </si>
  <si>
    <t>北仑区春晓镇春晓大道999号（乐享城）7幢703室</t>
  </si>
  <si>
    <t>浙（2018）北仑区不动产权第0017728号</t>
  </si>
  <si>
    <t>北仑区春晓镇春晓大道999号（乐享城）7幢704室</t>
  </si>
  <si>
    <t>浙（2018）北仑区不动产权第0017703号</t>
  </si>
  <si>
    <t>北仑区春晓镇春晓大道999号（乐享城）7幢705室</t>
  </si>
  <si>
    <t>浙（2018）北仑区不动产权第0017739号</t>
  </si>
  <si>
    <t>北仑区春晓镇春晓大道999号（乐享城）7幢710室</t>
    <phoneticPr fontId="3" type="noConversion"/>
  </si>
  <si>
    <t>浙（2018）北仑区不动产权第0017682号</t>
  </si>
  <si>
    <t>北仑区春晓镇春晓大道999号（乐享城）7幢711室</t>
  </si>
  <si>
    <t>浙（2018）北仑区不动产权第0017656号</t>
  </si>
  <si>
    <t>北仑区春晓镇春晓大道999号（乐享城）7幢712室</t>
  </si>
  <si>
    <t>浙（2018）北仑区不动产权第0017740号</t>
  </si>
  <si>
    <t>北仑区春晓镇春晓大道999号（乐享城）7幢713室</t>
  </si>
  <si>
    <t>浙（2018）北仑区不动产权第0017734号</t>
  </si>
  <si>
    <t>北仑区春晓镇春晓大道999号（乐享城）7幢714室</t>
    <phoneticPr fontId="3" type="noConversion"/>
  </si>
  <si>
    <t>浙（2018）北仑区不动产权第0017645号</t>
  </si>
  <si>
    <t>北仑区春晓镇春晓大道999号（乐享城）7幢801室</t>
    <phoneticPr fontId="3" type="noConversion"/>
  </si>
  <si>
    <t>浙（2018）北仑区不动产权第0017713号</t>
  </si>
  <si>
    <t>8层</t>
    <phoneticPr fontId="3" type="noConversion"/>
  </si>
  <si>
    <t>宁波万年基业文化旅游投资有限公司</t>
    <phoneticPr fontId="3" type="noConversion"/>
  </si>
  <si>
    <t>北仑区春晓镇春晓大道999号（乐享城）7幢802室</t>
  </si>
  <si>
    <t>浙（2018）北仑区不动产权第0017643号</t>
  </si>
  <si>
    <t>北仑区春晓镇春晓大道999号（乐享城）7幢803室</t>
  </si>
  <si>
    <t>浙（2018）北仑区不动产权第0017638号</t>
  </si>
  <si>
    <t>北仑区春晓镇春晓大道999号（乐享城）7幢804室</t>
  </si>
  <si>
    <t>浙（2018）北仑区不动产权第0017750号</t>
  </si>
  <si>
    <t>北仑区春晓镇春晓大道999号（乐享城）7幢805室</t>
  </si>
  <si>
    <t>浙（2018）北仑区不动产权第0017707号</t>
  </si>
  <si>
    <t>北仑区春晓镇春晓大道999号（乐享城）7幢806室</t>
  </si>
  <si>
    <t>浙（2018）北仑区不动产权第0017719号</t>
  </si>
  <si>
    <t>北仑区春晓镇春晓大道999号（乐享城）7幢807室</t>
  </si>
  <si>
    <t>浙（2018）北仑区不动产权第0017731号</t>
  </si>
  <si>
    <t>北仑区春晓镇春晓大道999号（乐享城）7幢808室</t>
  </si>
  <si>
    <t>浙（2018）北仑区不动产权第0017642号</t>
  </si>
  <si>
    <t>北仑区春晓镇春晓大道999号（乐享城）7幢809室</t>
  </si>
  <si>
    <t>浙（2018）北仑区不动产权第0017737号</t>
  </si>
  <si>
    <t>北仑区春晓镇春晓大道999号（乐享城）7幢810室</t>
  </si>
  <si>
    <t>浙（2018）北仑区不动产权第0017691号</t>
  </si>
  <si>
    <t>北仑区春晓镇春晓大道999号（乐享城）7幢811室</t>
  </si>
  <si>
    <t>浙（2018）北仑区不动产权第0017658号</t>
  </si>
  <si>
    <t>北仑区春晓镇春晓大道999号（乐享城）7幢812室</t>
  </si>
  <si>
    <t>浙（2018）北仑区不动产权第0017641号</t>
  </si>
  <si>
    <t>北仑区春晓镇春晓大道999号（乐享城）7幢813室</t>
  </si>
  <si>
    <t>浙（2018）北仑区不动产权第0017715号</t>
  </si>
  <si>
    <t>北仑区春晓镇春晓大道999号（乐享城）7幢814室</t>
    <phoneticPr fontId="3" type="noConversion"/>
  </si>
  <si>
    <t>浙（2018）北仑区不动产权第0017668号</t>
  </si>
  <si>
    <t>北仑区春晓镇春晓大道999号（乐享城）7幢901室</t>
    <phoneticPr fontId="3" type="noConversion"/>
  </si>
  <si>
    <t>浙（2018）北仑区不动产权第0017744号</t>
  </si>
  <si>
    <t>9层</t>
    <phoneticPr fontId="3" type="noConversion"/>
  </si>
  <si>
    <t>北仑区春晓镇春晓大道999号（乐享城）7幢902室</t>
  </si>
  <si>
    <t>浙（2018）北仑区不动产权第0017690号</t>
  </si>
  <si>
    <t>北仑区春晓镇春晓大道999号（乐享城）7幢903室</t>
  </si>
  <si>
    <t>浙（2018）北仑区不动产权第0017717号</t>
  </si>
  <si>
    <t>北仑区春晓镇春晓大道999号（乐享城）7幢904室</t>
  </si>
  <si>
    <t>浙（2018）北仑区不动产权第0017679号</t>
  </si>
  <si>
    <t>北仑区春晓镇春晓大道999号（乐享城）7幢905室</t>
  </si>
  <si>
    <t>浙（2018）北仑区不动产权第0017720号</t>
  </si>
  <si>
    <t>宁波万年基业文化旅游投资有限公司</t>
    <phoneticPr fontId="3" type="noConversion"/>
  </si>
  <si>
    <t>北仑区春晓镇春晓大道999号（乐享城）7幢906室</t>
  </si>
  <si>
    <t>浙（2018）北仑区不动产权第0017736号</t>
  </si>
  <si>
    <t>北仑区春晓镇春晓大道999号（乐享城）7幢907室</t>
  </si>
  <si>
    <t>浙（2018）北仑区不动产权第0017758号</t>
  </si>
  <si>
    <t>宁波万年基业文化旅游投资有限公司</t>
    <phoneticPr fontId="3" type="noConversion"/>
  </si>
  <si>
    <t>北仑区春晓镇春晓大道999号（乐享城）7幢908室</t>
  </si>
  <si>
    <t>浙（2018）北仑区不动产权第0017640号</t>
  </si>
  <si>
    <t>北仑区春晓镇春晓大道999号（乐享城）7幢909室</t>
  </si>
  <si>
    <t>浙（2018）北仑区不动产权第0017697号</t>
  </si>
  <si>
    <t>宁波万年基业文化旅游投资有限公司</t>
    <phoneticPr fontId="3" type="noConversion"/>
  </si>
  <si>
    <t>北仑区春晓镇春晓大道999号（乐享城）7幢910室</t>
  </si>
  <si>
    <t>浙（2018）北仑区不动产权第0017646号</t>
  </si>
  <si>
    <t>北仑区春晓镇春晓大道999号（乐享城）7幢911室</t>
  </si>
  <si>
    <t>浙（2018）北仑区不动产权第0017701号</t>
  </si>
  <si>
    <t>北仑区春晓镇春晓大道999号（乐享城）7幢912室</t>
  </si>
  <si>
    <t>浙（2018）北仑区不动产权第0017662号</t>
  </si>
  <si>
    <t>北仑区春晓镇春晓大道999号（乐享城）7幢913室</t>
  </si>
  <si>
    <t>浙（2018）北仑区不动产权第0017654号</t>
  </si>
  <si>
    <t>——</t>
    <phoneticPr fontId="3" type="noConversion"/>
  </si>
  <si>
    <t xml:space="preserve">2、地上建筑面积86619.97平方米，包括酒店用房53602.37平方米（798套）、商业31128.18平方米（6套）、办公886.85平方米（1套）、公建配套1002.57平方米。  </t>
    <phoneticPr fontId="143" type="noConversion"/>
  </si>
  <si>
    <t>3和7</t>
  </si>
  <si>
    <t>3和7</t>
    <phoneticPr fontId="7" type="noConversion"/>
  </si>
  <si>
    <t>收益法</t>
  </si>
  <si>
    <t>6号公寓楼不动产权证情况</t>
    <phoneticPr fontId="3" type="noConversion"/>
  </si>
  <si>
    <t>北仑区春晓镇春晓大道999号（乐享城）6幢101室</t>
    <phoneticPr fontId="3" type="noConversion"/>
  </si>
  <si>
    <t>浙（2018）北仑区不动产权第0013360号</t>
  </si>
  <si>
    <t xml:space="preserve">10层 </t>
    <phoneticPr fontId="3" type="noConversion"/>
  </si>
  <si>
    <t>1层</t>
    <phoneticPr fontId="3" type="noConversion"/>
  </si>
  <si>
    <t>北仑区春晓镇春晓大道999号（乐享城）6幢102室</t>
  </si>
  <si>
    <t>浙（2018）北仑区不动产权第0013347号</t>
  </si>
  <si>
    <t>北仑区春晓镇春晓大道999号（乐享城）6幢103室</t>
  </si>
  <si>
    <t>浙（2018）北仑区不动产权第0013322号</t>
  </si>
  <si>
    <t>宁波万年基业文化旅游投资有限公司</t>
    <phoneticPr fontId="3" type="noConversion"/>
  </si>
  <si>
    <t>北仑区春晓镇春晓大道999号（乐享城）6幢104室</t>
  </si>
  <si>
    <t>浙（2018）北仑区不动产权第0013372号</t>
  </si>
  <si>
    <t>旅游用地</t>
    <phoneticPr fontId="3" type="noConversion"/>
  </si>
  <si>
    <t>北仑区春晓镇春晓大道999号（乐享城）6幢105室</t>
  </si>
  <si>
    <t>浙（2018）北仑区不动产权第0013333号</t>
  </si>
  <si>
    <t>北仑区春晓镇春晓大道999号（乐享城）6幢106室</t>
  </si>
  <si>
    <t>浙（2018）北仑区不动产权第0013292号</t>
  </si>
  <si>
    <t>北仑区春晓镇春晓大道999号（乐享城）6幢107室</t>
  </si>
  <si>
    <t>浙（2018）北仑区不动产权第0013273号</t>
  </si>
  <si>
    <t>北仑区春晓镇春晓大道999号（乐享城）6幢108室</t>
  </si>
  <si>
    <t>浙（2018）北仑区不动产权第0013329号</t>
  </si>
  <si>
    <t>北仑区春晓镇春晓大道999号（乐享城）6幢109室</t>
  </si>
  <si>
    <t>浙（2018）北仑区不动产权第0013352号</t>
  </si>
  <si>
    <t>北仑区春晓镇春晓大道999号（乐享城）6幢110室</t>
  </si>
  <si>
    <t>浙（2018）北仑区不动产权第0013373号</t>
  </si>
  <si>
    <t>北仑区春晓镇春晓大道999号（乐享城）6幢111室</t>
  </si>
  <si>
    <t>浙（2018）北仑区不动产权第0013336号</t>
  </si>
  <si>
    <t>北仑区春晓镇春晓大道999号（乐享城）6幢112室</t>
    <phoneticPr fontId="3" type="noConversion"/>
  </si>
  <si>
    <t>浙（2018）北仑区不动产权第0013361号</t>
  </si>
  <si>
    <t>北仑区春晓镇春晓大道999号（乐享城）6幢201室</t>
    <phoneticPr fontId="3" type="noConversion"/>
  </si>
  <si>
    <t>浙（2018）北仑区不动产权第0013391号</t>
  </si>
  <si>
    <t>北仑区春晓镇春晓大道999号（乐享城）6幢202室</t>
    <phoneticPr fontId="3" type="noConversion"/>
  </si>
  <si>
    <t>浙（2018）北仑区不动产权第0013390号</t>
  </si>
  <si>
    <t>北仑区春晓镇春晓大道999号（乐享城）6幢203室</t>
  </si>
  <si>
    <t>浙（2018）北仑区不动产权第0013331号</t>
  </si>
  <si>
    <t>北仑区春晓镇春晓大道999号（乐享城）6幢204室</t>
  </si>
  <si>
    <t>浙（2018）北仑区不动产权第0013368号</t>
  </si>
  <si>
    <t>北仑区春晓镇春晓大道999号（乐享城）6幢205室</t>
  </si>
  <si>
    <t>浙（2018）北仑区不动产权第0013341号</t>
  </si>
  <si>
    <t>北仑区春晓镇春晓大道999号（乐享城）6幢206室</t>
  </si>
  <si>
    <t>浙（2018）北仑区不动产权第0013351号</t>
  </si>
  <si>
    <t>北仑区春晓镇春晓大道999号（乐享城）6幢207室</t>
  </si>
  <si>
    <t>浙（2018）北仑区不动产权第0013328号</t>
  </si>
  <si>
    <t>北仑区春晓镇春晓大道999号（乐享城）6幢208室</t>
  </si>
  <si>
    <t>浙（2018）北仑区不动产权第0013387号</t>
  </si>
  <si>
    <t>北仑区春晓镇春晓大道999号（乐享城）6幢209室</t>
  </si>
  <si>
    <t>浙（2018）北仑区不动产权第0013310号</t>
  </si>
  <si>
    <t>北仑区春晓镇春晓大道999号（乐享城）6幢210室</t>
  </si>
  <si>
    <t>浙（2018）北仑区不动产权第0013340号</t>
  </si>
  <si>
    <t>北仑区春晓镇春晓大道999号（乐享城）6幢211室</t>
  </si>
  <si>
    <t>浙（2018）北仑区不动产权第0013378号</t>
  </si>
  <si>
    <t>北仑区春晓镇春晓大道999号（乐享城）6幢212室</t>
  </si>
  <si>
    <t>浙（2018）北仑区不动产权第0013392号</t>
  </si>
  <si>
    <t>北仑区春晓镇春晓大道999号（乐享城）6幢213室</t>
  </si>
  <si>
    <t>浙（2018）北仑区不动产权第0013291号</t>
  </si>
  <si>
    <t>北仑区春晓镇春晓大道999号（乐享城）6幢214室</t>
    <phoneticPr fontId="3" type="noConversion"/>
  </si>
  <si>
    <t>浙（2018）北仑区不动产权第0013293号</t>
  </si>
  <si>
    <t>旅游用地</t>
    <phoneticPr fontId="3" type="noConversion"/>
  </si>
  <si>
    <t>北仑区春晓镇春晓大道999号（乐享城）6幢301室</t>
    <phoneticPr fontId="3" type="noConversion"/>
  </si>
  <si>
    <t>浙（2018）北仑区不动产权第0013338号</t>
  </si>
  <si>
    <t>北仑区春晓镇春晓大道999号（乐享城）6幢302室</t>
    <phoneticPr fontId="3" type="noConversion"/>
  </si>
  <si>
    <t>浙（2018）北仑区不动产权第0013303号</t>
  </si>
  <si>
    <t>北仑区春晓镇春晓大道999号（乐享城）6幢303室</t>
  </si>
  <si>
    <t>浙（2018）北仑区不动产权第0013278号</t>
  </si>
  <si>
    <t>宁波万年基业文化旅游投资有限公司</t>
    <phoneticPr fontId="3" type="noConversion"/>
  </si>
  <si>
    <t>北仑区春晓镇春晓大道999号（乐享城）6幢304室</t>
  </si>
  <si>
    <t>浙（2018）北仑区不动产权第0013286号</t>
  </si>
  <si>
    <t>旅游用地</t>
    <phoneticPr fontId="3" type="noConversion"/>
  </si>
  <si>
    <t>北仑区春晓镇春晓大道999号（乐享城）6幢305室</t>
  </si>
  <si>
    <t>浙（2018）北仑区不动产权第0013377号</t>
  </si>
  <si>
    <t>宁波万年基业文化旅游投资有限公司</t>
    <phoneticPr fontId="3" type="noConversion"/>
  </si>
  <si>
    <t>北仑区春晓镇春晓大道999号（乐享城）6幢306室</t>
  </si>
  <si>
    <t>浙（2018）北仑区不动产权第0013337号</t>
  </si>
  <si>
    <t>旅游用地</t>
    <phoneticPr fontId="3" type="noConversion"/>
  </si>
  <si>
    <t>宁波万年基业文化旅游投资有限公司</t>
    <phoneticPr fontId="3" type="noConversion"/>
  </si>
  <si>
    <t>北仑区春晓镇春晓大道999号（乐享城）6幢307室</t>
  </si>
  <si>
    <t>浙（2018）北仑区不动产权第0013346号</t>
  </si>
  <si>
    <t>旅游用地</t>
    <phoneticPr fontId="3" type="noConversion"/>
  </si>
  <si>
    <t>北仑区春晓镇春晓大道999号（乐享城）6幢308室</t>
  </si>
  <si>
    <t>浙（2018）北仑区不动产权第0013270号</t>
  </si>
  <si>
    <t>宁波万年基业文化旅游投资有限公司</t>
    <phoneticPr fontId="3" type="noConversion"/>
  </si>
  <si>
    <t>北仑区春晓镇春晓大道999号（乐享城）6幢309室</t>
  </si>
  <si>
    <t>浙（2018）北仑区不动产权第0013389号</t>
  </si>
  <si>
    <t>旅游用地</t>
    <phoneticPr fontId="3" type="noConversion"/>
  </si>
  <si>
    <t>北仑区春晓镇春晓大道999号（乐享城）6幢310室</t>
  </si>
  <si>
    <t>浙（2018）北仑区不动产权第0013376号</t>
  </si>
  <si>
    <t>旅游用地</t>
    <phoneticPr fontId="3" type="noConversion"/>
  </si>
  <si>
    <t>北仑区春晓镇春晓大道999号（乐享城）6幢311室</t>
  </si>
  <si>
    <t>浙（2018）北仑区不动产权第0013320号</t>
  </si>
  <si>
    <t>北仑区春晓镇春晓大道999号（乐享城）6幢312室</t>
  </si>
  <si>
    <t>浙（2018）北仑区不动产权第0013305号</t>
  </si>
  <si>
    <t>旅游用地</t>
    <phoneticPr fontId="3" type="noConversion"/>
  </si>
  <si>
    <t>北仑区春晓镇春晓大道999号（乐享城）6幢313室</t>
  </si>
  <si>
    <t>浙（2018）北仑区不动产权第0013370号</t>
  </si>
  <si>
    <t>北仑区春晓镇春晓大道999号（乐享城）6幢314室</t>
    <phoneticPr fontId="3" type="noConversion"/>
  </si>
  <si>
    <t>浙（2018）北仑区不动产权第0013284号</t>
  </si>
  <si>
    <t>北仑区春晓镇春晓大道999号（乐享城）6幢401室</t>
    <phoneticPr fontId="3" type="noConversion"/>
  </si>
  <si>
    <t>浙（2018）北仑区不动产权第0013349号</t>
  </si>
  <si>
    <t>4层</t>
    <phoneticPr fontId="3" type="noConversion"/>
  </si>
  <si>
    <t>北仑区春晓镇春晓大道999号（乐享城）6幢402室</t>
    <phoneticPr fontId="3" type="noConversion"/>
  </si>
  <si>
    <t>浙（2018）北仑区不动产权第0013317号</t>
  </si>
  <si>
    <t>北仑区春晓镇春晓大道999号（乐享城）6幢403室</t>
  </si>
  <si>
    <t>浙（2018）北仑区不动产权第0013285号</t>
  </si>
  <si>
    <t>北仑区春晓镇春晓大道999号（乐享城）6幢404室</t>
  </si>
  <si>
    <t>浙（2018）北仑区不动产权第0013290号</t>
  </si>
  <si>
    <t>北仑区春晓镇春晓大道999号（乐享城）6幢405室</t>
  </si>
  <si>
    <t>浙（2018）北仑区不动产权第0013272号</t>
  </si>
  <si>
    <t>北仑区春晓镇春晓大道999号（乐享城）6幢406室</t>
  </si>
  <si>
    <t>浙（2018）北仑区不动产权第0013275号</t>
  </si>
  <si>
    <t>北仑区春晓镇春晓大道999号（乐享城）6幢407室</t>
  </si>
  <si>
    <t>浙（2018）北仑区不动产权第0013289号</t>
  </si>
  <si>
    <t>北仑区春晓镇春晓大道999号（乐享城）6幢408室</t>
  </si>
  <si>
    <t>浙（2018）北仑区不动产权第0013339号</t>
  </si>
  <si>
    <t>北仑区春晓镇春晓大道999号（乐享城）6幢409室</t>
  </si>
  <si>
    <t>浙（2018）北仑区不动产权第0013301号</t>
  </si>
  <si>
    <t>北仑区春晓镇春晓大道999号（乐享城）6幢410室</t>
  </si>
  <si>
    <t>浙（2018）北仑区不动产权第0013306号</t>
  </si>
  <si>
    <t>宁波万年基业文化旅游投资有限公司</t>
    <phoneticPr fontId="3" type="noConversion"/>
  </si>
  <si>
    <t>北仑区春晓镇春晓大道999号（乐享城）6幢411室</t>
  </si>
  <si>
    <t>浙（2018）北仑区不动产权第0013374号</t>
  </si>
  <si>
    <t>旅游用地</t>
    <phoneticPr fontId="3" type="noConversion"/>
  </si>
  <si>
    <t>北仑区春晓镇春晓大道999号（乐享城）6幢412室</t>
  </si>
  <si>
    <t>浙（2018）北仑区不动产权第0013356号</t>
  </si>
  <si>
    <t>北仑区春晓镇春晓大道999号（乐享城）6幢413室</t>
  </si>
  <si>
    <t>浙（2018）北仑区不动产权第0013277号</t>
  </si>
  <si>
    <t>北仑区春晓镇春晓大道999号（乐享城）6幢414室</t>
    <phoneticPr fontId="3" type="noConversion"/>
  </si>
  <si>
    <t>浙（2018）北仑区不动产权第0013357号</t>
  </si>
  <si>
    <t>北仑区春晓镇春晓大道999号（乐享城）6幢501室</t>
    <phoneticPr fontId="3" type="noConversion"/>
  </si>
  <si>
    <t>浙（2018）北仑区不动产权第0013279号</t>
  </si>
  <si>
    <t>5层</t>
    <phoneticPr fontId="3" type="noConversion"/>
  </si>
  <si>
    <t>北仑区春晓镇春晓大道999号（乐享城）6幢502室</t>
    <phoneticPr fontId="3" type="noConversion"/>
  </si>
  <si>
    <t>浙（2018）北仑区不动产权第0013274号</t>
  </si>
  <si>
    <t>北仑区春晓镇春晓大道999号（乐享城）6幢503室</t>
  </si>
  <si>
    <t>浙（2018）北仑区不动产权第0013312号</t>
  </si>
  <si>
    <t>北仑区春晓镇春晓大道999号（乐享城）6幢504室</t>
  </si>
  <si>
    <t>浙（2018）北仑区不动产权第0013299号</t>
  </si>
  <si>
    <t>旅游用地</t>
    <phoneticPr fontId="3" type="noConversion"/>
  </si>
  <si>
    <t>北仑区春晓镇春晓大道999号（乐享城）6幢505室</t>
  </si>
  <si>
    <t>浙（2018）北仑区不动产权第0013302号</t>
  </si>
  <si>
    <t>北仑区春晓镇春晓大道999号（乐享城）6幢506室</t>
  </si>
  <si>
    <t>浙（2018）北仑区不动产权第0013283号</t>
  </si>
  <si>
    <t>北仑区春晓镇春晓大道999号（乐享城）6幢507室</t>
  </si>
  <si>
    <t>浙（2018）北仑区不动产权第0013308号</t>
  </si>
  <si>
    <t>北仑区春晓镇春晓大道999号（乐享城）6幢508室</t>
  </si>
  <si>
    <t>浙（2018）北仑区不动产权第0013388号</t>
  </si>
  <si>
    <t>旅游用地</t>
    <phoneticPr fontId="3" type="noConversion"/>
  </si>
  <si>
    <t>北仑区春晓镇春晓大道999号（乐享城）6幢509室</t>
  </si>
  <si>
    <t>浙（2018）北仑区不动产权第0013271号</t>
  </si>
  <si>
    <t>北仑区春晓镇春晓大道999号（乐享城）6幢510室</t>
  </si>
  <si>
    <t>浙（2018）北仑区不动产权第0013294号</t>
  </si>
  <si>
    <t>北仑区春晓镇春晓大道999号（乐享城）6幢511室</t>
  </si>
  <si>
    <t>浙（2018）北仑区不动产权第0013288号</t>
  </si>
  <si>
    <t>北仑区春晓镇春晓大道999号（乐享城）6幢512室</t>
  </si>
  <si>
    <t>浙（2018）北仑区不动产权第0013366号</t>
  </si>
  <si>
    <t>宁波万年基业文化旅游投资有限公司</t>
    <phoneticPr fontId="3" type="noConversion"/>
  </si>
  <si>
    <t>北仑区春晓镇春晓大道999号（乐享城）6幢513室</t>
  </si>
  <si>
    <t>浙（2018）北仑区不动产权第0013379号</t>
  </si>
  <si>
    <t>旅游用地</t>
    <phoneticPr fontId="3" type="noConversion"/>
  </si>
  <si>
    <t>北仑区春晓镇春晓大道999号（乐享城）6幢514室</t>
    <phoneticPr fontId="3" type="noConversion"/>
  </si>
  <si>
    <t>浙（2018）北仑区不动产权第0013334号</t>
  </si>
  <si>
    <t>北仑区春晓镇春晓大道999号（乐享城）6幢601室</t>
    <phoneticPr fontId="3" type="noConversion"/>
  </si>
  <si>
    <t>浙（2018）北仑区不动产权第0013335号</t>
  </si>
  <si>
    <t>北仑区春晓镇春晓大道999号（乐享城）6幢602室</t>
    <phoneticPr fontId="3" type="noConversion"/>
  </si>
  <si>
    <t>浙（2018）北仑区不动产权第0013386号</t>
  </si>
  <si>
    <t>北仑区春晓镇春晓大道999号（乐享城）6幢603室</t>
  </si>
  <si>
    <t>浙（2018）北仑区不动产权第0013280号</t>
  </si>
  <si>
    <t>北仑区春晓镇春晓大道999号（乐享城）6幢604室</t>
  </si>
  <si>
    <t>浙（2018）北仑区不动产权第0013369号</t>
  </si>
  <si>
    <t>北仑区春晓镇春晓大道999号（乐享城）6幢605室</t>
  </si>
  <si>
    <t>浙（2018）北仑区不动产权第0013362号</t>
  </si>
  <si>
    <t>宁波万年基业文化旅游投资有限公司</t>
    <phoneticPr fontId="3" type="noConversion"/>
  </si>
  <si>
    <t>北仑区春晓镇春晓大道999号（乐享城）6幢606室</t>
  </si>
  <si>
    <t>浙（2018）北仑区不动产权第0013332号</t>
  </si>
  <si>
    <t>旅游用地</t>
    <phoneticPr fontId="3" type="noConversion"/>
  </si>
  <si>
    <t>北仑区春晓镇春晓大道999号（乐享城）6幢607室</t>
  </si>
  <si>
    <t>浙（2018）北仑区不动产权第0013307号</t>
  </si>
  <si>
    <t>北仑区春晓镇春晓大道999号（乐享城）6幢608室</t>
  </si>
  <si>
    <t>浙（2018）北仑区不动产权第0013345号</t>
  </si>
  <si>
    <t>北仑区春晓镇春晓大道999号（乐享城）6幢609室</t>
  </si>
  <si>
    <t>浙（2018）北仑区不动产权第0013276号</t>
  </si>
  <si>
    <t>旅游用地</t>
    <phoneticPr fontId="3" type="noConversion"/>
  </si>
  <si>
    <t>北仑区春晓镇春晓大道999号（乐享城）6幢610室</t>
  </si>
  <si>
    <t>浙（2018）北仑区不动产权第0013300号</t>
  </si>
  <si>
    <t>北仑区春晓镇春晓大道999号（乐享城）6幢611室</t>
  </si>
  <si>
    <t>浙（2018）北仑区不动产权第0013359号</t>
  </si>
  <si>
    <t>北仑区春晓镇春晓大道999号（乐享城）6幢612室</t>
  </si>
  <si>
    <t>浙（2018）北仑区不动产权第0013304号</t>
  </si>
  <si>
    <t>北仑区春晓镇春晓大道999号（乐享城）6幢613室</t>
  </si>
  <si>
    <t>浙（2018）北仑区不动产权第0013383号</t>
  </si>
  <si>
    <t>北仑区春晓镇春晓大道999号（乐享城）6幢614室</t>
    <phoneticPr fontId="3" type="noConversion"/>
  </si>
  <si>
    <t>浙（2018）北仑区不动产权第0013309号</t>
  </si>
  <si>
    <t>北仑区春晓镇春晓大道999号（乐享城）6幢701室</t>
    <phoneticPr fontId="3" type="noConversion"/>
  </si>
  <si>
    <t>浙（2018）北仑区不动产权第0013350号</t>
  </si>
  <si>
    <t>7层</t>
    <phoneticPr fontId="3" type="noConversion"/>
  </si>
  <si>
    <t>北仑区春晓镇春晓大道999号（乐享城）6幢702室</t>
    <phoneticPr fontId="3" type="noConversion"/>
  </si>
  <si>
    <t>浙（2018）北仑区不动产权第0013319号</t>
  </si>
  <si>
    <t>旅游用地</t>
    <phoneticPr fontId="3" type="noConversion"/>
  </si>
  <si>
    <t>北仑区春晓镇春晓大道999号（乐享城）6幢703室</t>
  </si>
  <si>
    <t>浙（2018）北仑区不动产权第0013330号</t>
  </si>
  <si>
    <t>宁波万年基业文化旅游投资有限公司</t>
    <phoneticPr fontId="3" type="noConversion"/>
  </si>
  <si>
    <t>北仑区春晓镇春晓大道999号（乐享城）6幢704室</t>
  </si>
  <si>
    <t>浙（2018）北仑区不动产权第0013385号</t>
  </si>
  <si>
    <t>旅游用地</t>
    <phoneticPr fontId="3" type="noConversion"/>
  </si>
  <si>
    <t>北仑区春晓镇春晓大道999号（乐享城）6幢705室</t>
  </si>
  <si>
    <t>浙（2018）北仑区不动产权第0013375号</t>
  </si>
  <si>
    <t>北仑区春晓镇春晓大道999号（乐享城）6幢706室</t>
  </si>
  <si>
    <t>浙（2018）北仑区不动产权第0013358号</t>
  </si>
  <si>
    <t>北仑区春晓镇春晓大道999号（乐享城）6幢707室</t>
  </si>
  <si>
    <t>浙（2018）北仑区不动产权第0013353号</t>
  </si>
  <si>
    <t>北仑区春晓镇春晓大道999号（乐享城）6幢708室</t>
  </si>
  <si>
    <t>浙（2018）北仑区不动产权第0013384号</t>
  </si>
  <si>
    <t>北仑区春晓镇春晓大道999号（乐享城）6幢709室</t>
  </si>
  <si>
    <t>浙（2018）北仑区不动产权第0013348号</t>
  </si>
  <si>
    <t>北仑区春晓镇春晓大道999号（乐享城）6幢710室</t>
  </si>
  <si>
    <t>浙（2018）北仑区不动产权第0013318号</t>
  </si>
  <si>
    <t>北仑区春晓镇春晓大道999号（乐享城）6幢711室</t>
  </si>
  <si>
    <t>浙（2018）北仑区不动产权第0013311号</t>
  </si>
  <si>
    <t>北仑区春晓镇春晓大道999号（乐享城）6幢712室</t>
  </si>
  <si>
    <t>浙（2018）北仑区不动产权第0013281号</t>
  </si>
  <si>
    <t>北仑区春晓镇春晓大道999号（乐享城）6幢713室</t>
  </si>
  <si>
    <t>浙（2018）北仑区不动产权第0013321号</t>
  </si>
  <si>
    <t>北仑区春晓镇春晓大道999号（乐享城）6幢714室</t>
    <phoneticPr fontId="3" type="noConversion"/>
  </si>
  <si>
    <t>浙（2018）北仑区不动产权第0013287号</t>
  </si>
  <si>
    <t>北仑区春晓镇春晓大道999号（乐享城）6幢801室</t>
    <phoneticPr fontId="3" type="noConversion"/>
  </si>
  <si>
    <t>浙（2018）北仑区不动产权第0013367号</t>
  </si>
  <si>
    <t>8层</t>
    <phoneticPr fontId="3" type="noConversion"/>
  </si>
  <si>
    <t>北仑区春晓镇春晓大道999号（乐享城）6幢802室</t>
    <phoneticPr fontId="3" type="noConversion"/>
  </si>
  <si>
    <t>浙（2018）北仑区不动产权第0013371号</t>
  </si>
  <si>
    <t>北仑区春晓镇春晓大道999号（乐享城）6幢803室</t>
  </si>
  <si>
    <t>浙（2018）北仑区不动产权第0013282号</t>
  </si>
  <si>
    <t>北仑区春晓镇春晓大道999号（乐享城）6幢804室</t>
  </si>
  <si>
    <t>浙（2018）北仑区不动产权第0013315号</t>
  </si>
  <si>
    <t>旅游用地</t>
    <phoneticPr fontId="3" type="noConversion"/>
  </si>
  <si>
    <t>宁波万年基业文化旅游投资有限公司</t>
    <phoneticPr fontId="3" type="noConversion"/>
  </si>
  <si>
    <t>北仑区春晓镇春晓大道999号（乐享城）6幢805室</t>
  </si>
  <si>
    <t>浙（2018）北仑区不动产权第0013363号</t>
  </si>
  <si>
    <t>旅游用地</t>
    <phoneticPr fontId="3" type="noConversion"/>
  </si>
  <si>
    <t>北仑区春晓镇春晓大道999号（乐享城）6幢806室</t>
  </si>
  <si>
    <t>浙（2018）北仑区不动产权第0013364号</t>
  </si>
  <si>
    <t>北仑区春晓镇春晓大道999号（乐享城）6幢807室</t>
  </si>
  <si>
    <t>浙（2018）北仑区不动产权第0013326号</t>
  </si>
  <si>
    <t>北仑区春晓镇春晓大道999号（乐享城）6幢808室</t>
  </si>
  <si>
    <t>浙（2018）北仑区不动产权第0013344号</t>
  </si>
  <si>
    <t>北仑区春晓镇春晓大道999号（乐享城）6幢809室</t>
  </si>
  <si>
    <t>浙（2018）北仑区不动产权第0013314号</t>
  </si>
  <si>
    <t>北仑区春晓镇春晓大道999号（乐享城）6幢810室</t>
  </si>
  <si>
    <t>浙（2018）北仑区不动产权第0013316号</t>
  </si>
  <si>
    <t>北仑区春晓镇春晓大道999号（乐享城）6幢811室</t>
  </si>
  <si>
    <t>浙（2018）北仑区不动产权第0013343号</t>
  </si>
  <si>
    <t>宁波万年基业文化旅游投资有限公司</t>
    <phoneticPr fontId="3" type="noConversion"/>
  </si>
  <si>
    <t>北仑区春晓镇春晓大道999号（乐享城）6幢812室</t>
  </si>
  <si>
    <t>浙（2018）北仑区不动产权第0013324号</t>
  </si>
  <si>
    <t>旅游用地</t>
    <phoneticPr fontId="3" type="noConversion"/>
  </si>
  <si>
    <t>北仑区春晓镇春晓大道999号（乐享城）6幢813室</t>
  </si>
  <si>
    <t>浙（2018）北仑区不动产权第0013380号</t>
  </si>
  <si>
    <t>北仑区春晓镇春晓大道999号（乐享城）6幢814室</t>
    <phoneticPr fontId="3" type="noConversion"/>
  </si>
  <si>
    <t>浙（2018）北仑区不动产权第0013327号</t>
  </si>
  <si>
    <t>北仑区春晓镇春晓大道999号（乐享城）6幢901室</t>
    <phoneticPr fontId="3" type="noConversion"/>
  </si>
  <si>
    <t>浙（2018）北仑区不动产权第0013365号</t>
  </si>
  <si>
    <t>9层</t>
    <phoneticPr fontId="3" type="noConversion"/>
  </si>
  <si>
    <t>宁波万年基业文化旅游投资有限公司</t>
    <phoneticPr fontId="3" type="noConversion"/>
  </si>
  <si>
    <t>北仑区春晓镇春晓大道999号（乐享城）6幢902室</t>
    <phoneticPr fontId="3" type="noConversion"/>
  </si>
  <si>
    <t>浙（2018）北仑区不动产权第0013297号</t>
  </si>
  <si>
    <t>旅游用地</t>
    <phoneticPr fontId="3" type="noConversion"/>
  </si>
  <si>
    <t>北仑区春晓镇春晓大道999号（乐享城）6幢903室</t>
  </si>
  <si>
    <t>浙（2018）北仑区不动产权第0013298号</t>
  </si>
  <si>
    <t>北仑区春晓镇春晓大道999号（乐享城）6幢904室</t>
  </si>
  <si>
    <t>浙（2018）北仑区不动产权第0013355号</t>
  </si>
  <si>
    <t>北仑区春晓镇春晓大道999号（乐享城）6幢905室</t>
  </si>
  <si>
    <t>浙（2018）北仑区不动产权第0013325号</t>
  </si>
  <si>
    <t>北仑区春晓镇春晓大道999号（乐享城）6幢906室</t>
  </si>
  <si>
    <t>浙（2018）北仑区不动产权第0013342号</t>
  </si>
  <si>
    <t>旅游用地</t>
    <phoneticPr fontId="3" type="noConversion"/>
  </si>
  <si>
    <t>北仑区春晓镇春晓大道999号（乐享城）6幢907室</t>
  </si>
  <si>
    <t>浙（2018）北仑区不动产权第0013296号</t>
  </si>
  <si>
    <t>北仑区春晓镇春晓大道999号（乐享城）6幢908室</t>
  </si>
  <si>
    <t>浙（2018）北仑区不动产权第0013323号</t>
  </si>
  <si>
    <t>北仑区春晓镇春晓大道999号（乐享城）6幢909室</t>
  </si>
  <si>
    <t>浙（2018）北仑区不动产权第0013381号</t>
  </si>
  <si>
    <t>北仑区春晓镇春晓大道999号（乐享城）6幢910室</t>
  </si>
  <si>
    <t>浙（2018）北仑区不动产权第0013382号</t>
  </si>
  <si>
    <t>北仑区春晓镇春晓大道999号（乐享城）6幢911室</t>
  </si>
  <si>
    <t>浙（2018）北仑区不动产权第0013313号</t>
  </si>
  <si>
    <t>北仑区春晓镇春晓大道999号（乐享城）6幢912室</t>
  </si>
  <si>
    <t>浙（2018）北仑区不动产权第0013354号</t>
  </si>
  <si>
    <t>北仑区春晓镇春晓大道999号（乐享城）6幢913室</t>
  </si>
  <si>
    <t>浙（2018）北仑区不动产权第0013295号</t>
  </si>
  <si>
    <t>未包含在土地购买价格中</t>
  </si>
  <si>
    <t>估价方法</t>
  </si>
  <si>
    <t>全部缴纳</t>
  </si>
  <si>
    <t>单价</t>
    <phoneticPr fontId="143" type="noConversion"/>
  </si>
  <si>
    <t>总价</t>
    <phoneticPr fontId="143" type="noConversion"/>
  </si>
  <si>
    <t>单价</t>
    <phoneticPr fontId="143" type="noConversion"/>
  </si>
  <si>
    <t>总值</t>
    <phoneticPr fontId="143" type="noConversion"/>
  </si>
  <si>
    <t>地价</t>
    <phoneticPr fontId="7" type="noConversion"/>
  </si>
  <si>
    <t>楼面地价</t>
    <phoneticPr fontId="7" type="noConversion"/>
  </si>
  <si>
    <t>楼面价</t>
    <phoneticPr fontId="7" type="noConversion"/>
  </si>
  <si>
    <t>建安</t>
    <phoneticPr fontId="7" type="noConversion"/>
  </si>
  <si>
    <t>套数</t>
    <phoneticPr fontId="143" type="noConversion"/>
  </si>
  <si>
    <t>土地</t>
    <phoneticPr fontId="143" type="noConversion"/>
  </si>
  <si>
    <t>总值</t>
    <phoneticPr fontId="143" type="noConversion"/>
  </si>
  <si>
    <t>总值（万元</t>
    <phoneticPr fontId="143" type="noConversion"/>
  </si>
  <si>
    <t>建面</t>
    <phoneticPr fontId="143" type="noConversion"/>
  </si>
  <si>
    <t>单价</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</si>
</sst>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000000"/>
      <name val="楷体_GB2312"/>
      <family val="3"/>
      <charset val="134"/>
    </font>
    <font>
      <b/>
      <sz val="10"/>
      <color rgb="FF000000"/>
      <name val="楷体_GB2312"/>
      <family val="3"/>
      <charset val="134"/>
    </font>
    <font>
      <b/>
      <sz val="10"/>
      <color rgb="FF000000"/>
      <name val="Arial"/>
      <family val="2"/>
    </font>
    <font>
      <sz val="9"/>
      <name val="等线"/>
      <charset val="134"/>
    </font>
    <font>
      <sz val="10"/>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37" fillId="0" borderId="0">
      <alignment vertical="center"/>
    </xf>
  </cellStyleXfs>
  <cellXfs count="338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5" borderId="2"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179" fontId="51" fillId="6" borderId="0" xfId="0" applyNumberFormat="1" applyFont="1" applyFill="1" applyBorder="1" applyAlignment="1" applyProtection="1">
      <alignment horizontal="left" vertical="center" wrapText="1"/>
    </xf>
    <xf numFmtId="176" fontId="50" fillId="6" borderId="54" xfId="0" applyNumberFormat="1" applyFont="1" applyFill="1" applyBorder="1" applyAlignment="1" applyProtection="1">
      <alignment horizontal="left" vertical="center" wrapText="1"/>
    </xf>
    <xf numFmtId="0" fontId="50" fillId="6" borderId="58"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0" xfId="0" applyFont="1" applyFill="1" applyAlignment="1" applyProtection="1">
      <alignment horizontal="left" vertical="center" wrapText="1"/>
    </xf>
    <xf numFmtId="0" fontId="50" fillId="0" borderId="2" xfId="0" applyFont="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xf>
    <xf numFmtId="0" fontId="51" fillId="0" borderId="0" xfId="0" applyFont="1" applyAlignment="1" applyProtection="1">
      <alignment horizontal="left" vertical="center"/>
    </xf>
    <xf numFmtId="0" fontId="50" fillId="0" borderId="0" xfId="0" applyFont="1" applyAlignment="1" applyProtection="1">
      <alignment horizontal="left" vertical="center" wrapText="1"/>
    </xf>
    <xf numFmtId="177" fontId="80" fillId="0" borderId="1" xfId="1" applyNumberFormat="1" applyFont="1" applyFill="1" applyBorder="1" applyAlignment="1" applyProtection="1">
      <alignment vertical="center"/>
      <protection locked="0" hidden="1"/>
    </xf>
    <xf numFmtId="0" fontId="99" fillId="0" borderId="0" xfId="10" applyAlignment="1">
      <alignment horizontal="center" vertical="center" wrapText="1"/>
    </xf>
    <xf numFmtId="0" fontId="99" fillId="0" borderId="0" xfId="10" applyFont="1" applyAlignment="1">
      <alignment horizontal="center" vertical="center" wrapText="1"/>
    </xf>
    <xf numFmtId="0" fontId="99" fillId="0" borderId="0" xfId="10" applyFill="1" applyAlignment="1">
      <alignment horizontal="center" vertical="center" wrapText="1"/>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9" fillId="17" borderId="0" xfId="10" applyFill="1" applyAlignment="1">
      <alignment horizontal="center" vertical="center" wrapText="1"/>
    </xf>
    <xf numFmtId="0" fontId="98" fillId="0" borderId="44" xfId="0" applyNumberFormat="1"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99" fillId="0" borderId="0" xfId="10" applyNumberFormat="1">
      <alignment vertical="center"/>
    </xf>
    <xf numFmtId="0" fontId="99" fillId="0" borderId="0" xfId="10">
      <alignment vertical="center"/>
    </xf>
    <xf numFmtId="0" fontId="99" fillId="0" borderId="1" xfId="10" applyNumberFormat="1" applyBorder="1" applyAlignment="1">
      <alignment horizontal="center" vertical="center" wrapText="1"/>
    </xf>
    <xf numFmtId="0" fontId="99" fillId="0" borderId="1" xfId="10" applyNumberFormat="1" applyFont="1" applyBorder="1" applyAlignment="1">
      <alignment horizontal="center" vertical="center" wrapText="1"/>
    </xf>
    <xf numFmtId="0" fontId="99" fillId="0" borderId="1" xfId="10" applyNumberFormat="1" applyFont="1" applyFill="1" applyBorder="1" applyAlignment="1">
      <alignment horizontal="center" vertical="center" wrapText="1"/>
    </xf>
    <xf numFmtId="0" fontId="99" fillId="0" borderId="0" xfId="10" applyFont="1">
      <alignment vertical="center"/>
    </xf>
    <xf numFmtId="0" fontId="99" fillId="0" borderId="1" xfId="10" applyNumberFormat="1" applyBorder="1" applyAlignment="1">
      <alignment vertical="center" wrapText="1"/>
    </xf>
    <xf numFmtId="0" fontId="99" fillId="0" borderId="0" xfId="10" applyNumberFormat="1" applyFont="1" applyFill="1" applyBorder="1" applyAlignment="1">
      <alignment horizontal="center" vertical="center" wrapText="1"/>
    </xf>
    <xf numFmtId="0" fontId="99" fillId="0" borderId="0" xfId="10" applyNumberFormat="1" applyBorder="1" applyAlignment="1">
      <alignment vertical="center" wrapText="1"/>
    </xf>
    <xf numFmtId="179" fontId="99" fillId="0" borderId="0" xfId="10" applyNumberFormat="1">
      <alignment vertical="center"/>
    </xf>
    <xf numFmtId="0" fontId="99" fillId="0" borderId="1" xfId="10" applyBorder="1">
      <alignment vertical="center"/>
    </xf>
    <xf numFmtId="0" fontId="99" fillId="0" borderId="1" xfId="10" applyFont="1" applyBorder="1">
      <alignment vertical="center"/>
    </xf>
    <xf numFmtId="0" fontId="99" fillId="0" borderId="1" xfId="10" applyFont="1" applyBorder="1" applyAlignment="1">
      <alignment horizontal="center" vertical="center"/>
    </xf>
    <xf numFmtId="14" fontId="99" fillId="0" borderId="1" xfId="10" applyNumberFormat="1" applyBorder="1" applyAlignment="1">
      <alignment horizontal="center" vertical="center"/>
    </xf>
    <xf numFmtId="0" fontId="99" fillId="0" borderId="1" xfId="10" applyBorder="1" applyAlignment="1">
      <alignment horizontal="center" vertical="center"/>
    </xf>
    <xf numFmtId="0" fontId="254" fillId="0" borderId="43" xfId="0" applyFont="1" applyBorder="1" applyAlignment="1">
      <alignment horizontal="center" vertical="center"/>
    </xf>
    <xf numFmtId="0" fontId="175" fillId="0" borderId="81" xfId="0" applyFont="1" applyBorder="1" applyAlignment="1">
      <alignment horizontal="center" vertical="center" wrapText="1"/>
    </xf>
    <xf numFmtId="0" fontId="254" fillId="0" borderId="43" xfId="0" applyFont="1" applyBorder="1" applyAlignment="1">
      <alignment horizontal="center" vertical="center" wrapText="1"/>
    </xf>
    <xf numFmtId="0" fontId="175" fillId="0" borderId="43" xfId="0" applyFont="1" applyBorder="1" applyAlignment="1">
      <alignment horizontal="center" vertical="center"/>
    </xf>
    <xf numFmtId="0" fontId="256" fillId="0" borderId="43" xfId="0" applyFont="1" applyBorder="1" applyAlignment="1">
      <alignment horizontal="center" vertical="center"/>
    </xf>
    <xf numFmtId="0" fontId="255" fillId="0" borderId="43" xfId="0" applyFont="1" applyBorder="1" applyAlignment="1">
      <alignment horizontal="center" vertical="center" wrapText="1"/>
    </xf>
    <xf numFmtId="0" fontId="255" fillId="0" borderId="82" xfId="0" applyFont="1" applyBorder="1" applyAlignment="1">
      <alignment horizontal="center" vertical="center" wrapText="1"/>
    </xf>
    <xf numFmtId="0" fontId="99" fillId="0" borderId="0" xfId="10" applyFont="1" applyAlignment="1">
      <alignment horizontal="center" vertical="center"/>
    </xf>
    <xf numFmtId="0" fontId="99" fillId="5" borderId="1" xfId="10" applyNumberFormat="1" applyFont="1" applyFill="1" applyBorder="1" applyAlignment="1">
      <alignment horizontal="center" vertical="center" wrapText="1"/>
    </xf>
    <xf numFmtId="0" fontId="99" fillId="0" borderId="0" xfId="0" applyFont="1">
      <alignment vertical="center"/>
    </xf>
    <xf numFmtId="0" fontId="19" fillId="0" borderId="0" xfId="0" applyFont="1" applyFill="1" applyAlignment="1">
      <alignment vertical="center" wrapText="1"/>
    </xf>
    <xf numFmtId="0" fontId="113"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258"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79" fontId="19" fillId="0" borderId="1" xfId="0" applyNumberFormat="1" applyFont="1" applyFill="1" applyBorder="1" applyAlignment="1" applyProtection="1">
      <alignment horizontal="center" vertical="center" wrapText="1"/>
    </xf>
    <xf numFmtId="14"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0" fontId="258" fillId="0" borderId="0" xfId="0" applyFont="1" applyFill="1" applyAlignment="1">
      <alignment vertical="center" wrapText="1"/>
    </xf>
    <xf numFmtId="179" fontId="19" fillId="0" borderId="0" xfId="0" applyNumberFormat="1" applyFont="1" applyFill="1" applyAlignment="1">
      <alignment vertical="center" wrapText="1"/>
    </xf>
    <xf numFmtId="0" fontId="113" fillId="0" borderId="1" xfId="0" applyFont="1" applyFill="1" applyBorder="1" applyAlignment="1">
      <alignment horizontal="center" vertical="center"/>
    </xf>
    <xf numFmtId="0" fontId="113" fillId="0" borderId="1" xfId="0" applyFont="1" applyFill="1" applyBorder="1" applyAlignment="1" applyProtection="1">
      <alignment horizontal="center" vertical="center"/>
    </xf>
    <xf numFmtId="179" fontId="113" fillId="0" borderId="1" xfId="0" applyNumberFormat="1" applyFont="1" applyFill="1" applyBorder="1" applyAlignment="1" applyProtection="1">
      <alignment horizontal="center" vertical="center"/>
    </xf>
    <xf numFmtId="176" fontId="113" fillId="0" borderId="1" xfId="0" applyNumberFormat="1" applyFont="1" applyFill="1" applyBorder="1" applyAlignment="1" applyProtection="1">
      <alignment horizontal="center" vertical="center"/>
    </xf>
    <xf numFmtId="176" fontId="113" fillId="0" borderId="1" xfId="0" applyNumberFormat="1" applyFont="1" applyFill="1" applyBorder="1" applyAlignment="1">
      <alignment horizontal="center" vertical="center"/>
    </xf>
    <xf numFmtId="179" fontId="113" fillId="0" borderId="1" xfId="0" applyNumberFormat="1" applyFont="1" applyFill="1" applyBorder="1" applyAlignment="1">
      <alignment horizontal="center" vertical="center"/>
    </xf>
    <xf numFmtId="0" fontId="99" fillId="0" borderId="0" xfId="10" applyAlignment="1">
      <alignment horizontal="center" vertical="center"/>
    </xf>
    <xf numFmtId="0" fontId="99" fillId="0" borderId="1" xfId="10" applyNumberFormat="1" applyFill="1" applyBorder="1" applyAlignment="1">
      <alignment horizontal="center" vertical="center" wrapText="1"/>
    </xf>
    <xf numFmtId="2" fontId="99" fillId="0" borderId="1" xfId="10" applyNumberFormat="1" applyFill="1" applyBorder="1" applyAlignment="1">
      <alignment horizontal="center" vertical="center" wrapText="1"/>
    </xf>
    <xf numFmtId="0" fontId="113" fillId="0" borderId="1" xfId="0" applyFont="1" applyFill="1" applyBorder="1" applyAlignment="1" applyProtection="1">
      <alignment horizontal="center" vertical="center" wrapText="1"/>
    </xf>
    <xf numFmtId="0" fontId="19" fillId="0" borderId="1" xfId="0" applyFont="1" applyFill="1" applyBorder="1" applyAlignment="1">
      <alignment vertical="center" wrapText="1"/>
    </xf>
    <xf numFmtId="179" fontId="113" fillId="0" borderId="1" xfId="0" applyNumberFormat="1" applyFont="1" applyFill="1" applyBorder="1" applyAlignment="1" applyProtection="1">
      <alignment horizontal="center" vertical="center" wrapText="1"/>
    </xf>
    <xf numFmtId="176" fontId="113" fillId="0" borderId="1" xfId="0" applyNumberFormat="1" applyFont="1" applyFill="1" applyBorder="1" applyAlignment="1" applyProtection="1">
      <alignment horizontal="center" vertical="center" wrapText="1"/>
    </xf>
    <xf numFmtId="176" fontId="113" fillId="0" borderId="1" xfId="0" applyNumberFormat="1" applyFont="1" applyFill="1" applyBorder="1" applyAlignment="1">
      <alignment horizontal="center" vertical="center" wrapText="1"/>
    </xf>
    <xf numFmtId="176" fontId="19" fillId="0" borderId="0" xfId="0" applyNumberFormat="1" applyFont="1" applyFill="1" applyAlignment="1">
      <alignment vertical="center" wrapText="1"/>
    </xf>
    <xf numFmtId="0" fontId="19" fillId="0" borderId="15" xfId="0" applyFont="1" applyFill="1" applyBorder="1" applyAlignment="1">
      <alignment horizontal="center" vertical="center" wrapText="1"/>
    </xf>
    <xf numFmtId="0" fontId="57" fillId="0" borderId="24" xfId="1" applyFont="1" applyFill="1" applyBorder="1" applyAlignment="1" applyProtection="1">
      <alignment horizontal="left" vertical="center"/>
      <protection locked="0"/>
    </xf>
    <xf numFmtId="0" fontId="99" fillId="0" borderId="0" xfId="10" applyFill="1">
      <alignment vertical="center"/>
    </xf>
    <xf numFmtId="0" fontId="254" fillId="0" borderId="56" xfId="0" applyFont="1" applyFill="1" applyBorder="1" applyAlignment="1">
      <alignment horizontal="center" vertical="center"/>
    </xf>
    <xf numFmtId="0" fontId="99" fillId="0" borderId="1" xfId="10" applyFill="1" applyBorder="1" applyAlignment="1">
      <alignment horizontal="center" vertical="center"/>
    </xf>
    <xf numFmtId="0" fontId="137" fillId="0" borderId="0" xfId="0" applyFo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1" xfId="10" applyFont="1" applyBorder="1" applyAlignment="1">
      <alignment horizontal="center" vertical="center"/>
    </xf>
    <xf numFmtId="0" fontId="99" fillId="0" borderId="1" xfId="10" applyBorder="1" applyAlignment="1">
      <alignment horizontal="center" vertical="center"/>
    </xf>
    <xf numFmtId="0" fontId="99" fillId="0" borderId="13" xfId="10" applyNumberFormat="1" applyBorder="1" applyAlignment="1">
      <alignment horizontal="center" vertical="center" wrapText="1"/>
    </xf>
    <xf numFmtId="0" fontId="99" fillId="0" borderId="15" xfId="10" applyNumberFormat="1" applyBorder="1" applyAlignment="1">
      <alignment horizontal="center" vertical="center" wrapText="1"/>
    </xf>
    <xf numFmtId="0" fontId="99" fillId="0" borderId="2" xfId="10" applyNumberFormat="1" applyBorder="1" applyAlignment="1">
      <alignment horizontal="center" vertical="center" wrapText="1"/>
    </xf>
    <xf numFmtId="0" fontId="99" fillId="0" borderId="0" xfId="10" applyFont="1" applyAlignment="1">
      <alignment horizontal="center" vertical="center"/>
    </xf>
    <xf numFmtId="49" fontId="19" fillId="0" borderId="156" xfId="10" applyNumberFormat="1" applyFont="1" applyFill="1" applyBorder="1" applyAlignment="1">
      <alignment horizontal="left" vertical="center" wrapText="1"/>
    </xf>
    <xf numFmtId="49" fontId="19" fillId="0" borderId="157" xfId="10" applyNumberFormat="1" applyFont="1" applyFill="1" applyBorder="1" applyAlignment="1">
      <alignment horizontal="left" vertical="center" wrapText="1"/>
    </xf>
    <xf numFmtId="49" fontId="19" fillId="0" borderId="158" xfId="10" applyNumberFormat="1" applyFont="1" applyFill="1" applyBorder="1" applyAlignment="1">
      <alignment horizontal="left" vertical="center" wrapText="1"/>
    </xf>
    <xf numFmtId="49" fontId="19" fillId="0" borderId="159" xfId="10" applyNumberFormat="1" applyFont="1" applyFill="1" applyBorder="1" applyAlignment="1">
      <alignment horizontal="left" vertical="center" wrapText="1"/>
    </xf>
    <xf numFmtId="49" fontId="19" fillId="0" borderId="160" xfId="10" applyNumberFormat="1" applyFont="1" applyFill="1" applyBorder="1" applyAlignment="1">
      <alignment horizontal="left" vertical="center" wrapText="1"/>
    </xf>
    <xf numFmtId="49" fontId="19" fillId="0" borderId="161" xfId="10" applyNumberFormat="1" applyFont="1" applyFill="1" applyBorder="1" applyAlignment="1">
      <alignment horizontal="left"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1" fillId="6" borderId="1" xfId="0" applyFont="1" applyFill="1" applyBorder="1" applyAlignment="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82" fontId="99" fillId="0" borderId="0" xfId="10" applyNumberFormat="1" applyAlignment="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27" xfId="0" applyFont="1" applyBorder="1" applyAlignment="1">
      <alignment horizontal="center" vertical="center"/>
    </xf>
    <xf numFmtId="0" fontId="254" fillId="0" borderId="81" xfId="0" applyFont="1" applyBorder="1" applyAlignment="1">
      <alignment horizontal="center" vertical="center"/>
    </xf>
    <xf numFmtId="0" fontId="254" fillId="0" borderId="63" xfId="0" applyFont="1" applyBorder="1" applyAlignment="1">
      <alignment horizontal="center" vertical="center"/>
    </xf>
    <xf numFmtId="0" fontId="254" fillId="0" borderId="64" xfId="0" applyFont="1" applyBorder="1" applyAlignment="1">
      <alignment horizontal="center" vertical="center"/>
    </xf>
    <xf numFmtId="0" fontId="254" fillId="0" borderId="65" xfId="0" applyFont="1" applyBorder="1" applyAlignment="1">
      <alignment horizontal="center" vertical="center"/>
    </xf>
    <xf numFmtId="0" fontId="254" fillId="0" borderId="27" xfId="0" applyFont="1" applyBorder="1" applyAlignment="1">
      <alignment horizontal="center" vertical="center" wrapText="1"/>
    </xf>
    <xf numFmtId="0" fontId="254" fillId="0" borderId="81" xfId="0" applyFont="1" applyBorder="1" applyAlignment="1">
      <alignment horizontal="center" vertical="center" wrapText="1"/>
    </xf>
    <xf numFmtId="0" fontId="144"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right" vertical="center" wrapText="1"/>
    </xf>
    <xf numFmtId="0" fontId="113"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113" fillId="0" borderId="1" xfId="0" applyFont="1" applyFill="1" applyBorder="1" applyAlignment="1">
      <alignment horizontal="center" vertical="center"/>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19.5/&#19975;&#24180;&#22522;&#19994;/P01&#26032;/&#32467;&#26524;/&#23425;&#27874;&#39033;&#30446;18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05;&#30340;&#25991;&#26723;/Downloads/&#23545;&#20844;&#20107;&#19994;&#37096;&#8212;&#30005;&#31639;&#34920;-&#25151;&#22320;&#20135;-&#39033;&#30446;-6&#21495;&#27004;-&#36793;&#36828;20190520-1408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6&#21495;&#27004;-&#36793;&#36828;20190520-140856-&#36793;&#36828;20190520-144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面积表"/>
      <sheetName val="3号楼"/>
      <sheetName val="6号楼"/>
      <sheetName val="7号楼"/>
      <sheetName val="地下车位"/>
      <sheetName val="抵押物清单（分楼）"/>
      <sheetName val="数据-汇总表"/>
      <sheetName val="数据-取费表"/>
      <sheetName val="估价对象房地状况"/>
      <sheetName val="系统读取表"/>
      <sheetName val="结果表（公寓）"/>
      <sheetName val="成本法"/>
      <sheetName val="成本法 (元)"/>
      <sheetName val="假设开发法"/>
      <sheetName val="收益法（汇总）"/>
      <sheetName val="酒店收入计算"/>
      <sheetName val="比较法-住宅"/>
      <sheetName val="比较法-商业"/>
      <sheetName val="比较法-办公"/>
      <sheetName val="比较法-工业"/>
      <sheetName val="比较法-仓储"/>
      <sheetName val="土地比较法-住宅、综合"/>
      <sheetName val="土地案例"/>
      <sheetName val="收益法"/>
      <sheetName val="结果表 (车位)"/>
      <sheetName val="土地比较法-工业"/>
      <sheetName val="基准地价修正"/>
      <sheetName val="修正"/>
      <sheetName val="容积率修正"/>
      <sheetName val="基准地价（汇总）"/>
      <sheetName val="地价"/>
      <sheetName val="比较法-车位"/>
      <sheetName val="收益法 (车位)"/>
      <sheetName val="收益法11 "/>
      <sheetName val="典型户型修正"/>
      <sheetName val="Sheet2"/>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17">
          <cell r="A17"/>
        </row>
        <row r="18">
          <cell r="A18"/>
        </row>
        <row r="19">
          <cell r="A19"/>
        </row>
        <row r="20">
          <cell r="A20"/>
        </row>
        <row r="21">
          <cell r="A21"/>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cell r="I8" t="str">
            <v>0-10（含）</v>
          </cell>
        </row>
        <row r="9">
          <cell r="A9" t="str">
            <v>联排</v>
          </cell>
          <cell r="B9" t="str">
            <v>比较法-商业</v>
          </cell>
          <cell r="C9" t="str">
            <v>八级</v>
          </cell>
          <cell r="F9" t="str">
            <v>仓储</v>
          </cell>
          <cell r="H9"/>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收益法 (车位)</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sheetData sheetId="15"/>
      <sheetData sheetId="16"/>
      <sheetData sheetId="17"/>
      <sheetData sheetId="18">
        <row r="17">
          <cell r="C17" t="str">
            <v>项目类型</v>
          </cell>
        </row>
        <row r="18">
          <cell r="C18"/>
        </row>
        <row r="19">
          <cell r="C19" t="str">
            <v>公寓用房</v>
          </cell>
        </row>
        <row r="20">
          <cell r="C20" t="str">
            <v>地下车库</v>
          </cell>
        </row>
        <row r="21">
          <cell r="C21"/>
        </row>
        <row r="22">
          <cell r="C22"/>
        </row>
        <row r="23">
          <cell r="C23"/>
        </row>
        <row r="24">
          <cell r="C24"/>
        </row>
        <row r="25">
          <cell r="C25"/>
        </row>
        <row r="26">
          <cell r="C26"/>
        </row>
      </sheetData>
      <sheetData sheetId="19">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20"/>
      <sheetData sheetId="21">
        <row r="5">
          <cell r="B5">
            <v>28339</v>
          </cell>
        </row>
      </sheetData>
      <sheetData sheetId="22"/>
      <sheetData sheetId="23"/>
      <sheetData sheetId="24"/>
      <sheetData sheetId="25"/>
      <sheetData sheetId="26"/>
      <sheetData sheetId="27"/>
      <sheetData sheetId="28">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29">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0">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1">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2">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3">
        <row r="73">
          <cell r="A73" t="str">
            <v>交易情况</v>
          </cell>
          <cell r="B73"/>
          <cell r="C73" t="str">
            <v>正常</v>
          </cell>
          <cell r="D73"/>
          <cell r="E73"/>
          <cell r="F73"/>
          <cell r="G73"/>
          <cell r="H73"/>
          <cell r="I73"/>
          <cell r="J73"/>
          <cell r="K73"/>
          <cell r="L73"/>
          <cell r="M73"/>
        </row>
        <row r="75">
          <cell r="B75" t="str">
            <v>用途</v>
          </cell>
          <cell r="C75" t="str">
            <v>商业、办公</v>
          </cell>
          <cell r="D75" t="str">
            <v>旅游</v>
          </cell>
          <cell r="E75"/>
          <cell r="F75"/>
          <cell r="G75"/>
          <cell r="H75"/>
          <cell r="I75"/>
          <cell r="J75"/>
          <cell r="K75"/>
          <cell r="L75"/>
          <cell r="M75"/>
        </row>
        <row r="106">
          <cell r="B106" t="str">
            <v>毗邻道路的类型与等级</v>
          </cell>
          <cell r="C106" t="str">
            <v>快速</v>
          </cell>
          <cell r="D106" t="str">
            <v>主干道</v>
          </cell>
          <cell r="E106" t="str">
            <v>次干道</v>
          </cell>
          <cell r="F106" t="str">
            <v>支路</v>
          </cell>
          <cell r="G106"/>
          <cell r="H106"/>
          <cell r="I106"/>
          <cell r="J106"/>
          <cell r="K106"/>
          <cell r="L106"/>
          <cell r="M106"/>
        </row>
        <row r="108">
          <cell r="B108" t="str">
            <v>土地级别</v>
          </cell>
          <cell r="C108"/>
          <cell r="D108"/>
          <cell r="E108"/>
          <cell r="F108"/>
          <cell r="G108"/>
          <cell r="H108"/>
          <cell r="I108"/>
          <cell r="J108"/>
          <cell r="K108"/>
          <cell r="L108"/>
          <cell r="M108"/>
        </row>
        <row r="119">
          <cell r="B119" t="str">
            <v>宗地形状</v>
          </cell>
          <cell r="C119" t="str">
            <v>规则</v>
          </cell>
          <cell r="D119" t="str">
            <v>较规则</v>
          </cell>
          <cell r="E119" t="str">
            <v>较不规则</v>
          </cell>
          <cell r="F119" t="str">
            <v>不规则</v>
          </cell>
          <cell r="G119"/>
          <cell r="H119"/>
          <cell r="I119"/>
          <cell r="J119"/>
          <cell r="K119"/>
          <cell r="L119"/>
          <cell r="M119"/>
        </row>
        <row r="121">
          <cell r="B121" t="str">
            <v>临街宽度及深度</v>
          </cell>
          <cell r="C121"/>
          <cell r="D121"/>
          <cell r="E121"/>
          <cell r="F121"/>
          <cell r="G121"/>
          <cell r="H121"/>
          <cell r="I121"/>
          <cell r="J121"/>
          <cell r="K121"/>
          <cell r="L121"/>
          <cell r="M121"/>
        </row>
        <row r="123">
          <cell r="B123" t="str">
            <v>宗地开发程度</v>
          </cell>
          <cell r="C123" t="str">
            <v>六通</v>
          </cell>
          <cell r="D123" t="str">
            <v>五通</v>
          </cell>
          <cell r="E123" t="str">
            <v>四通</v>
          </cell>
          <cell r="F123" t="str">
            <v>三通</v>
          </cell>
          <cell r="G123"/>
          <cell r="H123"/>
          <cell r="I123"/>
          <cell r="J123"/>
          <cell r="K123"/>
          <cell r="L123"/>
          <cell r="M123"/>
        </row>
        <row r="125">
          <cell r="B125" t="str">
            <v>工程地质条件</v>
          </cell>
          <cell r="C125" t="str">
            <v>良好</v>
          </cell>
          <cell r="D125" t="str">
            <v>一般</v>
          </cell>
          <cell r="E125" t="str">
            <v>较差</v>
          </cell>
          <cell r="F125"/>
          <cell r="G125"/>
          <cell r="H125"/>
          <cell r="I125"/>
          <cell r="J125"/>
          <cell r="K125"/>
          <cell r="L125"/>
          <cell r="M125"/>
        </row>
      </sheetData>
      <sheetData sheetId="34"/>
      <sheetData sheetId="35"/>
      <sheetData sheetId="36"/>
      <sheetData sheetId="37">
        <row r="70">
          <cell r="B70" t="str">
            <v>用途</v>
          </cell>
          <cell r="C70"/>
          <cell r="D70"/>
          <cell r="E70"/>
          <cell r="F70"/>
          <cell r="G70"/>
          <cell r="H70"/>
          <cell r="I70"/>
          <cell r="J70"/>
          <cell r="K70"/>
          <cell r="L70"/>
          <cell r="M70"/>
        </row>
        <row r="97">
          <cell r="B97" t="str">
            <v>毗邻道路的类型与等级</v>
          </cell>
          <cell r="C97"/>
          <cell r="D97"/>
          <cell r="E97"/>
          <cell r="F97"/>
          <cell r="G97"/>
          <cell r="H97"/>
          <cell r="I97"/>
          <cell r="J97"/>
          <cell r="K97"/>
          <cell r="L97"/>
          <cell r="M97"/>
        </row>
        <row r="99">
          <cell r="B99" t="str">
            <v>土地级别</v>
          </cell>
          <cell r="C99"/>
          <cell r="D99"/>
          <cell r="E99"/>
          <cell r="F99"/>
          <cell r="G99"/>
          <cell r="H99"/>
          <cell r="I99"/>
          <cell r="J99"/>
          <cell r="K99"/>
          <cell r="L99"/>
          <cell r="M99"/>
        </row>
        <row r="110">
          <cell r="B110" t="str">
            <v>宗地形状</v>
          </cell>
          <cell r="C110"/>
          <cell r="D110"/>
          <cell r="E110"/>
          <cell r="F110"/>
          <cell r="G110"/>
          <cell r="H110"/>
          <cell r="I110"/>
          <cell r="J110"/>
          <cell r="K110"/>
          <cell r="L110"/>
          <cell r="M110"/>
        </row>
        <row r="112">
          <cell r="B112" t="str">
            <v>宗地开发程度</v>
          </cell>
          <cell r="C112"/>
          <cell r="D112"/>
          <cell r="E112"/>
          <cell r="F112"/>
          <cell r="G112"/>
          <cell r="H112"/>
          <cell r="I112"/>
          <cell r="J112"/>
          <cell r="K112"/>
          <cell r="L112"/>
          <cell r="M112"/>
        </row>
        <row r="114">
          <cell r="B114" t="str">
            <v>工程地质条件</v>
          </cell>
          <cell r="C114"/>
          <cell r="D114"/>
          <cell r="E114"/>
          <cell r="F114"/>
          <cell r="G114"/>
          <cell r="H114"/>
          <cell r="I114"/>
          <cell r="J114"/>
          <cell r="K114"/>
          <cell r="L114"/>
          <cell r="M114"/>
        </row>
      </sheetData>
      <sheetData sheetId="38"/>
      <sheetData sheetId="3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0"/>
      <sheetData sheetId="41"/>
      <sheetData sheetId="42"/>
      <sheetData sheetId="43">
        <row r="51">
          <cell r="A51" t="str">
            <v>交易情况</v>
          </cell>
          <cell r="B51"/>
          <cell r="C51" t="str">
            <v>正常</v>
          </cell>
          <cell r="D51"/>
          <cell r="E51"/>
          <cell r="F51"/>
          <cell r="G51"/>
          <cell r="H51"/>
          <cell r="I51"/>
          <cell r="J51"/>
          <cell r="K51"/>
          <cell r="L51"/>
          <cell r="M51"/>
        </row>
        <row r="53">
          <cell r="B53" t="str">
            <v>用途</v>
          </cell>
          <cell r="C53" t="str">
            <v>地下车库</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t="str">
            <v>商业</v>
          </cell>
          <cell r="D79" t="str">
            <v>普通商品房</v>
          </cell>
          <cell r="E79" t="str">
            <v>保障房</v>
          </cell>
          <cell r="F79"/>
          <cell r="G79"/>
          <cell r="H79"/>
          <cell r="I79"/>
          <cell r="J79"/>
          <cell r="K79"/>
          <cell r="L79"/>
          <cell r="M79"/>
        </row>
        <row r="83">
          <cell r="B83" t="str">
            <v>公共部分装修</v>
          </cell>
          <cell r="C83" t="str">
            <v>精装</v>
          </cell>
          <cell r="D83" t="str">
            <v>普装</v>
          </cell>
          <cell r="E83" t="str">
            <v>简装</v>
          </cell>
          <cell r="F83" t="str">
            <v>毛坯</v>
          </cell>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t="str">
            <v>立体</v>
          </cell>
          <cell r="D93" t="str">
            <v>平面</v>
          </cell>
          <cell r="E93"/>
          <cell r="F93"/>
          <cell r="G93"/>
          <cell r="H93"/>
          <cell r="I93"/>
          <cell r="J93"/>
          <cell r="K93"/>
          <cell r="L93"/>
          <cell r="M93"/>
        </row>
        <row r="95">
          <cell r="B95" t="str">
            <v>是否直接入户</v>
          </cell>
          <cell r="C95" t="str">
            <v>是</v>
          </cell>
          <cell r="D95" t="str">
            <v>否</v>
          </cell>
          <cell r="E95"/>
          <cell r="F95"/>
          <cell r="G95"/>
          <cell r="H95"/>
          <cell r="I95"/>
          <cell r="J95"/>
          <cell r="K95"/>
          <cell r="L95"/>
          <cell r="M95"/>
        </row>
      </sheetData>
      <sheetData sheetId="44"/>
      <sheetData sheetId="45"/>
      <sheetData sheetId="46">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B1">
            <v>7397.6099999999988</v>
          </cell>
        </row>
        <row r="2">
          <cell r="B2">
            <v>14597.18</v>
          </cell>
        </row>
      </sheetData>
      <sheetData sheetId="17">
        <row r="20">
          <cell r="G20">
            <v>10954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8176</v>
          </cell>
        </row>
        <row r="20">
          <cell r="G20">
            <v>11052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房地产抵押价值预评估</v>
      </c>
    </row>
    <row r="3" spans="1:2" s="1596" customFormat="1">
      <c r="A3" s="1594" t="s">
        <v>1217</v>
      </c>
      <c r="B3" s="1595">
        <f>'预评函-封皮'!B40</f>
        <v>0</v>
      </c>
    </row>
    <row r="4" spans="1:2" s="1596" customFormat="1">
      <c r="A4" s="1594" t="s">
        <v>1218</v>
      </c>
      <c r="B4" s="1595" t="str">
        <f>'预评函-封皮'!B46</f>
        <v>（注册号：0)、（注册号：0)</v>
      </c>
    </row>
    <row r="5" spans="1:2" s="1590" customFormat="1" ht="15" thickBot="1">
      <c r="A5" s="1597" t="s">
        <v>1219</v>
      </c>
      <c r="B5" s="1598" t="str">
        <f>'预评函-封皮'!B49</f>
        <v>康正预评字号</v>
      </c>
    </row>
    <row r="6" spans="1:2" s="1593" customFormat="1" ht="15" thickTop="1">
      <c r="A6" s="1591" t="s">
        <v>1220</v>
      </c>
      <c r="B6" s="1592" t="str">
        <f>'预评函-1'!A4</f>
        <v>受贵公司委托，我公司对房地产抵押价值进行了预评估。</v>
      </c>
    </row>
    <row r="7" spans="1:2" s="1596" customFormat="1">
      <c r="A7" s="1594" t="s">
        <v>1260</v>
      </c>
      <c r="B7" s="1595" t="str">
        <f>'预评函-1'!A7</f>
        <v>估价对象为房地产，为所有。根据《国有土地使用证》[]，估价对象（分摊）出让国有建设用地使用权面积为40347.69平方米，建筑面积为20447.54平方米。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估价对象为房地产,属开发建设的，该项目尚在开发建设中。根据《国有土地使用证》[]，估价对象（分摊）出让国有建设用地使用权面积为40347.69平方米，规划建筑面积为20447.54平方米。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1222</v>
      </c>
      <c r="B12" s="1595" t="str">
        <f>'预评函-1'!A15</f>
        <v>2019年5月13日（评估专业人员实地查勘之日）</v>
      </c>
    </row>
    <row r="13" spans="1:2" s="1596" customFormat="1">
      <c r="A13" s="1594" t="s">
        <v>1223</v>
      </c>
      <c r="B13" s="1595" t="str">
        <f>'预评函-1'!A18</f>
        <v>本次估价的“房地产价值”是指在正常市场情况下，在价值时点2019年5月13日，估价对象规划用途为，土地取得方式为出让，出让国有建设用地使用权剩余土地使用年限为，假定未设立法定优先受偿款下的房地产市场价值。</v>
      </c>
    </row>
    <row r="14" spans="1:2" s="1596" customFormat="1">
      <c r="A14" s="1594" t="s">
        <v>1224</v>
      </c>
      <c r="B14" s="1595"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1228</v>
      </c>
      <c r="B18" s="1598" t="str">
        <f>'预评函-1'!A24</f>
        <v>本次评估采用的主估价方法为成本法和收益法。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21417</v>
      </c>
    </row>
    <row r="21" spans="1:2" s="1596" customFormat="1">
      <c r="A21" s="1594" t="s">
        <v>1231</v>
      </c>
      <c r="B21" s="1595">
        <f ca="1">'预评函-2'!D7</f>
        <v>10474</v>
      </c>
    </row>
    <row r="22" spans="1:2" s="1596" customFormat="1">
      <c r="A22" s="1594" t="s">
        <v>1232</v>
      </c>
      <c r="B22" s="1595" t="str">
        <f ca="1">'预评函-2'!D6</f>
        <v>贰亿壹仟肆佰壹拾柒万元整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21417</v>
      </c>
    </row>
    <row r="31" spans="1:2" s="1596" customFormat="1">
      <c r="A31" s="1594" t="s">
        <v>1270</v>
      </c>
      <c r="B31" s="1595">
        <f ca="1">'预评函-2'!D15</f>
        <v>10474</v>
      </c>
    </row>
    <row r="32" spans="1:2" s="1596" customFormat="1">
      <c r="A32" s="1594" t="s">
        <v>1237</v>
      </c>
      <c r="B32" s="1595" t="str">
        <f ca="1">'预评函-2'!D14</f>
        <v>贰亿壹仟肆佰壹拾柒万元整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房地产</v>
      </c>
    </row>
    <row r="42" spans="1:2" s="1596" customFormat="1">
      <c r="A42" s="1594" t="s">
        <v>1284</v>
      </c>
      <c r="B42" s="1595" t="str">
        <f>'预评函-3'!B2</f>
        <v>建筑面积</v>
      </c>
    </row>
    <row r="43" spans="1:2" s="1596" customFormat="1">
      <c r="A43" s="1594" t="s">
        <v>1285</v>
      </c>
      <c r="B43" s="1595">
        <f>'预评函-3'!B4</f>
        <v>20447.539999999997</v>
      </c>
    </row>
    <row r="44" spans="1:2" s="1596" customFormat="1">
      <c r="A44" s="1594" t="s">
        <v>1269</v>
      </c>
      <c r="B44" s="1595" t="str">
        <f>'预评函-3'!C2</f>
        <v>(分摊)土地面积</v>
      </c>
    </row>
    <row r="45" spans="1:2" s="1596" customFormat="1">
      <c r="A45" s="1594" t="s">
        <v>1241</v>
      </c>
      <c r="B45" s="1595">
        <f>'预评函-3'!C4</f>
        <v>40347.69</v>
      </c>
    </row>
    <row r="46" spans="1:2" s="1596" customFormat="1">
      <c r="A46" s="1594" t="s">
        <v>1267</v>
      </c>
      <c r="B46" s="1595" t="str">
        <f>'预评函-3'!D2</f>
        <v>出让国有建设用地使用权价值</v>
      </c>
    </row>
    <row r="47" spans="1:2" s="1596" customFormat="1">
      <c r="A47" s="1594" t="s">
        <v>1242</v>
      </c>
      <c r="B47" s="1595">
        <f ca="1">'预评函-3'!D4</f>
        <v>12165</v>
      </c>
    </row>
    <row r="48" spans="1:2" s="1596" customFormat="1">
      <c r="A48" s="1594" t="s">
        <v>1243</v>
      </c>
      <c r="B48" s="1595">
        <f ca="1">'预评函-3'!E4</f>
        <v>5949</v>
      </c>
    </row>
    <row r="49" spans="1:2" s="1596" customFormat="1">
      <c r="A49" s="1594" t="s">
        <v>1244</v>
      </c>
      <c r="B49" s="1595" t="str">
        <f ca="1">'预评函-3'!D5</f>
        <v>壹亿贰仟壹佰陆拾伍万元整</v>
      </c>
    </row>
    <row r="50" spans="1:2" s="1596" customFormat="1">
      <c r="A50" s="1594" t="s">
        <v>1268</v>
      </c>
      <c r="B50" s="1595" t="str">
        <f>'预评函-3'!F2</f>
        <v>建筑物价值</v>
      </c>
    </row>
    <row r="51" spans="1:2" s="1596" customFormat="1">
      <c r="A51" s="1594" t="s">
        <v>1245</v>
      </c>
      <c r="B51" s="1595">
        <f ca="1">'预评函-3'!F4</f>
        <v>9252</v>
      </c>
    </row>
    <row r="52" spans="1:2" s="1596" customFormat="1">
      <c r="A52" s="1594" t="s">
        <v>1246</v>
      </c>
      <c r="B52" s="1595">
        <f ca="1">'预评函-3'!G4</f>
        <v>4525</v>
      </c>
    </row>
    <row r="53" spans="1:2" s="1596" customFormat="1">
      <c r="A53" s="1594" t="s">
        <v>1274</v>
      </c>
      <c r="B53" s="1595" t="str">
        <f ca="1">'预评函-3'!F5</f>
        <v>玖仟贰佰伍拾贰万元整</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f>'预评函-4'!A4</f>
        <v>0</v>
      </c>
    </row>
    <row r="71" spans="1:2">
      <c r="A71" s="1594" t="s">
        <v>1257</v>
      </c>
      <c r="B71" s="1595">
        <f>'预评函-4'!B4</f>
        <v>0</v>
      </c>
    </row>
    <row r="72" spans="1:2">
      <c r="A72" s="1594" t="s">
        <v>1258</v>
      </c>
      <c r="B72" s="1603">
        <f>'预评函-4'!A5</f>
        <v>0</v>
      </c>
    </row>
    <row r="73" spans="1:2" s="1590" customFormat="1" ht="15" thickBot="1">
      <c r="A73" s="1597" t="s">
        <v>1259</v>
      </c>
      <c r="B73" s="1598">
        <f>'预评函-4'!B5</f>
        <v>0</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36" t="str">
        <f>项目基本情况!B1</f>
        <v>房地产抵押价值预评估</v>
      </c>
      <c r="C37" s="3036"/>
      <c r="D37" s="3036"/>
      <c r="E37" s="3036"/>
      <c r="F37" s="3036"/>
      <c r="G37" s="3036"/>
      <c r="H37" s="3036"/>
      <c r="I37" s="3036"/>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项目基本情况!K4</f>
        <v>（注册号：0)、（注册号：0)</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1607</v>
      </c>
    </row>
    <row r="2" spans="1:1">
      <c r="A2" s="1949"/>
    </row>
    <row r="3" spans="1:1" ht="18">
      <c r="A3" s="1950" t="str">
        <f>项目基本情况!B5&amp;"："</f>
        <v>：</v>
      </c>
    </row>
    <row r="4" spans="1:1" ht="18">
      <c r="A4" s="1951" t="str">
        <f>"受贵公司委托，我公司对"&amp;项目基本情况!S1&amp;"进行了预评估。"</f>
        <v>受贵公司委托，我公司对房地产抵押价值进行了预评估。</v>
      </c>
    </row>
    <row r="5" spans="1:1" ht="18.75">
      <c r="A5" s="1952" t="s">
        <v>1608</v>
      </c>
    </row>
    <row r="6" spans="1:1" ht="18.75">
      <c r="A6" s="1953" t="s">
        <v>1609</v>
      </c>
    </row>
    <row r="7" spans="1:1" ht="36">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估价对象为房地产，为所有。根据《国有土地使用证》[]，估价对象（分摊）出让国有建设用地使用权面积为40347.69平方米，建筑面积为20447.54平方米。</v>
      </c>
    </row>
    <row r="8" spans="1:1" ht="57.75">
      <c r="A8" s="1954" t="s">
        <v>1610</v>
      </c>
    </row>
    <row r="9" spans="1:1" ht="18.75">
      <c r="A9" s="1953" t="s">
        <v>1611</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估价对象为房地产,属开发建设的，该项目尚在开发建设中。根据《国有土地使用证》[]，估价对象（分摊）出让国有建设用地使用权面积为40347.69平方米，规划建筑面积为20447.54平方米。</v>
      </c>
    </row>
    <row r="11" spans="1:1" ht="76.5">
      <c r="A11" s="1954" t="s">
        <v>1612</v>
      </c>
    </row>
    <row r="12" spans="1:1" ht="18.75">
      <c r="A12" s="1952" t="s">
        <v>1613</v>
      </c>
    </row>
    <row r="13" spans="1:1" ht="38.25" customHeight="1">
      <c r="A13" s="1955"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1614</v>
      </c>
    </row>
    <row r="15" spans="1:1" ht="18">
      <c r="A15" s="1957" t="str">
        <f>TEXT(项目基本情况!D3,"yyyy年m月d日;;")&amp;IF(项目基本情况!D3=项目基本情况!B3,"（评估专业人员实地查勘之日）","")</f>
        <v>2019年5月13日（评估专业人员实地查勘之日）</v>
      </c>
    </row>
    <row r="16" spans="1:1" ht="18.75">
      <c r="A16" s="1956" t="s">
        <v>1615</v>
      </c>
    </row>
    <row r="17" spans="1:1" ht="75">
      <c r="A17" s="1951" t="s">
        <v>1616</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13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1605</v>
      </c>
    </row>
    <row r="24" spans="1:1" ht="18">
      <c r="A24" s="1958" t="str">
        <f>"本次评估采用的主估价方法为"&amp;结果表!K4&amp;"和"&amp;结果表!L4&amp;"。"</f>
        <v>本次评估采用的主估价方法为成本法和收益法。</v>
      </c>
    </row>
    <row r="25" spans="1:1" ht="18">
      <c r="A25" s="1958"/>
    </row>
    <row r="26" spans="1:1" ht="18.75">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1617</v>
      </c>
      <c r="B1" s="1962"/>
      <c r="C1" s="1962"/>
      <c r="D1" s="1962"/>
      <c r="E1" s="1962"/>
    </row>
    <row r="2" spans="1:5" ht="78" customHeight="1">
      <c r="A2" s="30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41"/>
      <c r="C2" s="3041"/>
      <c r="D2" s="3041"/>
      <c r="E2" s="3041"/>
    </row>
    <row r="3" spans="1:5" ht="18">
      <c r="A3" s="3042" t="str">
        <f>IF(项目基本情况!B9="房地产市场价值","估价结果一览表（市场价值不需“结果表-1”）","估价结果一览表")</f>
        <v>估价结果一览表</v>
      </c>
      <c r="B3" s="3042"/>
      <c r="C3" s="3042"/>
      <c r="D3" s="3042"/>
      <c r="E3" s="3042"/>
    </row>
    <row r="4" spans="1:5" ht="19.5" thickBot="1">
      <c r="A4" s="1964"/>
      <c r="B4" s="3040" t="s">
        <v>1626</v>
      </c>
      <c r="C4" s="3040"/>
      <c r="D4" s="3040"/>
      <c r="E4" s="1964"/>
    </row>
    <row r="5" spans="1:5" ht="16.5" thickTop="1">
      <c r="A5" s="1962"/>
      <c r="B5" s="3038" t="s">
        <v>1618</v>
      </c>
      <c r="C5" s="1965" t="s">
        <v>1619</v>
      </c>
      <c r="D5" s="1043">
        <f ca="1">结果表!H101</f>
        <v>21417</v>
      </c>
      <c r="E5" s="1962"/>
    </row>
    <row r="6" spans="1:5" ht="15.75">
      <c r="A6" s="1962"/>
      <c r="B6" s="3038"/>
      <c r="C6" s="1965" t="s">
        <v>1620</v>
      </c>
      <c r="D6" s="1043" t="str">
        <f ca="1">NUMBERSTRING(INT(D5*10000),2)&amp;"元整"</f>
        <v>贰亿壹仟肆佰壹拾柒万元整</v>
      </c>
      <c r="E6" s="1962"/>
    </row>
    <row r="7" spans="1:5" ht="15.75">
      <c r="A7" s="1962"/>
      <c r="B7" s="3043"/>
      <c r="C7" s="1966" t="s">
        <v>1621</v>
      </c>
      <c r="D7" s="1044">
        <f ca="1">结果表!H102</f>
        <v>10474</v>
      </c>
      <c r="E7" s="1962"/>
    </row>
    <row r="8" spans="1:5" ht="15.75">
      <c r="A8" s="1962"/>
      <c r="B8" s="3044" t="str">
        <f>结果表!E103</f>
        <v>2.估价师知悉的法定优先受偿款</v>
      </c>
      <c r="C8" s="1967" t="s">
        <v>1622</v>
      </c>
      <c r="D8" s="1044">
        <f>结果表!H103</f>
        <v>0</v>
      </c>
      <c r="E8" s="1962"/>
    </row>
    <row r="9" spans="1:5" ht="15.75">
      <c r="A9" s="1962"/>
      <c r="B9" s="3046"/>
      <c r="C9" s="1965" t="s">
        <v>1620</v>
      </c>
      <c r="D9" s="1043" t="str">
        <f>NUMBERSTRING(INT(D8*10000),2)&amp;"元整"</f>
        <v>零元整</v>
      </c>
      <c r="E9" s="1962"/>
    </row>
    <row r="10" spans="1:5" ht="15">
      <c r="A10" s="1962"/>
      <c r="B10" s="1968" t="s">
        <v>1625</v>
      </c>
      <c r="C10" s="1969" t="s">
        <v>1623</v>
      </c>
      <c r="D10" s="1045">
        <f>结果表!H104</f>
        <v>0</v>
      </c>
      <c r="E10" s="1962"/>
    </row>
    <row r="11" spans="1:5" ht="15">
      <c r="A11" s="1962"/>
      <c r="B11" s="1968" t="s">
        <v>1627</v>
      </c>
      <c r="C11" s="1969" t="s">
        <v>1628</v>
      </c>
      <c r="D11" s="1045">
        <f>结果表!H105</f>
        <v>0</v>
      </c>
      <c r="E11" s="1962"/>
    </row>
    <row r="12" spans="1:5" ht="15">
      <c r="A12" s="1962"/>
      <c r="B12" s="1968" t="s">
        <v>1629</v>
      </c>
      <c r="C12" s="1969" t="s">
        <v>1628</v>
      </c>
      <c r="D12" s="1045">
        <f>结果表!H106</f>
        <v>0</v>
      </c>
      <c r="E12" s="1962"/>
    </row>
    <row r="13" spans="1:5" ht="15.75">
      <c r="A13" s="1962"/>
      <c r="B13" s="3037" t="str">
        <f>结果表!E107</f>
        <v>3.房地产抵押价值</v>
      </c>
      <c r="C13" s="1970" t="s">
        <v>1619</v>
      </c>
      <c r="D13" s="1046">
        <f ca="1">结果表!H107</f>
        <v>21417</v>
      </c>
      <c r="E13" s="1962"/>
    </row>
    <row r="14" spans="1:5" ht="15.75">
      <c r="A14" s="1962"/>
      <c r="B14" s="3038"/>
      <c r="C14" s="1965" t="s">
        <v>1620</v>
      </c>
      <c r="D14" s="1043" t="str">
        <f ca="1">NUMBERSTRING(INT(D13*10000),2)&amp;"元整"</f>
        <v>贰亿壹仟肆佰壹拾柒万元整</v>
      </c>
      <c r="E14" s="1962"/>
    </row>
    <row r="15" spans="1:5" ht="15">
      <c r="A15" s="1962"/>
      <c r="B15" s="3043"/>
      <c r="C15" s="1966" t="s">
        <v>1630</v>
      </c>
      <c r="D15" s="1055">
        <f ca="1">结果表!H108</f>
        <v>10474</v>
      </c>
      <c r="E15" s="1962"/>
    </row>
    <row r="16" spans="1:5" ht="15">
      <c r="A16" s="1962"/>
      <c r="B16" s="3044" t="str">
        <f>结果表!E109</f>
        <v>——</v>
      </c>
      <c r="C16" s="1970" t="s">
        <v>1631</v>
      </c>
      <c r="D16" s="1971" t="str">
        <f>结果表!H109</f>
        <v>——</v>
      </c>
      <c r="E16" s="1962"/>
    </row>
    <row r="17" spans="1:5" ht="15.75">
      <c r="A17" s="1962"/>
      <c r="B17" s="3045"/>
      <c r="C17" s="1965" t="s">
        <v>1632</v>
      </c>
      <c r="D17" s="1043" t="e">
        <f>NUMBERSTRING(INT(D16*10000),2)&amp;"元整"</f>
        <v>#VALUE!</v>
      </c>
      <c r="E17" s="1962"/>
    </row>
    <row r="18" spans="1:5" ht="15">
      <c r="A18" s="1962"/>
      <c r="B18" s="3046"/>
      <c r="C18" s="1966" t="s">
        <v>1621</v>
      </c>
      <c r="D18" s="1055" t="str">
        <f>结果表!H110</f>
        <v>——</v>
      </c>
      <c r="E18" s="1962"/>
    </row>
    <row r="19" spans="1:5" ht="15.75">
      <c r="A19" s="1962"/>
      <c r="B19" s="3037" t="str">
        <f>结果表!E111</f>
        <v>——</v>
      </c>
      <c r="C19" s="1970" t="s">
        <v>1619</v>
      </c>
      <c r="D19" s="1044" t="str">
        <f>结果表!H111</f>
        <v>——</v>
      </c>
      <c r="E19" s="1962"/>
    </row>
    <row r="20" spans="1:5" ht="15.75">
      <c r="A20" s="1962"/>
      <c r="B20" s="3038"/>
      <c r="C20" s="1965" t="s">
        <v>1632</v>
      </c>
      <c r="D20" s="1043" t="e">
        <f>NUMBERSTRING(INT(D19*10000),2)&amp;"元整"</f>
        <v>#VALUE!</v>
      </c>
      <c r="E20" s="1962"/>
    </row>
    <row r="21" spans="1:5" ht="15.75" thickBot="1">
      <c r="A21" s="1962"/>
      <c r="B21" s="3039"/>
      <c r="C21" s="1972" t="s">
        <v>1630</v>
      </c>
      <c r="D21" s="1056" t="str">
        <f>结果表!H112</f>
        <v>——</v>
      </c>
      <c r="E21" s="1962"/>
    </row>
    <row r="22" spans="1:5" ht="15" thickTop="1">
      <c r="A22" s="1962"/>
      <c r="B22" s="1973" t="s">
        <v>1633</v>
      </c>
      <c r="C22" s="1962"/>
      <c r="D22" s="1962"/>
      <c r="E22" s="1962"/>
    </row>
    <row r="23" spans="1:5">
      <c r="A23" s="1962"/>
      <c r="B23" s="1962"/>
      <c r="C23" s="1962"/>
      <c r="D23" s="1962"/>
      <c r="E23" s="1962"/>
    </row>
    <row r="24" spans="1:5" ht="18.75">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3056" t="str">
        <f>IF(项目基本情况!B9="房地产市场价值","估价结果一览表","结果表-2")</f>
        <v>结果表-2</v>
      </c>
      <c r="B1" s="3056"/>
      <c r="C1" s="3056"/>
      <c r="D1" s="3056"/>
      <c r="E1" s="3056"/>
      <c r="F1" s="3056"/>
      <c r="G1" s="3056"/>
      <c r="H1" s="3056"/>
      <c r="I1" s="3056"/>
    </row>
    <row r="2" spans="1:9" ht="30" customHeight="1" thickTop="1">
      <c r="A2" s="3057" t="s">
        <v>1637</v>
      </c>
      <c r="B2" s="3057" t="s">
        <v>1638</v>
      </c>
      <c r="C2" s="3057" t="s">
        <v>1639</v>
      </c>
      <c r="D2" s="3057" t="str">
        <f>结果表!D116</f>
        <v>出让国有建设用地使用权价值</v>
      </c>
      <c r="E2" s="3057"/>
      <c r="F2" s="3057" t="str">
        <f>结果表!F116</f>
        <v>建筑物价值</v>
      </c>
      <c r="G2" s="3057"/>
      <c r="H2" s="3057" t="str">
        <f>IF(项目基本情况!B9="房地产市场价值","房地产市场价值","房地产价值")</f>
        <v>房地产价值</v>
      </c>
      <c r="I2" s="3057"/>
    </row>
    <row r="3" spans="1:9" ht="15">
      <c r="A3" s="3051"/>
      <c r="B3" s="3051"/>
      <c r="C3" s="3051"/>
      <c r="D3" s="1047" t="s">
        <v>1634</v>
      </c>
      <c r="E3" s="1047" t="s">
        <v>1640</v>
      </c>
      <c r="F3" s="1047" t="s">
        <v>1634</v>
      </c>
      <c r="G3" s="1047" t="s">
        <v>1635</v>
      </c>
      <c r="H3" s="1047" t="s">
        <v>1634</v>
      </c>
      <c r="I3" s="1047" t="s">
        <v>1635</v>
      </c>
    </row>
    <row r="4" spans="1:9" ht="15">
      <c r="A4" s="1976" t="str">
        <f>项目基本情况!S2</f>
        <v>房地产</v>
      </c>
      <c r="B4" s="1047">
        <f>项目基本情况!C17</f>
        <v>20447.539999999997</v>
      </c>
      <c r="C4" s="1047">
        <f>项目基本情况!C18</f>
        <v>40347.69</v>
      </c>
      <c r="D4" s="1047">
        <f ca="1">结果表!D118</f>
        <v>12165</v>
      </c>
      <c r="E4" s="1047">
        <f ca="1">结果表!E118</f>
        <v>5949</v>
      </c>
      <c r="F4" s="1047">
        <f ca="1">结果表!F118</f>
        <v>9252</v>
      </c>
      <c r="G4" s="1047">
        <f ca="1">结果表!G118</f>
        <v>4525</v>
      </c>
      <c r="H4" s="1047">
        <f ca="1">结果表!H118</f>
        <v>21417</v>
      </c>
      <c r="I4" s="1047">
        <f ca="1">结果表!I118</f>
        <v>10474</v>
      </c>
    </row>
    <row r="5" spans="1:9" ht="30" customHeight="1">
      <c r="A5" s="3051" t="s">
        <v>1636</v>
      </c>
      <c r="B5" s="3051"/>
      <c r="C5" s="3051"/>
      <c r="D5" s="3052" t="str">
        <f ca="1">结果表!D119</f>
        <v>壹亿贰仟壹佰陆拾伍万元整</v>
      </c>
      <c r="E5" s="3052"/>
      <c r="F5" s="3052" t="str">
        <f ca="1">结果表!F119</f>
        <v>玖仟贰佰伍拾贰万元整</v>
      </c>
      <c r="G5" s="3052"/>
      <c r="H5" s="3052" t="str">
        <f ca="1">结果表!H119</f>
        <v>贰亿壹仟肆佰壹拾柒万元整</v>
      </c>
      <c r="I5" s="3052"/>
    </row>
    <row r="6" spans="1:9" ht="15.75">
      <c r="A6" s="3050" t="str">
        <f>结果表!A120</f>
        <v>估价师知悉的法定优先受偿款</v>
      </c>
      <c r="B6" s="3050"/>
      <c r="C6" s="3050"/>
      <c r="D6" s="3050">
        <f>结果表!D120</f>
        <v>0</v>
      </c>
      <c r="E6" s="3050"/>
      <c r="F6" s="3050"/>
      <c r="G6" s="3050"/>
      <c r="H6" s="3050"/>
      <c r="I6" s="3050"/>
    </row>
    <row r="7" spans="1:9" ht="15">
      <c r="A7" s="3051" t="s">
        <v>1636</v>
      </c>
      <c r="B7" s="3051"/>
      <c r="C7" s="3051"/>
      <c r="D7" s="3053" t="str">
        <f>结果表!D121</f>
        <v>零元整</v>
      </c>
      <c r="E7" s="3054"/>
      <c r="F7" s="3054"/>
      <c r="G7" s="3054"/>
      <c r="H7" s="3054"/>
      <c r="I7" s="3055"/>
    </row>
    <row r="8" spans="1:9" ht="15.75">
      <c r="A8" s="3050" t="str">
        <f>结果表!A122</f>
        <v>房地产抵押价值</v>
      </c>
      <c r="B8" s="3050"/>
      <c r="C8" s="3050"/>
      <c r="D8" s="3050">
        <f ca="1">结果表!D122</f>
        <v>21417</v>
      </c>
      <c r="E8" s="3050"/>
      <c r="F8" s="3050"/>
      <c r="G8" s="3050"/>
      <c r="H8" s="3050"/>
      <c r="I8" s="3050"/>
    </row>
    <row r="9" spans="1:9" ht="15">
      <c r="A9" s="3051" t="s">
        <v>1636</v>
      </c>
      <c r="B9" s="3051"/>
      <c r="C9" s="3051"/>
      <c r="D9" s="3052" t="str">
        <f ca="1">结果表!D123</f>
        <v>贰亿壹仟肆佰壹拾柒万元整</v>
      </c>
      <c r="E9" s="3052"/>
      <c r="F9" s="3052"/>
      <c r="G9" s="3052"/>
      <c r="H9" s="3052"/>
      <c r="I9" s="3052"/>
    </row>
    <row r="10" spans="1:9" ht="15.75">
      <c r="A10" s="3050" t="str">
        <f>结果表!A124</f>
        <v/>
      </c>
      <c r="B10" s="3050"/>
      <c r="C10" s="3050"/>
      <c r="D10" s="3050" t="str">
        <f>结果表!D124</f>
        <v>——</v>
      </c>
      <c r="E10" s="3050"/>
      <c r="F10" s="3050"/>
      <c r="G10" s="3050"/>
      <c r="H10" s="3050"/>
      <c r="I10" s="3050"/>
    </row>
    <row r="11" spans="1:9" ht="15">
      <c r="A11" s="3051" t="s">
        <v>1636</v>
      </c>
      <c r="B11" s="3051"/>
      <c r="C11" s="3051"/>
      <c r="D11" s="3052" t="e">
        <f>结果表!D125</f>
        <v>#VALUE!</v>
      </c>
      <c r="E11" s="3052"/>
      <c r="F11" s="3052"/>
      <c r="G11" s="3052"/>
      <c r="H11" s="3052"/>
      <c r="I11" s="3052"/>
    </row>
    <row r="12" spans="1:9" ht="15.75">
      <c r="A12" s="3050" t="str">
        <f>结果表!A126</f>
        <v/>
      </c>
      <c r="B12" s="3050"/>
      <c r="C12" s="3050"/>
      <c r="D12" s="3050" t="str">
        <f>结果表!D126</f>
        <v>——</v>
      </c>
      <c r="E12" s="3050"/>
      <c r="F12" s="3050"/>
      <c r="G12" s="3050"/>
      <c r="H12" s="3050"/>
      <c r="I12" s="3050"/>
    </row>
    <row r="13" spans="1:9" ht="15.75" thickBot="1">
      <c r="A13" s="3047" t="s">
        <v>1636</v>
      </c>
      <c r="B13" s="3047"/>
      <c r="C13" s="3047"/>
      <c r="D13" s="3048" t="e">
        <f>结果表!D127</f>
        <v>#VALUE!</v>
      </c>
      <c r="E13" s="3048"/>
      <c r="F13" s="3048"/>
      <c r="G13" s="3048"/>
      <c r="H13" s="3048"/>
      <c r="I13" s="3048"/>
    </row>
    <row r="14" spans="1:9" ht="15" thickTop="1">
      <c r="A14" s="3049" t="s">
        <v>1641</v>
      </c>
      <c r="B14" s="3049"/>
      <c r="C14" s="3049"/>
      <c r="D14" s="3049"/>
      <c r="E14" s="3049"/>
      <c r="F14" s="3049"/>
      <c r="G14" s="3049"/>
      <c r="H14" s="3049"/>
      <c r="I14" s="3049"/>
    </row>
    <row r="16" spans="1:9" ht="18.75">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3064" t="s">
        <v>1658</v>
      </c>
      <c r="B1" s="3064"/>
      <c r="C1" s="3064"/>
      <c r="D1" s="3064"/>
    </row>
    <row r="2" spans="1:4" ht="18">
      <c r="A2" s="3065" t="s">
        <v>1642</v>
      </c>
      <c r="B2" s="3065"/>
      <c r="C2" s="3065"/>
      <c r="D2" s="3065"/>
    </row>
    <row r="3" spans="1:4" ht="18.75">
      <c r="A3" s="1980" t="s">
        <v>1643</v>
      </c>
      <c r="B3" s="1980" t="s">
        <v>1644</v>
      </c>
      <c r="C3" s="1980" t="s">
        <v>1645</v>
      </c>
      <c r="D3" s="1980" t="s">
        <v>1646</v>
      </c>
    </row>
    <row r="4" spans="1:4" ht="56.25" customHeight="1">
      <c r="A4" s="1981">
        <f>项目基本情况!B4</f>
        <v>0</v>
      </c>
      <c r="B4" s="1982">
        <f>项目基本情况!C4</f>
        <v>0</v>
      </c>
      <c r="C4" s="1983"/>
      <c r="D4" s="1984" t="s">
        <v>1647</v>
      </c>
    </row>
    <row r="5" spans="1:4" ht="56.25" customHeight="1">
      <c r="A5" s="1981">
        <f>项目基本情况!D4</f>
        <v>0</v>
      </c>
      <c r="B5" s="1982">
        <f>项目基本情况!E4</f>
        <v>0</v>
      </c>
      <c r="C5" s="1985"/>
      <c r="D5" s="1984" t="s">
        <v>1647</v>
      </c>
    </row>
    <row r="6" spans="1:4" ht="18">
      <c r="A6" s="3065" t="s">
        <v>1648</v>
      </c>
      <c r="B6" s="3065"/>
      <c r="C6" s="3065"/>
      <c r="D6" s="3065"/>
    </row>
    <row r="7" spans="1:4" ht="18.75">
      <c r="A7" s="1980" t="s">
        <v>1643</v>
      </c>
      <c r="B7" s="1982" t="s">
        <v>1649</v>
      </c>
      <c r="C7" s="1980" t="s">
        <v>1645</v>
      </c>
      <c r="D7" s="1980" t="s">
        <v>1646</v>
      </c>
    </row>
    <row r="8" spans="1:4" ht="56.25" customHeight="1">
      <c r="A8" s="1986" t="s">
        <v>866</v>
      </c>
      <c r="B8" s="1986" t="s">
        <v>1</v>
      </c>
      <c r="C8" s="1983"/>
      <c r="D8" s="1984" t="s">
        <v>1647</v>
      </c>
    </row>
    <row r="9" spans="1:4">
      <c r="A9" s="728"/>
      <c r="B9" s="728"/>
      <c r="C9" s="728"/>
      <c r="D9" s="728"/>
    </row>
    <row r="10" spans="1:4" ht="18.75">
      <c r="A10" s="1987" t="s">
        <v>1650</v>
      </c>
      <c r="B10" s="728"/>
      <c r="C10" s="728"/>
      <c r="D10" s="728"/>
    </row>
    <row r="11" spans="1:4" ht="30" customHeight="1">
      <c r="A11" s="3066" t="s">
        <v>1651</v>
      </c>
      <c r="B11" s="3058"/>
      <c r="C11" s="3058"/>
      <c r="D11" s="3058"/>
    </row>
    <row r="12" spans="1:4" ht="15.75">
      <c r="A12" s="30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63"/>
      <c r="C12" s="3063"/>
      <c r="D12" s="3063"/>
    </row>
    <row r="13" spans="1:4" ht="30" customHeight="1">
      <c r="A13" s="30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63"/>
      <c r="C13" s="3063"/>
      <c r="D13" s="3063"/>
    </row>
    <row r="14" spans="1:4" ht="15.75" customHeight="1">
      <c r="A14" s="3058" t="str">
        <f>IF(项目基本情况!B8="抵押","4.本次评估估价师所知悉的法定优先受偿款情况说明如下：","——")</f>
        <v>4.本次评估估价师所知悉的法定优先受偿款情况说明如下：</v>
      </c>
      <c r="B14" s="3063"/>
      <c r="C14" s="3063"/>
      <c r="D14" s="3063"/>
    </row>
    <row r="15" spans="1:4" ht="42" customHeight="1">
      <c r="A15" s="30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8"/>
      <c r="C15" s="3058"/>
      <c r="D15" s="3058"/>
    </row>
    <row r="16" spans="1:4" ht="30" customHeight="1">
      <c r="A16" s="3060" t="s">
        <v>1652</v>
      </c>
      <c r="B16" s="3060"/>
      <c r="C16" s="3060"/>
      <c r="D16" s="3060"/>
    </row>
    <row r="17" spans="1:4" ht="144" customHeight="1">
      <c r="A17" s="3060" t="s">
        <v>1653</v>
      </c>
      <c r="B17" s="3060"/>
      <c r="C17" s="3060"/>
      <c r="D17" s="3060"/>
    </row>
    <row r="18" spans="1:4" ht="15.75" customHeight="1">
      <c r="A18" s="3058" t="str">
        <f>IF(项目基本情况!B8="抵押",结果表!K120,"——")</f>
        <v>故，本次评估不存在估价师知悉的法定优先受偿款</v>
      </c>
      <c r="B18" s="3058"/>
      <c r="C18" s="3058"/>
      <c r="D18" s="3058"/>
    </row>
    <row r="19" spans="1:4" ht="46.5" customHeight="1">
      <c r="A19" s="30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8"/>
      <c r="C19" s="3058"/>
      <c r="D19" s="3058"/>
    </row>
    <row r="20" spans="1:4" ht="57.75" customHeight="1">
      <c r="A20" s="30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8"/>
      <c r="C20" s="3058"/>
      <c r="D20" s="3058"/>
    </row>
    <row r="21" spans="1:4" ht="57.75" customHeight="1">
      <c r="A21" s="30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1"/>
      <c r="C21" s="3061"/>
      <c r="D21" s="3061"/>
    </row>
    <row r="22" spans="1:4" ht="18.75" customHeight="1">
      <c r="A22" s="3062" t="s">
        <v>1654</v>
      </c>
      <c r="B22" s="3062"/>
      <c r="C22" s="3062"/>
      <c r="D22" s="3062"/>
    </row>
    <row r="23" spans="1:4">
      <c r="A23" s="1988"/>
      <c r="B23" s="1960"/>
      <c r="C23" s="1960"/>
      <c r="D23" s="1960"/>
    </row>
    <row r="24" spans="1:4">
      <c r="A24" s="1988"/>
      <c r="B24" s="1960"/>
      <c r="C24" s="1960"/>
      <c r="D24" s="1960"/>
    </row>
    <row r="25" spans="1:4" ht="18.75">
      <c r="A25" s="1989" t="s">
        <v>1655</v>
      </c>
    </row>
    <row r="26" spans="1:4" ht="18">
      <c r="A26" s="1958"/>
    </row>
    <row r="27" spans="1:4" ht="18.75">
      <c r="A27" s="1958" t="s">
        <v>1656</v>
      </c>
    </row>
    <row r="30" spans="1:4" ht="18.75">
      <c r="D30" s="1989" t="s">
        <v>1657</v>
      </c>
    </row>
    <row r="31" spans="1:4" ht="13.5" customHeight="1">
      <c r="C31" s="3059">
        <v>42551</v>
      </c>
      <c r="D31" s="305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3.5">
      <c r="A15" s="3072" t="s">
        <v>1665</v>
      </c>
      <c r="B15" s="3067" t="s">
        <v>136</v>
      </c>
      <c r="C15" s="3068"/>
    </row>
    <row r="16" spans="1:7" ht="13.5">
      <c r="A16" s="3073"/>
      <c r="B16" s="3067" t="s">
        <v>69</v>
      </c>
      <c r="C16" s="3068"/>
    </row>
    <row r="17" spans="1:3" ht="13.5">
      <c r="A17" s="3073"/>
      <c r="B17" s="3070" t="s">
        <v>1666</v>
      </c>
      <c r="C17" s="2003" t="s">
        <v>1665</v>
      </c>
    </row>
    <row r="18" spans="1:3" ht="13.5">
      <c r="A18" s="3073"/>
      <c r="B18" s="3070"/>
      <c r="C18" s="2003" t="s">
        <v>1667</v>
      </c>
    </row>
    <row r="19" spans="1:3" ht="13.5">
      <c r="A19" s="3073"/>
      <c r="B19" s="3070"/>
      <c r="C19" s="2003" t="s">
        <v>1668</v>
      </c>
    </row>
    <row r="20" spans="1:3" ht="13.5">
      <c r="A20" s="3074"/>
      <c r="B20" s="3069" t="s">
        <v>1669</v>
      </c>
      <c r="C20" s="3068"/>
    </row>
    <row r="21" spans="1:3" ht="13.5">
      <c r="A21" s="2004" t="s">
        <v>1670</v>
      </c>
      <c r="B21" s="2005"/>
      <c r="C21" s="2006"/>
    </row>
    <row r="22" spans="1:3" ht="13.5">
      <c r="A22" s="3071" t="s">
        <v>1671</v>
      </c>
      <c r="B22" s="3069" t="s">
        <v>1672</v>
      </c>
      <c r="C22" s="3068"/>
    </row>
    <row r="23" spans="1:3" ht="13.5">
      <c r="A23" s="3071"/>
      <c r="B23" s="3069" t="s">
        <v>1673</v>
      </c>
      <c r="C23" s="3068"/>
    </row>
    <row r="24" spans="1:3" ht="13.5">
      <c r="A24" s="3071"/>
      <c r="B24" s="3069" t="s">
        <v>1674</v>
      </c>
      <c r="C24" s="3068"/>
    </row>
    <row r="25" spans="1:3" ht="13.5">
      <c r="A25" s="3071"/>
      <c r="B25" s="3070" t="s">
        <v>1675</v>
      </c>
      <c r="C25" s="2003" t="s">
        <v>1676</v>
      </c>
    </row>
    <row r="26" spans="1:3" ht="13.5">
      <c r="A26" s="3071"/>
      <c r="B26" s="3070"/>
      <c r="C26" s="2003" t="s">
        <v>1677</v>
      </c>
    </row>
    <row r="27" spans="1:3" ht="13.5">
      <c r="A27" s="3071"/>
      <c r="B27" s="3070"/>
      <c r="C27" s="2003" t="s">
        <v>1678</v>
      </c>
    </row>
    <row r="28" spans="1:3" ht="13.5">
      <c r="A28" s="3071"/>
      <c r="B28" s="3070"/>
      <c r="C28" s="2003" t="s">
        <v>1679</v>
      </c>
    </row>
    <row r="29" spans="1:3" ht="13.5">
      <c r="A29" s="3071"/>
      <c r="B29" s="3070"/>
      <c r="C29" s="2003" t="s">
        <v>1680</v>
      </c>
    </row>
    <row r="30" spans="1:3" ht="13.5">
      <c r="A30" s="3071"/>
      <c r="B30" s="3070"/>
      <c r="C30" s="2003" t="s">
        <v>1681</v>
      </c>
    </row>
    <row r="31" spans="1:3" ht="13.5">
      <c r="A31" s="3071"/>
      <c r="B31" s="3070"/>
      <c r="C31" s="2003" t="s">
        <v>1682</v>
      </c>
    </row>
    <row r="32" spans="1:3" ht="13.5">
      <c r="A32" s="3071"/>
      <c r="B32" s="3070"/>
      <c r="C32" s="2003" t="s">
        <v>1683</v>
      </c>
    </row>
    <row r="33" spans="1:3" ht="13.5">
      <c r="A33" s="3071"/>
      <c r="B33" s="3070"/>
      <c r="C33" s="2003" t="s">
        <v>1684</v>
      </c>
    </row>
    <row r="34" spans="1:3">
      <c r="A34" s="2007" t="s">
        <v>76</v>
      </c>
    </row>
    <row r="37" spans="1:3">
      <c r="A37" s="2007" t="s">
        <v>1685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7" sqref="B7"/>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43615</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44395</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t="str">
        <f ca="1">IF(C10&lt;B2,"已过期",1120060040)</f>
        <v>已过期</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c r="B12" s="1025"/>
      <c r="C12" s="2941"/>
      <c r="D12" s="1705"/>
      <c r="E12" s="1025"/>
      <c r="F12" s="1033"/>
    </row>
    <row r="13" spans="1:6" ht="24" customHeight="1">
      <c r="A13" s="1705" t="s">
        <v>840</v>
      </c>
      <c r="B13" s="1025">
        <f ca="1">IF(C13&lt;B2,"已过期",1120070131)</f>
        <v>1120070131</v>
      </c>
      <c r="C13" s="2350">
        <v>43814</v>
      </c>
      <c r="D13" s="2353" t="s">
        <v>840</v>
      </c>
      <c r="E13" s="1025">
        <f ca="1">IF(F13&lt;B2,"已过期",2014110011)</f>
        <v>2014110011</v>
      </c>
      <c r="F13" s="1033">
        <v>49302</v>
      </c>
    </row>
    <row r="14" spans="1:6" ht="24" customHeight="1">
      <c r="A14" s="1705" t="s">
        <v>3046</v>
      </c>
      <c r="B14" s="1025">
        <f ca="1">IF(C14&lt;B2,"已过期",1120040230)</f>
        <v>1120040230</v>
      </c>
      <c r="C14" s="2350">
        <v>43835</v>
      </c>
      <c r="D14" s="2353" t="s">
        <v>3046</v>
      </c>
      <c r="E14" s="1025">
        <f ca="1">IF(F14&lt;B2,"已过期",98030020)</f>
        <v>98030020</v>
      </c>
      <c r="F14" s="1033">
        <v>47118</v>
      </c>
    </row>
    <row r="15" spans="1:6" ht="24" customHeight="1">
      <c r="A15" s="1706" t="s">
        <v>3047</v>
      </c>
      <c r="B15" s="1025">
        <f ca="1">IF(C15&lt;B2,"已过期",1120070085)</f>
        <v>1120070085</v>
      </c>
      <c r="C15" s="2350">
        <v>43814</v>
      </c>
      <c r="D15" s="2354" t="s">
        <v>3047</v>
      </c>
      <c r="E15" s="1025">
        <f ca="1">IF(F15&lt;B2,"已过期",2004110128)</f>
        <v>2004110128</v>
      </c>
      <c r="F15" s="1026">
        <v>47118</v>
      </c>
    </row>
    <row r="16" spans="1:6" ht="24" customHeight="1">
      <c r="A16" s="1705" t="s">
        <v>3048</v>
      </c>
      <c r="B16" s="1025">
        <f ca="1">IF(C16&lt;B2,"已过期",1120140022)</f>
        <v>1120140022</v>
      </c>
      <c r="C16" s="2941">
        <v>44029</v>
      </c>
      <c r="D16" s="2353" t="s">
        <v>3048</v>
      </c>
      <c r="E16" s="1025">
        <f ca="1">IF(F16&lt;B2,"已过期",2008110059)</f>
        <v>2008110059</v>
      </c>
      <c r="F16" s="1033">
        <v>47177</v>
      </c>
    </row>
    <row r="17" spans="1:7" ht="24" customHeight="1">
      <c r="A17" s="1705"/>
      <c r="B17" s="1025"/>
      <c r="C17" s="2350"/>
      <c r="D17" s="2353" t="s">
        <v>3049</v>
      </c>
      <c r="E17" s="1025">
        <f ca="1">IF(F17&lt;B2,"已过期",2014110076)</f>
        <v>2014110076</v>
      </c>
      <c r="F17" s="1033">
        <v>49302</v>
      </c>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841</v>
      </c>
      <c r="E21" s="1025">
        <f ca="1">IF(F21&lt;B2,"已过期",2011110090)</f>
        <v>2011110090</v>
      </c>
      <c r="F21" s="1033">
        <v>48302</v>
      </c>
    </row>
    <row r="22" spans="1:7" ht="24" customHeight="1">
      <c r="A22" s="1705" t="s">
        <v>842</v>
      </c>
      <c r="B22" s="1025">
        <f ca="1">IF(C22&lt;B2,"已过期",1120020033)</f>
        <v>1120020033</v>
      </c>
      <c r="C22" s="2941">
        <v>44339</v>
      </c>
      <c r="D22" s="2353" t="s">
        <v>842</v>
      </c>
      <c r="E22" s="1025">
        <f ca="1">IF(F22&lt;B2,"已过期",2000110137)</f>
        <v>2000110137</v>
      </c>
      <c r="F22" s="1033">
        <v>46387</v>
      </c>
    </row>
    <row r="23" spans="1:7" ht="24" customHeight="1">
      <c r="A23" s="1705"/>
      <c r="B23" s="1025"/>
      <c r="C23" s="2350"/>
      <c r="D23" s="2353"/>
      <c r="E23" s="1025"/>
      <c r="F23" s="1025"/>
    </row>
    <row r="24" spans="1:7" s="1027" customFormat="1" ht="24" customHeight="1">
      <c r="A24" s="1706" t="s">
        <v>1329</v>
      </c>
      <c r="B24" s="1706" t="s">
        <v>1329</v>
      </c>
      <c r="C24" s="2351" t="s">
        <v>1329</v>
      </c>
      <c r="D24" s="2354" t="s">
        <v>1329</v>
      </c>
      <c r="E24" s="1706" t="s">
        <v>1329</v>
      </c>
      <c r="F24" s="1706" t="s">
        <v>1329</v>
      </c>
    </row>
    <row r="25" spans="1:7" ht="24" customHeight="1">
      <c r="A25" s="3075" t="s">
        <v>843</v>
      </c>
      <c r="B25" s="3075"/>
      <c r="C25" s="3075"/>
      <c r="D25" s="3075"/>
      <c r="E25" s="3075"/>
      <c r="F25" s="3075"/>
      <c r="G25" s="3075"/>
    </row>
    <row r="26" spans="1:7" s="1028" customFormat="1" ht="24" customHeight="1">
      <c r="A26" s="3076" t="s">
        <v>844</v>
      </c>
      <c r="B26" s="3076"/>
      <c r="C26" s="3077"/>
      <c r="D26" s="3078" t="s">
        <v>845</v>
      </c>
      <c r="E26" s="3076"/>
      <c r="F26" s="3076"/>
    </row>
    <row r="27" spans="1:7" s="1030" customFormat="1" ht="24" customHeight="1">
      <c r="A27" s="1029" t="s">
        <v>846</v>
      </c>
      <c r="B27" s="1024" t="s">
        <v>847</v>
      </c>
      <c r="C27" s="2349" t="s">
        <v>848</v>
      </c>
      <c r="D27" s="2357" t="s">
        <v>846</v>
      </c>
      <c r="E27" s="1024" t="s">
        <v>847</v>
      </c>
      <c r="F27" s="1024" t="s">
        <v>848</v>
      </c>
    </row>
    <row r="28" spans="1:7" s="1030" customFormat="1" ht="24" customHeight="1">
      <c r="A28" s="1031" t="s">
        <v>849</v>
      </c>
      <c r="B28" s="1032" t="s">
        <v>850</v>
      </c>
      <c r="C28" s="2355">
        <v>43725</v>
      </c>
      <c r="D28" s="2358" t="s">
        <v>851</v>
      </c>
      <c r="E28" s="1031" t="s">
        <v>852</v>
      </c>
      <c r="F28" s="1061">
        <v>44377</v>
      </c>
    </row>
    <row r="29" spans="1:7" s="1030" customFormat="1" ht="24" customHeight="1">
      <c r="A29" s="1031"/>
      <c r="B29" s="1031"/>
      <c r="C29" s="2356"/>
      <c r="D29" s="2358"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7" sqref="B27"/>
    </sheetView>
  </sheetViews>
  <sheetFormatPr defaultColWidth="9" defaultRowHeight="13.5"/>
  <cols>
    <col min="1" max="1" width="13.5" style="2027" customWidth="1"/>
    <col min="2" max="2" width="23.25" style="1978" customWidth="1"/>
    <col min="3" max="3" width="13" style="2022" customWidth="1"/>
    <col min="4" max="4" width="5.75" style="2019" customWidth="1"/>
    <col min="5" max="5" width="7.125" style="2019" customWidth="1"/>
    <col min="6" max="6" width="10.625" style="2019" customWidth="1"/>
    <col min="7" max="7" width="7.5" style="2019" customWidth="1"/>
    <col min="8" max="8" width="9" style="2022" customWidth="1"/>
    <col min="9" max="9" width="11.625" style="2022" customWidth="1"/>
    <col min="10" max="10" width="9" style="2022" customWidth="1"/>
    <col min="11" max="19" width="9" style="2019" customWidth="1"/>
    <col min="20" max="23" width="9" style="2022" customWidth="1"/>
    <col min="24" max="24" width="21.125" style="1978" customWidth="1"/>
    <col min="25" max="16384" width="9" style="1978"/>
  </cols>
  <sheetData>
    <row r="1" spans="1:23" s="2016" customFormat="1" ht="27">
      <c r="A1" s="2010" t="s">
        <v>71</v>
      </c>
      <c r="B1" s="2011" t="s">
        <v>1686</v>
      </c>
      <c r="C1" s="2012" t="s">
        <v>759</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1141</v>
      </c>
      <c r="R1" s="2013" t="s">
        <v>1135</v>
      </c>
      <c r="S1" s="2013" t="s">
        <v>1699</v>
      </c>
      <c r="T1" s="2015" t="s">
        <v>1700</v>
      </c>
      <c r="U1" s="2013" t="s">
        <v>1701</v>
      </c>
      <c r="V1" s="2013" t="s">
        <v>1702</v>
      </c>
      <c r="W1" s="2013" t="s">
        <v>755</v>
      </c>
    </row>
    <row r="2" spans="1:23">
      <c r="A2" s="2017" t="s">
        <v>22</v>
      </c>
      <c r="B2" s="2017" t="s">
        <v>1703</v>
      </c>
      <c r="C2" s="2018" t="s">
        <v>760</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1137</v>
      </c>
      <c r="S2" s="2019" t="s">
        <v>1709</v>
      </c>
      <c r="T2" s="2019" t="s">
        <v>1710</v>
      </c>
      <c r="U2" s="2019" t="s">
        <v>1709</v>
      </c>
      <c r="V2" s="2019" t="s">
        <v>1711</v>
      </c>
      <c r="W2" s="2019" t="s">
        <v>1709</v>
      </c>
    </row>
    <row r="3" spans="1:23">
      <c r="A3" s="2017" t="s">
        <v>1712</v>
      </c>
      <c r="B3" s="2020" t="s">
        <v>1142</v>
      </c>
      <c r="C3" s="2021" t="s">
        <v>761</v>
      </c>
      <c r="D3" s="2019" t="s">
        <v>1713</v>
      </c>
      <c r="E3" s="2019" t="s">
        <v>16</v>
      </c>
      <c r="F3" s="2019" t="s">
        <v>1714</v>
      </c>
      <c r="G3" s="2019">
        <v>50</v>
      </c>
      <c r="H3" s="2019" t="s">
        <v>1714</v>
      </c>
      <c r="I3" s="2019" t="s">
        <v>1715</v>
      </c>
      <c r="J3" s="2019" t="s">
        <v>1716</v>
      </c>
      <c r="K3" s="2019" t="s">
        <v>1717</v>
      </c>
      <c r="L3" s="2019" t="s">
        <v>1717</v>
      </c>
      <c r="M3" s="2019" t="s">
        <v>1717</v>
      </c>
      <c r="N3" s="2019" t="s">
        <v>1717</v>
      </c>
      <c r="O3" s="2019" t="s">
        <v>1717</v>
      </c>
      <c r="P3" s="2019" t="s">
        <v>1717</v>
      </c>
      <c r="Q3" s="2019" t="s">
        <v>1717</v>
      </c>
      <c r="R3" s="2019" t="s">
        <v>1136</v>
      </c>
      <c r="S3" s="2019" t="s">
        <v>1717</v>
      </c>
      <c r="T3" s="2019" t="s">
        <v>1718</v>
      </c>
      <c r="U3" s="2019" t="s">
        <v>1717</v>
      </c>
      <c r="V3" s="2019" t="s">
        <v>1719</v>
      </c>
      <c r="W3" s="2019" t="s">
        <v>1717</v>
      </c>
    </row>
    <row r="4" spans="1:23">
      <c r="A4" s="2017" t="s">
        <v>1720</v>
      </c>
      <c r="B4" s="2017" t="s">
        <v>1721</v>
      </c>
      <c r="C4" s="2018" t="s">
        <v>762</v>
      </c>
      <c r="D4" s="2019" t="s">
        <v>865</v>
      </c>
      <c r="E4" s="2019" t="s">
        <v>1722</v>
      </c>
      <c r="F4" s="2019" t="s">
        <v>1723</v>
      </c>
      <c r="G4" s="2019">
        <v>70</v>
      </c>
      <c r="H4" s="2019" t="s">
        <v>1723</v>
      </c>
      <c r="I4" s="2019" t="s">
        <v>1724</v>
      </c>
      <c r="K4" s="2019" t="s">
        <v>1725</v>
      </c>
      <c r="L4" s="2019" t="s">
        <v>1725</v>
      </c>
      <c r="M4" s="2019" t="s">
        <v>1725</v>
      </c>
      <c r="N4" s="2019" t="s">
        <v>1725</v>
      </c>
      <c r="O4" s="2019" t="s">
        <v>1725</v>
      </c>
      <c r="P4" s="2019" t="s">
        <v>1725</v>
      </c>
      <c r="Q4" s="2019" t="s">
        <v>1725</v>
      </c>
      <c r="R4" s="2019" t="s">
        <v>1138</v>
      </c>
      <c r="S4" s="2019" t="s">
        <v>1725</v>
      </c>
      <c r="T4" s="2019" t="s">
        <v>1726</v>
      </c>
      <c r="U4" s="2019" t="s">
        <v>1725</v>
      </c>
      <c r="W4" s="2019" t="s">
        <v>1725</v>
      </c>
    </row>
    <row r="5" spans="1:23">
      <c r="A5" s="2017" t="s">
        <v>1727</v>
      </c>
      <c r="B5" s="2017" t="s">
        <v>1728</v>
      </c>
      <c r="C5" s="2018" t="s">
        <v>763</v>
      </c>
      <c r="F5" s="2019" t="s">
        <v>1729</v>
      </c>
      <c r="H5" s="2019" t="s">
        <v>1730</v>
      </c>
      <c r="I5" s="2019" t="s">
        <v>1731</v>
      </c>
      <c r="K5" s="2019" t="s">
        <v>1732</v>
      </c>
      <c r="L5" s="2019" t="s">
        <v>1732</v>
      </c>
      <c r="M5" s="2019" t="s">
        <v>1732</v>
      </c>
      <c r="N5" s="2019" t="s">
        <v>1732</v>
      </c>
      <c r="O5" s="2019" t="s">
        <v>1732</v>
      </c>
      <c r="P5" s="2019" t="s">
        <v>1732</v>
      </c>
      <c r="Q5" s="2019" t="s">
        <v>1732</v>
      </c>
      <c r="R5" s="2019" t="s">
        <v>1139</v>
      </c>
      <c r="S5" s="2019" t="s">
        <v>1732</v>
      </c>
      <c r="T5" s="2019" t="s">
        <v>1733</v>
      </c>
      <c r="U5" s="2019" t="s">
        <v>1732</v>
      </c>
      <c r="W5" s="2019" t="s">
        <v>1732</v>
      </c>
    </row>
    <row r="6" spans="1:23">
      <c r="A6" s="2017" t="s">
        <v>1734</v>
      </c>
      <c r="B6" s="2020" t="s">
        <v>1143</v>
      </c>
      <c r="C6" s="2023" t="s">
        <v>30</v>
      </c>
      <c r="F6" s="2019" t="s">
        <v>1730</v>
      </c>
      <c r="H6" s="2019" t="s">
        <v>1735</v>
      </c>
      <c r="I6" s="2019" t="s">
        <v>1736</v>
      </c>
      <c r="K6" s="2019" t="s">
        <v>1737</v>
      </c>
      <c r="L6" s="2019" t="s">
        <v>1737</v>
      </c>
      <c r="M6" s="2019" t="s">
        <v>1737</v>
      </c>
      <c r="N6" s="2019" t="s">
        <v>1737</v>
      </c>
      <c r="O6" s="2019" t="s">
        <v>1737</v>
      </c>
      <c r="P6" s="2019" t="s">
        <v>1737</v>
      </c>
      <c r="Q6" s="2019" t="s">
        <v>1737</v>
      </c>
      <c r="R6" s="2019" t="s">
        <v>1140</v>
      </c>
      <c r="S6" s="2019" t="s">
        <v>1737</v>
      </c>
      <c r="T6" s="2019"/>
      <c r="U6" s="2019" t="s">
        <v>1737</v>
      </c>
      <c r="W6" s="2019" t="s">
        <v>1737</v>
      </c>
    </row>
    <row r="7" spans="1:23">
      <c r="A7" s="2017" t="s">
        <v>1738</v>
      </c>
      <c r="B7" s="2020" t="s">
        <v>1144</v>
      </c>
      <c r="C7" s="2018" t="s">
        <v>31</v>
      </c>
      <c r="F7" s="2019" t="s">
        <v>1739</v>
      </c>
      <c r="H7" s="2019" t="s">
        <v>1740</v>
      </c>
      <c r="I7" s="2019" t="s">
        <v>1741</v>
      </c>
    </row>
    <row r="8" spans="1:23">
      <c r="A8" s="2017" t="s">
        <v>1742</v>
      </c>
      <c r="B8" s="2017" t="s">
        <v>1743</v>
      </c>
      <c r="C8" s="2018" t="s">
        <v>764</v>
      </c>
      <c r="F8" s="2019" t="s">
        <v>1744</v>
      </c>
      <c r="H8" s="2019"/>
      <c r="I8" s="2019" t="s">
        <v>1745</v>
      </c>
    </row>
    <row r="9" spans="1:23">
      <c r="A9" s="2017" t="s">
        <v>1746</v>
      </c>
      <c r="B9" s="2017" t="s">
        <v>1747</v>
      </c>
      <c r="C9" s="2018" t="s">
        <v>765</v>
      </c>
      <c r="F9" s="2019" t="s">
        <v>1748</v>
      </c>
      <c r="H9" s="2019"/>
    </row>
    <row r="10" spans="1:23">
      <c r="A10" s="2017" t="s">
        <v>1749</v>
      </c>
      <c r="B10" s="2017" t="s">
        <v>1750</v>
      </c>
      <c r="C10" s="2018" t="s">
        <v>766</v>
      </c>
      <c r="F10" s="2019" t="s">
        <v>16</v>
      </c>
    </row>
    <row r="11" spans="1:23">
      <c r="A11" s="2017" t="s">
        <v>1751</v>
      </c>
      <c r="B11" s="2017" t="s">
        <v>1752</v>
      </c>
      <c r="C11" s="2018" t="s">
        <v>767</v>
      </c>
    </row>
    <row r="12" spans="1:23">
      <c r="A12" s="2017" t="s">
        <v>1753</v>
      </c>
      <c r="B12" s="2017" t="s">
        <v>1754</v>
      </c>
      <c r="C12" s="2018" t="s">
        <v>768</v>
      </c>
    </row>
    <row r="13" spans="1:23">
      <c r="A13" s="2017" t="s">
        <v>1755</v>
      </c>
      <c r="B13" s="2017" t="s">
        <v>1756</v>
      </c>
      <c r="C13" s="2018" t="s">
        <v>769</v>
      </c>
    </row>
    <row r="14" spans="1:23">
      <c r="A14" s="2017" t="s">
        <v>1757</v>
      </c>
      <c r="B14" s="2017" t="s">
        <v>1758</v>
      </c>
      <c r="C14" s="2019" t="s">
        <v>16</v>
      </c>
    </row>
    <row r="15" spans="1:23">
      <c r="A15" s="2017" t="s">
        <v>1759</v>
      </c>
      <c r="B15" s="2017" t="s">
        <v>1760</v>
      </c>
      <c r="C15" s="2018"/>
    </row>
    <row r="16" spans="1:23">
      <c r="A16" s="2017" t="s">
        <v>1761</v>
      </c>
      <c r="B16" s="2017" t="s">
        <v>756</v>
      </c>
      <c r="C16" s="2018"/>
    </row>
    <row r="17" spans="1:3">
      <c r="A17" s="2017" t="s">
        <v>1762</v>
      </c>
      <c r="B17" s="2017" t="s">
        <v>3368</v>
      </c>
      <c r="C17" s="2018"/>
    </row>
    <row r="18" spans="1:3">
      <c r="A18" s="2017" t="s">
        <v>1763</v>
      </c>
      <c r="B18" s="2017" t="s">
        <v>3369</v>
      </c>
      <c r="C18" s="2018"/>
    </row>
    <row r="19" spans="1:3">
      <c r="A19" s="2017" t="s">
        <v>1764</v>
      </c>
      <c r="B19" s="2017" t="s">
        <v>3406</v>
      </c>
      <c r="C19" s="2018"/>
    </row>
    <row r="20" spans="1:3">
      <c r="A20" s="2017" t="s">
        <v>1765</v>
      </c>
      <c r="B20" s="2017" t="s">
        <v>3407</v>
      </c>
      <c r="C20" s="2018"/>
    </row>
    <row r="21" spans="1:3">
      <c r="A21" s="2017" t="s">
        <v>1766</v>
      </c>
      <c r="B21" s="2017" t="s">
        <v>757</v>
      </c>
      <c r="C21" s="2018"/>
    </row>
    <row r="22" spans="1:3">
      <c r="A22" s="2017" t="s">
        <v>1767</v>
      </c>
      <c r="B22" s="2017" t="s">
        <v>757</v>
      </c>
      <c r="C22" s="2018"/>
    </row>
    <row r="23" spans="1:3">
      <c r="A23" s="2017" t="s">
        <v>1768</v>
      </c>
      <c r="B23" s="2017" t="s">
        <v>757</v>
      </c>
      <c r="C23" s="2018"/>
    </row>
    <row r="24" spans="1:3">
      <c r="A24" s="2017" t="s">
        <v>1769</v>
      </c>
      <c r="B24" s="2017" t="s">
        <v>757</v>
      </c>
      <c r="C24" s="2018"/>
    </row>
    <row r="25" spans="1:3">
      <c r="A25" s="2017" t="s">
        <v>1770</v>
      </c>
      <c r="B25" s="2017" t="s">
        <v>757</v>
      </c>
      <c r="C25" s="2018"/>
    </row>
    <row r="26" spans="1:3">
      <c r="A26" s="2017" t="s">
        <v>1771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3079"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79"/>
      <c r="B54" s="2025" t="s">
        <v>861</v>
      </c>
      <c r="C54" s="2022" t="s">
        <v>1277</v>
      </c>
    </row>
    <row r="55" spans="1:4">
      <c r="A55" s="3079"/>
      <c r="B55" s="2025" t="s">
        <v>862</v>
      </c>
      <c r="C55" s="2022" t="s">
        <v>1278</v>
      </c>
    </row>
    <row r="56" spans="1:4">
      <c r="A56" s="3079"/>
      <c r="B56" s="2025" t="s">
        <v>863</v>
      </c>
      <c r="C56" s="2022" t="s">
        <v>1282</v>
      </c>
    </row>
    <row r="57" spans="1:4">
      <c r="A57" s="3079"/>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1772</v>
      </c>
      <c r="B1" s="3088" t="str">
        <f>IF(B10="北京市","北京市",C10)&amp;F10&amp;IF(结果表!G1="在建","出让国有建设用地使用权及在建建筑物",IF(结果表!G1="土地","出让国有建设用地使用权",))&amp;B9&amp;"预评估"</f>
        <v>房地产抵押价值预评估</v>
      </c>
      <c r="C1" s="3089"/>
      <c r="D1" s="3089"/>
      <c r="E1" s="3089"/>
      <c r="F1" s="3089"/>
      <c r="G1" s="3089"/>
      <c r="H1" s="3089"/>
      <c r="I1" s="3090"/>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房地产抵押价值</v>
      </c>
    </row>
    <row r="2" spans="1:19" ht="18" customHeight="1">
      <c r="A2" s="2029" t="s">
        <v>1773</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房地产</v>
      </c>
    </row>
    <row r="3" spans="1:19" ht="18" customHeight="1">
      <c r="A3" s="2038" t="s">
        <v>1774</v>
      </c>
      <c r="B3" s="2039">
        <v>43598</v>
      </c>
      <c r="C3" s="2040" t="s">
        <v>1775</v>
      </c>
      <c r="D3" s="2039">
        <f>B3</f>
        <v>43598</v>
      </c>
      <c r="E3" s="2029"/>
      <c r="F3" s="2029"/>
      <c r="G3" s="2029"/>
      <c r="H3" s="2029"/>
      <c r="I3" s="2029"/>
      <c r="J3" s="2029"/>
      <c r="K3" s="2030"/>
      <c r="L3" s="2031"/>
      <c r="M3" s="2031"/>
      <c r="N3" s="2032"/>
      <c r="O3" s="2033"/>
      <c r="P3" s="2032"/>
      <c r="Q3" s="2032"/>
      <c r="R3" s="2032"/>
      <c r="S3" s="2034"/>
    </row>
    <row r="4" spans="1:19" ht="18" customHeight="1" thickBot="1">
      <c r="A4" s="2041" t="s">
        <v>1776</v>
      </c>
      <c r="B4" s="2042"/>
      <c r="C4" s="1040">
        <f>SUMIF(注册房地产估价师,B4,估价师及机构信息!B3:B24)</f>
        <v>0</v>
      </c>
      <c r="D4" s="2042"/>
      <c r="E4" s="1041">
        <f>SUMIF(注册房地产估价师,D4,估价师及机构信息!B3:B24)</f>
        <v>0</v>
      </c>
      <c r="F4" s="2042" t="s">
        <v>70</v>
      </c>
      <c r="G4" s="2043">
        <f>SUMIF(注册房地产估价师,F4,估价师及机构信息!B3:B24)</f>
        <v>0</v>
      </c>
      <c r="H4" s="2042" t="s">
        <v>70</v>
      </c>
      <c r="I4" s="2044">
        <f>SUMIF(注册房地产估价师,H4,估价师及机构信息!B3:B24)</f>
        <v>0</v>
      </c>
      <c r="J4" s="2045"/>
      <c r="K4" s="2046" t="str">
        <f>CONCATENATE(B4,"（注册号：",C4,")、",D4,"（注册号：",E4,")")</f>
        <v>（注册号：0)、（注册号：0)</v>
      </c>
      <c r="L4" s="2031"/>
      <c r="M4" s="2031"/>
      <c r="N4" s="2032"/>
      <c r="O4" s="2033"/>
      <c r="P4" s="2032"/>
      <c r="Q4" s="2032"/>
      <c r="R4" s="2032"/>
      <c r="S4" s="2034"/>
    </row>
    <row r="5" spans="1:19" ht="18" customHeight="1" thickTop="1">
      <c r="A5" s="2047" t="s">
        <v>1777</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1778</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1779</v>
      </c>
      <c r="B7" s="2056"/>
      <c r="C7" s="2053"/>
      <c r="D7" s="2054"/>
      <c r="E7" s="2037"/>
      <c r="F7" s="2045"/>
      <c r="G7" s="2045"/>
      <c r="H7" s="2045"/>
      <c r="I7" s="2045"/>
      <c r="J7" s="2045"/>
      <c r="K7" s="2057"/>
      <c r="L7" s="2031"/>
      <c r="M7" s="2031"/>
      <c r="N7" s="2032"/>
      <c r="O7" s="2033"/>
      <c r="P7" s="2032"/>
      <c r="Q7" s="2032"/>
      <c r="R7" s="2032"/>
    </row>
    <row r="8" spans="1:19" ht="18" customHeight="1">
      <c r="A8" s="2051" t="s">
        <v>1780</v>
      </c>
      <c r="B8" s="2058" t="s">
        <v>3053</v>
      </c>
      <c r="C8" s="2059"/>
      <c r="D8" s="3091" t="s">
        <v>1781</v>
      </c>
      <c r="E8" s="2060" t="s">
        <v>3054</v>
      </c>
      <c r="F8" s="2061"/>
      <c r="G8" s="2029"/>
      <c r="H8" s="2029"/>
      <c r="I8" s="2029"/>
      <c r="J8" s="2045"/>
      <c r="K8" s="2046"/>
      <c r="L8" s="2031"/>
      <c r="M8" s="2031"/>
      <c r="N8" s="2032"/>
      <c r="O8" s="2033"/>
      <c r="P8" s="2032"/>
      <c r="Q8" s="2032"/>
      <c r="R8" s="2032"/>
    </row>
    <row r="9" spans="1:19" ht="18" customHeight="1" thickBot="1">
      <c r="A9" s="2043" t="s">
        <v>1782</v>
      </c>
      <c r="B9" s="2062" t="s">
        <v>3054</v>
      </c>
      <c r="C9" s="2063"/>
      <c r="D9" s="3092"/>
      <c r="E9" s="2062"/>
      <c r="F9" s="2064"/>
      <c r="G9" s="2065"/>
      <c r="H9" s="2065"/>
      <c r="I9" s="2065"/>
      <c r="J9" s="2045"/>
      <c r="K9" s="2057"/>
      <c r="L9" s="2031"/>
      <c r="M9" s="2031"/>
      <c r="N9" s="2032"/>
      <c r="O9" s="2033"/>
      <c r="P9" s="2032"/>
      <c r="Q9" s="2032"/>
      <c r="R9" s="2032"/>
    </row>
    <row r="10" spans="1:19" ht="18" customHeight="1" thickTop="1">
      <c r="A10" s="2066" t="s">
        <v>1783</v>
      </c>
      <c r="B10" s="2067" t="s">
        <v>3055</v>
      </c>
      <c r="C10" s="2068"/>
      <c r="D10" s="2050"/>
      <c r="E10" s="2069" t="s">
        <v>1784</v>
      </c>
      <c r="F10" s="2070"/>
      <c r="G10" s="2071"/>
      <c r="H10" s="2072"/>
      <c r="I10" s="2050"/>
      <c r="J10" s="2045"/>
      <c r="K10" s="2057"/>
      <c r="L10" s="2031"/>
      <c r="M10" s="2031"/>
      <c r="N10" s="2032"/>
      <c r="O10" s="2033"/>
      <c r="P10" s="2032"/>
      <c r="Q10" s="2032"/>
      <c r="R10" s="2032"/>
    </row>
    <row r="11" spans="1:19" ht="18" customHeight="1">
      <c r="A11" s="2073" t="s">
        <v>1785</v>
      </c>
      <c r="B11" s="2074" t="s">
        <v>3056</v>
      </c>
      <c r="C11" s="2075"/>
      <c r="D11" s="2076"/>
      <c r="E11" s="2045"/>
      <c r="F11" s="2045"/>
      <c r="G11" s="2045"/>
      <c r="H11" s="2045"/>
      <c r="I11" s="2045"/>
      <c r="J11" s="2045"/>
      <c r="K11" s="2057"/>
      <c r="L11" s="2031"/>
      <c r="M11" s="2031"/>
      <c r="N11" s="2032"/>
      <c r="O11" s="2033"/>
      <c r="P11" s="2032"/>
      <c r="Q11" s="2032"/>
      <c r="R11" s="2032"/>
    </row>
    <row r="12" spans="1:19" ht="18" customHeight="1">
      <c r="A12" s="2077" t="s">
        <v>1786</v>
      </c>
      <c r="B12" s="2074" t="s">
        <v>3057</v>
      </c>
      <c r="C12" s="2078" t="s">
        <v>1787</v>
      </c>
      <c r="D12" s="2079" t="s">
        <v>1788</v>
      </c>
      <c r="E12" s="2079" t="s">
        <v>1789</v>
      </c>
      <c r="F12" s="2079" t="s">
        <v>1790</v>
      </c>
      <c r="G12" s="2079" t="s">
        <v>1791</v>
      </c>
      <c r="H12" s="2079" t="s">
        <v>1792</v>
      </c>
      <c r="I12" s="2079" t="s">
        <v>1793</v>
      </c>
      <c r="J12" s="2045"/>
      <c r="K12" s="2057"/>
      <c r="L12" s="2031"/>
      <c r="M12" s="2031"/>
      <c r="N12" s="2032"/>
      <c r="O12" s="2033"/>
      <c r="P12" s="2032"/>
      <c r="Q12" s="2032"/>
      <c r="R12" s="2032"/>
    </row>
    <row r="13" spans="1:19" ht="18" customHeight="1">
      <c r="A13" s="2080"/>
      <c r="B13" s="2081"/>
      <c r="C13" s="2082" t="s">
        <v>1794</v>
      </c>
      <c r="D13" s="2083"/>
      <c r="E13" s="2083">
        <v>56156</v>
      </c>
      <c r="F13" s="2083"/>
      <c r="G13" s="2083"/>
      <c r="H13" s="2083"/>
      <c r="I13" s="1050"/>
      <c r="J13" s="2045"/>
      <c r="K13" s="2057"/>
      <c r="L13" s="2031"/>
      <c r="M13" s="2031"/>
      <c r="N13" s="2032"/>
      <c r="O13" s="2033"/>
      <c r="P13" s="2032"/>
      <c r="Q13" s="2032"/>
      <c r="R13" s="2032"/>
    </row>
    <row r="14" spans="1:19" ht="18" customHeight="1">
      <c r="A14" s="2080"/>
      <c r="B14" s="2081"/>
      <c r="C14" s="2082" t="s">
        <v>1795</v>
      </c>
      <c r="D14" s="1053"/>
      <c r="E14" s="1053">
        <v>40</v>
      </c>
      <c r="F14" s="1053"/>
      <c r="G14" s="1053"/>
      <c r="H14" s="1053"/>
      <c r="I14" s="1053"/>
      <c r="J14" s="2045"/>
      <c r="K14" s="2084"/>
      <c r="L14" s="2031"/>
      <c r="M14" s="2031"/>
      <c r="N14" s="2032"/>
      <c r="O14" s="2033"/>
      <c r="P14" s="2032"/>
      <c r="Q14" s="2032"/>
      <c r="R14" s="2032"/>
    </row>
    <row r="15" spans="1:19" ht="18" customHeight="1">
      <c r="A15" s="2066"/>
      <c r="B15" s="2085"/>
      <c r="C15" s="2082" t="s">
        <v>1796</v>
      </c>
      <c r="D15" s="1052" t="str">
        <f>IF(B12="出让",IF(D13="","",ROUNDDOWN(MIN((D13-$D$3)/365,D14),2)),D14)</f>
        <v/>
      </c>
      <c r="E15" s="1052">
        <f>IF(B12="出让",IF(E13="","",ROUNDDOWN(MIN((E13-$D$3)/365,E14),2)),E14)</f>
        <v>34.4</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1797</v>
      </c>
      <c r="B16" s="3098"/>
      <c r="C16" s="3099"/>
      <c r="D16" s="3100"/>
      <c r="E16" s="2089" t="s">
        <v>1798</v>
      </c>
      <c r="F16" s="3101"/>
      <c r="G16" s="3102"/>
      <c r="H16" s="3102"/>
      <c r="I16" s="3103"/>
      <c r="J16" s="2032"/>
      <c r="K16" s="2086"/>
      <c r="L16" s="2087"/>
      <c r="M16" s="2087"/>
      <c r="N16" s="2088"/>
      <c r="O16" s="2087"/>
      <c r="P16" s="2088"/>
      <c r="Q16" s="2032"/>
      <c r="R16" s="2032"/>
    </row>
    <row r="17" spans="1:22" ht="18" customHeight="1">
      <c r="A17" s="2090" t="s">
        <v>1799</v>
      </c>
      <c r="B17" s="2038" t="s">
        <v>1800</v>
      </c>
      <c r="C17" s="1057">
        <f>'数据-汇总表'!E3</f>
        <v>20447.539999999997</v>
      </c>
      <c r="D17" s="2091" t="s">
        <v>1801</v>
      </c>
      <c r="E17" s="3104" t="s">
        <v>1802</v>
      </c>
      <c r="F17" s="3105"/>
      <c r="G17" s="3105"/>
      <c r="H17" s="3105"/>
      <c r="I17" s="3106"/>
      <c r="J17" s="2032"/>
      <c r="K17" s="2092"/>
      <c r="L17" s="2087"/>
      <c r="M17" s="2087"/>
      <c r="N17" s="2088"/>
      <c r="O17" s="2087"/>
      <c r="P17" s="2088"/>
      <c r="Q17" s="2032"/>
      <c r="R17" s="2032"/>
      <c r="S17" s="2032"/>
      <c r="T17" s="2032"/>
      <c r="U17" s="2032"/>
      <c r="V17" s="2032"/>
    </row>
    <row r="18" spans="1:22" ht="36" customHeight="1" thickBot="1">
      <c r="A18" s="2093" t="s">
        <v>1803</v>
      </c>
      <c r="B18" s="2041" t="s">
        <v>1804</v>
      </c>
      <c r="C18" s="1447">
        <f>'数据-汇总表'!D3</f>
        <v>40347.69</v>
      </c>
      <c r="D18" s="2094" t="s">
        <v>1801</v>
      </c>
      <c r="E18" s="3107" t="s">
        <v>1805</v>
      </c>
      <c r="F18" s="3108"/>
      <c r="G18" s="3108"/>
      <c r="H18" s="3108"/>
      <c r="I18" s="3109"/>
      <c r="J18" s="2032"/>
      <c r="K18" s="2092"/>
      <c r="L18" s="2087"/>
      <c r="M18" s="2087"/>
      <c r="N18" s="2088"/>
      <c r="O18" s="2087"/>
      <c r="P18" s="2088"/>
      <c r="Q18" s="2032"/>
      <c r="R18" s="2032"/>
      <c r="S18" s="2032"/>
      <c r="T18" s="2032"/>
      <c r="U18" s="2032"/>
      <c r="V18" s="2032"/>
    </row>
    <row r="19" spans="1:22" ht="37.5" customHeight="1" thickTop="1" thickBot="1">
      <c r="A19" s="373" t="s">
        <v>1806</v>
      </c>
      <c r="B19" s="352" t="s">
        <v>1807</v>
      </c>
      <c r="C19" s="2095"/>
      <c r="D19" s="2096" t="s">
        <v>1808</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1809</v>
      </c>
      <c r="B20" s="3094" t="s">
        <v>1810</v>
      </c>
      <c r="C20" s="3095"/>
      <c r="D20" s="3096" t="s">
        <v>1811</v>
      </c>
      <c r="E20" s="3097"/>
      <c r="F20" s="2101" t="s">
        <v>1812</v>
      </c>
      <c r="G20" s="2045"/>
      <c r="H20" s="2045"/>
      <c r="I20" s="2045"/>
      <c r="J20" s="2045"/>
      <c r="K20" s="3093"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1814</v>
      </c>
      <c r="C21" s="2103" t="s">
        <v>1815</v>
      </c>
      <c r="D21" s="2104" t="s">
        <v>1816</v>
      </c>
      <c r="E21" s="2105" t="s">
        <v>1815</v>
      </c>
      <c r="F21" s="2106"/>
      <c r="G21" s="2045"/>
      <c r="H21" s="2045"/>
      <c r="I21" s="2045"/>
      <c r="J21" s="2045"/>
      <c r="K21" s="309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1817</v>
      </c>
      <c r="C22" s="2103" t="s">
        <v>1818</v>
      </c>
      <c r="D22" s="2029"/>
      <c r="E22" s="2029"/>
      <c r="F22" s="2108"/>
      <c r="G22" s="2045"/>
      <c r="H22" s="2045"/>
      <c r="I22" s="2045"/>
      <c r="J22" s="2045"/>
      <c r="K22" s="309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1819</v>
      </c>
      <c r="B23" s="183" t="s">
        <v>1820</v>
      </c>
      <c r="C23" s="2110"/>
      <c r="D23" s="2111" t="s">
        <v>1820</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1821</v>
      </c>
      <c r="C24" s="2115"/>
      <c r="D24" s="2109" t="s">
        <v>1821</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1822</v>
      </c>
      <c r="C25" s="2115"/>
      <c r="D25" s="2109" t="s">
        <v>1822</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1823</v>
      </c>
      <c r="C26" s="2119"/>
      <c r="D26" s="2120" t="s">
        <v>1824</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81" t="s">
        <v>1825</v>
      </c>
      <c r="B27" s="2066" t="s">
        <v>1826</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81"/>
      <c r="B28" s="2038" t="s">
        <v>1827</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81"/>
      <c r="B29" s="2038" t="s">
        <v>1828</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82"/>
      <c r="B30" s="2038" t="s">
        <v>1829</v>
      </c>
      <c r="C30" s="3083"/>
      <c r="D30" s="3084"/>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85" t="s">
        <v>1830</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86"/>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86"/>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1831</v>
      </c>
      <c r="B34" s="2137"/>
      <c r="C34" s="2137"/>
      <c r="D34" s="2137"/>
      <c r="E34" s="2137"/>
      <c r="F34" s="2137"/>
      <c r="G34" s="2137"/>
      <c r="H34" s="2137"/>
      <c r="I34" s="2045"/>
      <c r="J34" s="2045"/>
      <c r="K34" s="1798">
        <f>COUNTIF(B34:H34,"——")</f>
        <v>0</v>
      </c>
      <c r="L34" s="2078" t="s">
        <v>1832</v>
      </c>
      <c r="M34" s="2078" t="s">
        <v>1833</v>
      </c>
      <c r="N34" s="2078" t="s">
        <v>1834</v>
      </c>
      <c r="O34" s="2078" t="s">
        <v>1835</v>
      </c>
      <c r="P34" s="2078" t="s">
        <v>1836</v>
      </c>
      <c r="Q34" s="2078" t="s">
        <v>1837</v>
      </c>
      <c r="R34" s="2078" t="s">
        <v>1838</v>
      </c>
      <c r="S34" s="3080" t="s">
        <v>1839</v>
      </c>
      <c r="T34" s="2138" t="str">
        <f>NUMBERSTRING(7-K34,1)&amp;"通"</f>
        <v>七通</v>
      </c>
      <c r="U34" s="2032"/>
      <c r="V34" s="2032"/>
    </row>
    <row r="35" spans="1:22" ht="18" customHeight="1">
      <c r="A35" s="2139"/>
      <c r="B35" s="3087" t="s">
        <v>1840</v>
      </c>
      <c r="C35" s="3087"/>
      <c r="D35" s="3087"/>
      <c r="E35" s="3087"/>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80"/>
      <c r="T35" s="48" t="str">
        <f>IF(T34="一通",L35,IF(T34="二通",M35,IF(T34="三通",N35,IF(T34="四通",O35,IF(T34="五通",P35,IF(T34="六通",Q35,R35))))))</f>
        <v>、、、、、、</v>
      </c>
      <c r="U35" s="2032"/>
      <c r="V35" s="2032"/>
    </row>
    <row r="36" spans="1:22" ht="18" customHeight="1">
      <c r="A36" s="2141"/>
      <c r="B36" s="2140" t="s">
        <v>1841</v>
      </c>
      <c r="C36" s="2140" t="s">
        <v>1842</v>
      </c>
      <c r="D36" s="2140" t="s">
        <v>1843</v>
      </c>
      <c r="E36" s="2140" t="s">
        <v>1844</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1845</v>
      </c>
      <c r="B37" s="2144"/>
      <c r="C37" s="2144"/>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1846</v>
      </c>
      <c r="B38" s="2146"/>
      <c r="C38" s="2146"/>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1847</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1848</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1849</v>
      </c>
      <c r="B42" s="1798" t="s">
        <v>1850</v>
      </c>
      <c r="C42" s="1798" t="s">
        <v>1851</v>
      </c>
      <c r="D42" s="1798" t="s">
        <v>1852</v>
      </c>
      <c r="E42" s="1798" t="s">
        <v>1853</v>
      </c>
      <c r="F42" s="1798" t="s">
        <v>1854</v>
      </c>
      <c r="G42" s="1798" t="s">
        <v>1855</v>
      </c>
      <c r="H42" s="1798" t="s">
        <v>1856</v>
      </c>
      <c r="I42" s="1798" t="s">
        <v>1857</v>
      </c>
      <c r="J42" s="2156" t="s">
        <v>1858</v>
      </c>
      <c r="K42" s="2079" t="s">
        <v>1859</v>
      </c>
      <c r="L42" s="2079" t="s">
        <v>1860</v>
      </c>
      <c r="M42" s="2079" t="s">
        <v>1861</v>
      </c>
      <c r="N42" s="1798" t="s">
        <v>1862</v>
      </c>
      <c r="O42" s="1798" t="s">
        <v>1863</v>
      </c>
      <c r="P42" s="1798" t="s">
        <v>1864</v>
      </c>
      <c r="Q42" s="2078" t="s">
        <v>1865</v>
      </c>
      <c r="R42" s="2078" t="s">
        <v>1866</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2163" customWidth="1"/>
    <col min="2" max="2" width="11" style="2163" customWidth="1"/>
    <col min="3" max="3" width="10.375" style="2959" customWidth="1"/>
    <col min="4" max="4" width="9.125" style="2163" customWidth="1"/>
    <col min="5" max="6" width="10" style="2224"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1867</v>
      </c>
      <c r="B1" s="2033"/>
      <c r="C1" s="2955"/>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1869</v>
      </c>
      <c r="B2" s="11" t="s">
        <v>1870</v>
      </c>
      <c r="C2" s="2948" t="s">
        <v>3285</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1871</v>
      </c>
      <c r="AZ2" s="1273" t="s">
        <v>1872</v>
      </c>
      <c r="BA2" s="11" t="s">
        <v>1873</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f>面积表!F3+面积表!F7</f>
        <v>40347.69</v>
      </c>
      <c r="B3" s="14">
        <f>IF(C3="否",G5-AT5,G5)</f>
        <v>20447.539999999997</v>
      </c>
      <c r="C3" s="1831" t="s">
        <v>1874</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5" customFormat="1" ht="13.5" thickBot="1">
      <c r="A4" s="2172"/>
      <c r="B4" s="2173"/>
      <c r="C4" s="2951"/>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4"/>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1875</v>
      </c>
      <c r="B5" s="1806"/>
      <c r="C5" s="2947"/>
      <c r="D5" s="1809"/>
      <c r="E5" s="16" t="s">
        <v>1</v>
      </c>
      <c r="F5" s="16">
        <f>SUM(F13:F587)</f>
        <v>0</v>
      </c>
      <c r="G5" s="16">
        <f>SUM(G13:G587)</f>
        <v>20447.539999999997</v>
      </c>
      <c r="H5" s="16">
        <f t="shared" ref="H5:AT5" si="0">SUM(H13:H656)</f>
        <v>20447.539999999997</v>
      </c>
      <c r="I5" s="16">
        <f t="shared" si="0"/>
        <v>20447.539999999997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1875</v>
      </c>
      <c r="AW5" s="1806"/>
      <c r="AX5" s="1806"/>
      <c r="AY5" s="17" t="s">
        <v>3</v>
      </c>
      <c r="AZ5" s="18">
        <f t="shared" ref="AZ5:BT5" si="1">SUM(AZ13:AZ656)</f>
        <v>20447.539999999997</v>
      </c>
      <c r="BA5" s="18">
        <f t="shared" si="1"/>
        <v>20447.539999999997</v>
      </c>
      <c r="BB5" s="18">
        <f t="shared" si="1"/>
        <v>20447.539999999997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1876</v>
      </c>
      <c r="B6" s="2176"/>
      <c r="C6" s="2952"/>
      <c r="D6" s="2177"/>
      <c r="E6" s="16">
        <f>H6+AC6+AT6</f>
        <v>40347.69</v>
      </c>
      <c r="F6" s="16" t="s">
        <v>1</v>
      </c>
      <c r="G6" s="16" t="s">
        <v>2</v>
      </c>
      <c r="H6" s="20">
        <f>SUMIF(I$12:AB$12,"总值",I6:AB6)</f>
        <v>40347.69</v>
      </c>
      <c r="I6" s="16">
        <f t="shared" ref="I6:AB6" si="2">ROUND($A$3*I5/$B$3,2)</f>
        <v>40347.69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1876</v>
      </c>
      <c r="AW6" s="2176"/>
      <c r="AX6" s="2176"/>
      <c r="AY6" s="21">
        <f>IF(AY3&gt;0,AY3,ROUND($A$3*AZ5/$B$3,2))</f>
        <v>40347.69</v>
      </c>
      <c r="AZ6" s="16" t="s">
        <v>3</v>
      </c>
      <c r="BA6" s="16">
        <f>ROUND($AY$6*BA5/$AZ$5,2)</f>
        <v>40347.69</v>
      </c>
      <c r="BB6" s="16">
        <f>ROUND($AY$6*BB5/$AZ$5,2)</f>
        <v>40347.69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1877</v>
      </c>
      <c r="B7" s="2113" t="s">
        <v>1878</v>
      </c>
      <c r="C7" s="2953" t="s">
        <v>3286</v>
      </c>
      <c r="D7" s="2113" t="s">
        <v>1880</v>
      </c>
      <c r="E7" s="2113" t="s">
        <v>1881</v>
      </c>
      <c r="F7" s="2113" t="s">
        <v>1882</v>
      </c>
      <c r="G7" s="2180" t="s">
        <v>1883</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1884</v>
      </c>
      <c r="AV7" s="23" t="s">
        <v>1885</v>
      </c>
      <c r="AW7" s="2170" t="s">
        <v>1886</v>
      </c>
      <c r="AX7" s="23" t="s">
        <v>1879</v>
      </c>
      <c r="AY7" s="1806" t="s">
        <v>1887</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954"/>
      <c r="D8" s="2184"/>
      <c r="E8" s="2184"/>
      <c r="F8" s="2184"/>
      <c r="G8" s="2185" t="s">
        <v>1888</v>
      </c>
      <c r="H8" s="2186" t="s">
        <v>1889</v>
      </c>
      <c r="I8" s="2187"/>
      <c r="J8" s="1821"/>
      <c r="K8" s="1821"/>
      <c r="L8" s="1821"/>
      <c r="M8" s="1821"/>
      <c r="N8" s="1821"/>
      <c r="O8" s="1821"/>
      <c r="P8" s="1821"/>
      <c r="Q8" s="1821"/>
      <c r="R8" s="1821"/>
      <c r="S8" s="1821"/>
      <c r="T8" s="1821"/>
      <c r="U8" s="1821"/>
      <c r="V8" s="2188"/>
      <c r="W8" s="1821"/>
      <c r="X8" s="1821"/>
      <c r="Y8" s="1821"/>
      <c r="Z8" s="1821"/>
      <c r="AA8" s="2188"/>
      <c r="AB8" s="2189"/>
      <c r="AC8" s="984" t="s">
        <v>1890</v>
      </c>
      <c r="AD8" s="2190"/>
      <c r="AE8" s="2182"/>
      <c r="AF8" s="1821"/>
      <c r="AG8" s="1821"/>
      <c r="AH8" s="1821"/>
      <c r="AI8" s="1821"/>
      <c r="AJ8" s="1821"/>
      <c r="AK8" s="1821"/>
      <c r="AL8" s="1821"/>
      <c r="AM8" s="1821"/>
      <c r="AN8" s="1821"/>
      <c r="AO8" s="1821"/>
      <c r="AP8" s="1821"/>
      <c r="AQ8" s="1821"/>
      <c r="AR8" s="1821"/>
      <c r="AS8" s="1821"/>
      <c r="AT8" s="1295" t="s">
        <v>1891</v>
      </c>
      <c r="AU8" s="2184" t="s">
        <v>1892</v>
      </c>
      <c r="AV8" s="1295"/>
      <c r="AW8" s="2169"/>
      <c r="AX8" s="1295"/>
      <c r="AY8" s="2170" t="s">
        <v>1893</v>
      </c>
      <c r="AZ8" s="1820" t="s">
        <v>1894</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954"/>
      <c r="D9" s="2184"/>
      <c r="E9" s="2184"/>
      <c r="F9" s="2184"/>
      <c r="G9" s="1295"/>
      <c r="H9" s="2192" t="s">
        <v>1895</v>
      </c>
      <c r="I9" s="2193" t="s">
        <v>3058</v>
      </c>
      <c r="J9" s="984"/>
      <c r="K9" s="2193"/>
      <c r="L9" s="984"/>
      <c r="M9" s="2193"/>
      <c r="N9" s="984"/>
      <c r="O9" s="2193"/>
      <c r="P9" s="984"/>
      <c r="Q9" s="2193"/>
      <c r="R9" s="984"/>
      <c r="S9" s="2193"/>
      <c r="T9" s="984"/>
      <c r="U9" s="2193"/>
      <c r="V9" s="984"/>
      <c r="W9" s="2193"/>
      <c r="X9" s="2194"/>
      <c r="Y9" s="2193"/>
      <c r="Z9" s="984"/>
      <c r="AA9" s="2193"/>
      <c r="AB9" s="984"/>
      <c r="AC9" s="2185"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5"/>
      <c r="AT9" s="2184"/>
      <c r="AU9" s="2184" t="s">
        <v>1898</v>
      </c>
      <c r="AV9" s="1295"/>
      <c r="AW9" s="2169"/>
      <c r="AX9" s="1295"/>
      <c r="AY9" s="28"/>
      <c r="AZ9" s="28" t="s">
        <v>1888</v>
      </c>
      <c r="BA9" s="2196" t="s">
        <v>1899</v>
      </c>
      <c r="BB9" s="2197"/>
      <c r="BC9" s="1341"/>
      <c r="BD9" s="1341"/>
      <c r="BE9" s="1341"/>
      <c r="BF9" s="1341"/>
      <c r="BG9" s="1341"/>
      <c r="BH9" s="1341"/>
      <c r="BI9" s="1341"/>
      <c r="BJ9" s="1341"/>
      <c r="BK9" s="2198"/>
      <c r="BL9" s="15" t="s">
        <v>1900</v>
      </c>
      <c r="BM9" s="1821"/>
      <c r="BN9" s="2187"/>
      <c r="BO9" s="1821"/>
      <c r="BP9" s="1821"/>
      <c r="BQ9" s="1821"/>
      <c r="BR9" s="1821"/>
      <c r="BS9" s="1821"/>
      <c r="BT9" s="26"/>
    </row>
    <row r="10" spans="1:72" s="2191" customFormat="1" ht="12.75">
      <c r="A10" s="2184"/>
      <c r="B10" s="2184"/>
      <c r="C10" s="2954"/>
      <c r="D10" s="2184"/>
      <c r="E10" s="2184"/>
      <c r="F10" s="2184"/>
      <c r="G10" s="1295"/>
      <c r="H10" s="28"/>
      <c r="I10" s="2193" t="s">
        <v>1373</v>
      </c>
      <c r="J10" s="984"/>
      <c r="K10" s="2199"/>
      <c r="L10" s="984"/>
      <c r="M10" s="2199"/>
      <c r="N10" s="984"/>
      <c r="O10" s="2199"/>
      <c r="P10" s="984"/>
      <c r="Q10" s="2199"/>
      <c r="R10" s="984"/>
      <c r="S10" s="2199"/>
      <c r="T10" s="984"/>
      <c r="U10" s="2199"/>
      <c r="V10" s="984"/>
      <c r="W10" s="2199"/>
      <c r="X10" s="984"/>
      <c r="Y10" s="2199"/>
      <c r="Z10" s="984"/>
      <c r="AA10" s="2199"/>
      <c r="AB10" s="984"/>
      <c r="AC10" s="1295"/>
      <c r="AD10" s="15" t="s">
        <v>1901</v>
      </c>
      <c r="AE10" s="2200"/>
      <c r="AF10" s="15" t="s">
        <v>1901</v>
      </c>
      <c r="AG10" s="2200"/>
      <c r="AH10" s="15" t="s">
        <v>1902</v>
      </c>
      <c r="AI10" s="2200"/>
      <c r="AJ10" s="15" t="s">
        <v>1902</v>
      </c>
      <c r="AK10" s="2200"/>
      <c r="AL10" s="15" t="s">
        <v>1903</v>
      </c>
      <c r="AM10" s="1301"/>
      <c r="AN10" s="15" t="s">
        <v>1903</v>
      </c>
      <c r="AO10" s="1301"/>
      <c r="AP10" s="15" t="s">
        <v>1904</v>
      </c>
      <c r="AQ10" s="1301"/>
      <c r="AR10" s="15" t="s">
        <v>1904</v>
      </c>
      <c r="AS10" s="1301"/>
      <c r="AT10" s="2184"/>
      <c r="AU10" s="2184"/>
      <c r="AV10" s="1295"/>
      <c r="AW10" s="2169"/>
      <c r="AX10" s="1295"/>
      <c r="AY10" s="28"/>
      <c r="AZ10" s="28"/>
      <c r="BA10" s="2201" t="s">
        <v>1895</v>
      </c>
      <c r="BB10" s="2202" t="str">
        <f>I9</f>
        <v>地上</v>
      </c>
      <c r="BC10" s="29">
        <f>K9</f>
        <v>0</v>
      </c>
      <c r="BD10" s="29">
        <f>M9</f>
        <v>0</v>
      </c>
      <c r="BE10" s="29">
        <f>O9</f>
        <v>0</v>
      </c>
      <c r="BF10" s="29">
        <f>Q9</f>
        <v>0</v>
      </c>
      <c r="BG10" s="29">
        <f>S9</f>
        <v>0</v>
      </c>
      <c r="BH10" s="29">
        <f>U9</f>
        <v>0</v>
      </c>
      <c r="BI10" s="29">
        <f>W9</f>
        <v>0</v>
      </c>
      <c r="BJ10" s="29">
        <f>Y9</f>
        <v>0</v>
      </c>
      <c r="BK10" s="29">
        <f>AA9</f>
        <v>0</v>
      </c>
      <c r="BL10" s="25" t="s">
        <v>1895</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954"/>
      <c r="D11" s="2184"/>
      <c r="E11" s="2184"/>
      <c r="F11" s="2184"/>
      <c r="G11" s="1295"/>
      <c r="H11" s="2201"/>
      <c r="I11" s="2204"/>
      <c r="J11" s="2205"/>
      <c r="K11" s="2204"/>
      <c r="L11" s="2205"/>
      <c r="M11" s="2204"/>
      <c r="N11" s="2205"/>
      <c r="O11" s="2204"/>
      <c r="P11" s="2205"/>
      <c r="Q11" s="2204"/>
      <c r="R11" s="2205"/>
      <c r="S11" s="2204"/>
      <c r="T11" s="2205"/>
      <c r="U11" s="2204"/>
      <c r="V11" s="2205"/>
      <c r="W11" s="2204"/>
      <c r="X11" s="2205"/>
      <c r="Y11" s="2204"/>
      <c r="Z11" s="2205"/>
      <c r="AA11" s="2204"/>
      <c r="AB11" s="2205"/>
      <c r="AC11" s="1295"/>
      <c r="AD11" s="2206" t="s">
        <v>1905</v>
      </c>
      <c r="AE11" s="1822"/>
      <c r="AF11" s="2206" t="s">
        <v>1905</v>
      </c>
      <c r="AG11" s="1822"/>
      <c r="AH11" s="2206" t="s">
        <v>1906</v>
      </c>
      <c r="AI11" s="2207"/>
      <c r="AJ11" s="2206" t="s">
        <v>1906</v>
      </c>
      <c r="AK11" s="1822"/>
      <c r="AL11" s="1820"/>
      <c r="AM11" s="1822"/>
      <c r="AN11" s="1820"/>
      <c r="AO11" s="1822"/>
      <c r="AP11" s="1820"/>
      <c r="AQ11" s="1822"/>
      <c r="AR11" s="1820"/>
      <c r="AS11" s="1822"/>
      <c r="AT11" s="2169"/>
      <c r="AU11" s="2184"/>
      <c r="AV11" s="1295"/>
      <c r="AW11" s="2169"/>
      <c r="AX11" s="1295"/>
      <c r="AY11" s="28"/>
      <c r="AZ11" s="28"/>
      <c r="BA11" s="28"/>
      <c r="BB11" s="2189" t="str">
        <f>I10</f>
        <v>商业</v>
      </c>
      <c r="BC11" s="2189">
        <f>K10</f>
        <v>0</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71" customFormat="1" ht="12.75">
      <c r="A12" s="2209"/>
      <c r="B12" s="2209"/>
      <c r="C12" s="1348"/>
      <c r="D12" s="2209"/>
      <c r="E12" s="2209"/>
      <c r="F12" s="2209"/>
      <c r="G12" s="30"/>
      <c r="H12" s="2210"/>
      <c r="I12" s="180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5" t="s">
        <v>1908</v>
      </c>
      <c r="W12" s="11" t="s">
        <v>1907</v>
      </c>
      <c r="X12" s="11" t="s">
        <v>1908</v>
      </c>
      <c r="Y12" s="11" t="s">
        <v>1907</v>
      </c>
      <c r="Z12" s="11" t="s">
        <v>1908</v>
      </c>
      <c r="AA12" s="11" t="s">
        <v>1907</v>
      </c>
      <c r="AB12" s="11" t="s">
        <v>1908</v>
      </c>
      <c r="AC12" s="2211"/>
      <c r="AD12" s="180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9" t="s">
        <v>1908</v>
      </c>
      <c r="AT12" s="2212"/>
      <c r="AU12" s="2209"/>
      <c r="AV12" s="31"/>
      <c r="AW12" s="2170"/>
      <c r="AX12" s="31"/>
      <c r="AY12" s="2213"/>
      <c r="AZ12" s="28"/>
      <c r="BA12" s="2201"/>
      <c r="BB12" s="24">
        <f>I11</f>
        <v>0</v>
      </c>
      <c r="BC12" s="2214">
        <f>K11</f>
        <v>0</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71" customFormat="1" ht="12.75">
      <c r="A13" s="1275"/>
      <c r="B13" s="1275"/>
      <c r="C13" s="2950">
        <v>3</v>
      </c>
      <c r="D13" s="2215" t="s">
        <v>3287</v>
      </c>
      <c r="E13" s="16">
        <f>IF($C$3="是",ROUND($A$3*G13/$B$3,2),ROUND($A$3*(G13-AT13)/$B$3,2))</f>
        <v>25862.45</v>
      </c>
      <c r="F13" s="32"/>
      <c r="G13" s="33">
        <f>H13+AC13+AT13</f>
        <v>13106.659999999993</v>
      </c>
      <c r="H13" s="20">
        <f>SUMIF(I$12:AB$12,"总值",I13:AB13)</f>
        <v>13106.659999999993</v>
      </c>
      <c r="I13" s="2216">
        <f>'3号楼面积清单'!F229</f>
        <v>13106.659999999993</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f t="shared" si="6"/>
        <v>3</v>
      </c>
      <c r="AY13" s="1809">
        <f>ROUND($AY$6*AZ13/$AZ$5,2)</f>
        <v>25862.45</v>
      </c>
      <c r="AZ13" s="16">
        <f>BA13+BL13</f>
        <v>13106.659999999993</v>
      </c>
      <c r="BA13" s="16">
        <f>SUM(BB13:BK13)</f>
        <v>13106.659999999993</v>
      </c>
      <c r="BB13" s="16">
        <f>IF($D13="是",I13-J13,0)</f>
        <v>13106.659999999993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950">
        <v>7</v>
      </c>
      <c r="D14" s="2215" t="s">
        <v>3287</v>
      </c>
      <c r="E14" s="16">
        <f>IF($C$3="是",ROUND($A$3*G14/$B$3,2),ROUND($A$3*(G14-AT14)/$B$3,2))</f>
        <v>14485.24</v>
      </c>
      <c r="F14" s="32"/>
      <c r="G14" s="33">
        <f>H14+AC14+AT14</f>
        <v>7340.8800000000037</v>
      </c>
      <c r="H14" s="20">
        <f>SUMIF(I$12:AB$12,"总值",I14:AB14)</f>
        <v>7340.8800000000037</v>
      </c>
      <c r="I14" s="2216">
        <f>'7号楼面积清单'!F123</f>
        <v>7340.8800000000037</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7</v>
      </c>
      <c r="AY14" s="1809">
        <f>ROUND($AY$6*AZ14/$AZ$5,2)</f>
        <v>14485.24</v>
      </c>
      <c r="AZ14" s="16">
        <f>BA14+BL14</f>
        <v>7340.8800000000037</v>
      </c>
      <c r="BA14" s="16">
        <f>SUM(BB14:BK14)</f>
        <v>7340.8800000000037</v>
      </c>
      <c r="BB14" s="16">
        <f>IF($D14="是",I14-J14,0)</f>
        <v>7340.8800000000037</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950"/>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950"/>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950"/>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50"/>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50"/>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50"/>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50"/>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50"/>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50"/>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50"/>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950"/>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2950"/>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2950"/>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2950"/>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2950"/>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2950"/>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2956"/>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2956"/>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56"/>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2956"/>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2956"/>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2956"/>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2956"/>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2956"/>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2956"/>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2956"/>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2956"/>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2956"/>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2956"/>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2956"/>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2956"/>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2956"/>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2956"/>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2956"/>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2956"/>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2956"/>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2956"/>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2956"/>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2956"/>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2956"/>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2956"/>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2956"/>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2956"/>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2956"/>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2956"/>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2956"/>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2956"/>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2956"/>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2956"/>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2956"/>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2956"/>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2956"/>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2956"/>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2956"/>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2956"/>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2956"/>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2956"/>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2956"/>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2956"/>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2956"/>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2956"/>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2956"/>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2956"/>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2956"/>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2956"/>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2956"/>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2956"/>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2956"/>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2956"/>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2956"/>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2956"/>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2956"/>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2956"/>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2956"/>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2956"/>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2956"/>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2956"/>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2956"/>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2956"/>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2956"/>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2956"/>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2956"/>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2956"/>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2956"/>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2956"/>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2956"/>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2956"/>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2956"/>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2956"/>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2956"/>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2956"/>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2956"/>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2956"/>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2956"/>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2956"/>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2950"/>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2950"/>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2950"/>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2956"/>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2956"/>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2956"/>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2956"/>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2956"/>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2956"/>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2956"/>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2956"/>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2956"/>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2956"/>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2956"/>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2956"/>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2956"/>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2956"/>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2956"/>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2956"/>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2956"/>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2956"/>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2956"/>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2956"/>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2956"/>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2956"/>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2956"/>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2956"/>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2956"/>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2956"/>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2956"/>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2956"/>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2956"/>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2956"/>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2956"/>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2956"/>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2956"/>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2956"/>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2956"/>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2956"/>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2956"/>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2956"/>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2956"/>
      <c r="D151" s="294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2956"/>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2956"/>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2956"/>
      <c r="D154" s="294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2956"/>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2956"/>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2956"/>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2956"/>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2956"/>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2956"/>
      <c r="D160" s="294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2956"/>
      <c r="D161" s="294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2956"/>
      <c r="D162" s="294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2956"/>
      <c r="D163" s="294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2956"/>
      <c r="D164" s="294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2956"/>
      <c r="D165" s="294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2956"/>
      <c r="D166" s="294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2956"/>
      <c r="D167" s="294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2956"/>
      <c r="D168" s="294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2956"/>
      <c r="D169" s="294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2956"/>
      <c r="D170" s="294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2956"/>
      <c r="D171" s="294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2956"/>
      <c r="D172" s="294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2956"/>
      <c r="D173" s="294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2956"/>
      <c r="D174" s="294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2956"/>
      <c r="D175" s="294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2956"/>
      <c r="D176" s="294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2956"/>
      <c r="D177" s="294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2956"/>
      <c r="D178" s="294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2956"/>
      <c r="D179" s="294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2956"/>
      <c r="D180" s="294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2956"/>
      <c r="D181" s="294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2956"/>
      <c r="D182" s="294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2956"/>
      <c r="D183" s="294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2956"/>
      <c r="D184" s="294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2956"/>
      <c r="D185" s="294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2956"/>
      <c r="D186" s="294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2956"/>
      <c r="D187" s="294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2956"/>
      <c r="D188" s="294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2956"/>
      <c r="D189" s="294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2956"/>
      <c r="D190" s="294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2956"/>
      <c r="D191" s="294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2956"/>
      <c r="D192" s="294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2956"/>
      <c r="D193" s="294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2956"/>
      <c r="D194" s="294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2956"/>
      <c r="D195" s="294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2956"/>
      <c r="D196" s="294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2956"/>
      <c r="D197" s="294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2956"/>
      <c r="D198" s="294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2956"/>
      <c r="D199" s="294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2956"/>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2956"/>
      <c r="D201" s="294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2956"/>
      <c r="D202" s="294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2956"/>
      <c r="D203" s="294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2956"/>
      <c r="D204" s="294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2950"/>
      <c r="D205" s="294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2950"/>
      <c r="D206" s="294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2950"/>
      <c r="D207" s="294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2956"/>
      <c r="D208" s="294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2956"/>
      <c r="D209" s="294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2956"/>
      <c r="D210" s="294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2956"/>
      <c r="D211" s="294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2956"/>
      <c r="D212" s="294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2956"/>
      <c r="D213" s="294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2956"/>
      <c r="D214" s="294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2956"/>
      <c r="D215" s="294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2956"/>
      <c r="D216" s="294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2956"/>
      <c r="D217" s="294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2956"/>
      <c r="D218" s="294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2956"/>
      <c r="D219" s="294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2956"/>
      <c r="D220" s="294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2956"/>
      <c r="D221" s="294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2956"/>
      <c r="D222" s="294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2956"/>
      <c r="D223" s="294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2956"/>
      <c r="D224" s="294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2956"/>
      <c r="D225" s="294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2956"/>
      <c r="D226" s="294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2956"/>
      <c r="D227" s="294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2956"/>
      <c r="D228" s="294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2956"/>
      <c r="D229" s="294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2956"/>
      <c r="D230" s="294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2956"/>
      <c r="D231" s="294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2956"/>
      <c r="D232" s="294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2956"/>
      <c r="D233" s="294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2956"/>
      <c r="D234" s="294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2956"/>
      <c r="D235" s="294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2956"/>
      <c r="D236" s="294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2956"/>
      <c r="D237" s="294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2956"/>
      <c r="D238" s="294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2956"/>
      <c r="D239" s="294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2956"/>
      <c r="D240" s="294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2956"/>
      <c r="D241" s="294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2956"/>
      <c r="D242" s="294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2956"/>
      <c r="D243" s="294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2956"/>
      <c r="D244" s="294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2956"/>
      <c r="D245" s="294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2956"/>
      <c r="D246" s="294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2956"/>
      <c r="D247" s="294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2956"/>
      <c r="D248" s="294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2956"/>
      <c r="D249" s="294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2956"/>
      <c r="D250" s="294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2956"/>
      <c r="D251" s="294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2956"/>
      <c r="D252" s="294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2956"/>
      <c r="D253" s="294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2956"/>
      <c r="D254" s="294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2956"/>
      <c r="D255" s="294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2956"/>
      <c r="D256" s="294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2956"/>
      <c r="D257" s="294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2956"/>
      <c r="D258" s="294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2956"/>
      <c r="D259" s="294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2956"/>
      <c r="D260" s="294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2956"/>
      <c r="D261" s="294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2956"/>
      <c r="D262" s="294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2956"/>
      <c r="D263" s="294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2956"/>
      <c r="D264" s="294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2956"/>
      <c r="D265" s="294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2956"/>
      <c r="D266" s="294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2956"/>
      <c r="D267" s="294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2956"/>
      <c r="D268" s="294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2956"/>
      <c r="D269" s="294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2956"/>
      <c r="D270" s="294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2956"/>
      <c r="D271" s="294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2956"/>
      <c r="D272" s="294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2956"/>
      <c r="D273" s="294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2956"/>
      <c r="D274" s="294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2956"/>
      <c r="D275" s="294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2956"/>
      <c r="D276" s="294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2956"/>
      <c r="D277" s="294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2956"/>
      <c r="D278" s="294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2956"/>
      <c r="D279" s="294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2956"/>
      <c r="D280" s="294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2956"/>
      <c r="D281" s="294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2956"/>
      <c r="D282" s="294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2956"/>
      <c r="D283" s="294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2956"/>
      <c r="D284" s="294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2956"/>
      <c r="D285" s="294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2956"/>
      <c r="D286" s="294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2956"/>
      <c r="D287" s="294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2956"/>
      <c r="D288" s="294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2956"/>
      <c r="D289" s="294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2956"/>
      <c r="D290" s="294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2956"/>
      <c r="D291" s="294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2956"/>
      <c r="D292" s="294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2956"/>
      <c r="D293" s="294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2956"/>
      <c r="D294" s="294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2956"/>
      <c r="D295" s="294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2956"/>
      <c r="D296" s="294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2956"/>
      <c r="D297" s="294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2956"/>
      <c r="D298" s="294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2956"/>
      <c r="D299" s="294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2950"/>
      <c r="D300" s="294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2950"/>
      <c r="D301" s="294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2950"/>
      <c r="D302" s="294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2956"/>
      <c r="D303" s="294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2956"/>
      <c r="D304" s="294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2956"/>
      <c r="D305" s="294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2956"/>
      <c r="D306" s="294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2956"/>
      <c r="D307" s="294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2956"/>
      <c r="D308" s="294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2956"/>
      <c r="D309" s="294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2956"/>
      <c r="D310" s="294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2956"/>
      <c r="D311" s="294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2956"/>
      <c r="D312" s="294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2956"/>
      <c r="D313" s="294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2956"/>
      <c r="D314" s="294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2956"/>
      <c r="D315" s="294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2956"/>
      <c r="D316" s="294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2956"/>
      <c r="D317" s="294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2956"/>
      <c r="D318" s="294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2956"/>
      <c r="D319" s="294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2956"/>
      <c r="D320" s="294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2956"/>
      <c r="D321" s="294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2956"/>
      <c r="D322" s="294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2956"/>
      <c r="D323" s="294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2956"/>
      <c r="D324" s="294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2956"/>
      <c r="D325" s="294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2956"/>
      <c r="D326" s="294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2956"/>
      <c r="D327" s="294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2956"/>
      <c r="D328" s="294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2956"/>
      <c r="D329" s="294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2956"/>
      <c r="D330" s="294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2956"/>
      <c r="D331" s="294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2956"/>
      <c r="D332" s="294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2956"/>
      <c r="D333" s="294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2956"/>
      <c r="D334" s="294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2956"/>
      <c r="D335" s="294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2956"/>
      <c r="D336" s="294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2956"/>
      <c r="D337" s="294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2956"/>
      <c r="D338" s="294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2956"/>
      <c r="D339" s="294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2956"/>
      <c r="D340" s="294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2956"/>
      <c r="D341" s="294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2956"/>
      <c r="D342" s="294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2956"/>
      <c r="D343" s="294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2956"/>
      <c r="D344" s="294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2956"/>
      <c r="D345" s="294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2956"/>
      <c r="D346" s="294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2956"/>
      <c r="D347" s="294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2956"/>
      <c r="D348" s="294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2956"/>
      <c r="D349" s="294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2956"/>
      <c r="D350" s="294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2956"/>
      <c r="D351" s="294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2956"/>
      <c r="D352" s="294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2956"/>
      <c r="D353" s="294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2956"/>
      <c r="D354" s="294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2956"/>
      <c r="D355" s="294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2956"/>
      <c r="D356" s="294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2956"/>
      <c r="D357" s="294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2956"/>
      <c r="D358" s="294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2956"/>
      <c r="D359" s="294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2956"/>
      <c r="D360" s="294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2956"/>
      <c r="D361" s="294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2956"/>
      <c r="D362" s="294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2956"/>
      <c r="D363" s="294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2956"/>
      <c r="D364" s="294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2956"/>
      <c r="D365" s="294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2956"/>
      <c r="D366" s="294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2956"/>
      <c r="D367" s="294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2956"/>
      <c r="D368" s="294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2956"/>
      <c r="D369" s="294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2956"/>
      <c r="D370" s="294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2956"/>
      <c r="D371" s="294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2956"/>
      <c r="D372" s="294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2956"/>
      <c r="D373" s="294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2956"/>
      <c r="D374" s="294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2956"/>
      <c r="D375" s="294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2956"/>
      <c r="D376" s="294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2956"/>
      <c r="D377" s="294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2956"/>
      <c r="D378" s="294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2956"/>
      <c r="D379" s="294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2956"/>
      <c r="D380" s="294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2956"/>
      <c r="D381" s="294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2956"/>
      <c r="D382" s="294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2956"/>
      <c r="D383" s="294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2956"/>
      <c r="D384" s="294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2956"/>
      <c r="D385" s="294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2956"/>
      <c r="D386" s="294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2956"/>
      <c r="D387" s="294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2956"/>
      <c r="D388" s="294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2956"/>
      <c r="D389" s="294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2956"/>
      <c r="D390" s="294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2956"/>
      <c r="D391" s="294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2956"/>
      <c r="D392" s="294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2956"/>
      <c r="D393" s="294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2956"/>
      <c r="D394" s="294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2950"/>
      <c r="D395" s="294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2950"/>
      <c r="D396" s="294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2950"/>
      <c r="D397" s="294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2956"/>
      <c r="D398" s="294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2956"/>
      <c r="D399" s="294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2956"/>
      <c r="D400" s="294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2956"/>
      <c r="D401" s="294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2956"/>
      <c r="D402" s="294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2956"/>
      <c r="D403" s="294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2956"/>
      <c r="D404" s="294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2956"/>
      <c r="D405" s="294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2956"/>
      <c r="D406" s="294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2956"/>
      <c r="D407" s="294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2956"/>
      <c r="D408" s="294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2956"/>
      <c r="D409" s="294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2956"/>
      <c r="D410" s="294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2956"/>
      <c r="D411" s="294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2956"/>
      <c r="D412" s="294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2956"/>
      <c r="D413" s="294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2956"/>
      <c r="D414" s="294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2956"/>
      <c r="D415" s="294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2956"/>
      <c r="D416" s="294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2956"/>
      <c r="D417" s="294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2956"/>
      <c r="D418" s="294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2956"/>
      <c r="D419" s="294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2956"/>
      <c r="D420" s="294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2956"/>
      <c r="D421" s="294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2956"/>
      <c r="D422" s="294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2956"/>
      <c r="D423" s="294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2956"/>
      <c r="D424" s="294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2956"/>
      <c r="D425" s="294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2956"/>
      <c r="D426" s="294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2956"/>
      <c r="D427" s="294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2956"/>
      <c r="D428" s="294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2956"/>
      <c r="D429" s="294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2956"/>
      <c r="D430" s="294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2956"/>
      <c r="D431" s="294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2956"/>
      <c r="D432" s="294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2956"/>
      <c r="D433" s="294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2956"/>
      <c r="D434" s="294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2956"/>
      <c r="D435" s="294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2956"/>
      <c r="D436" s="294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2956"/>
      <c r="D437" s="294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2956"/>
      <c r="D438" s="294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2956"/>
      <c r="D439" s="294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2956"/>
      <c r="D440" s="294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2956"/>
      <c r="D441" s="294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2956"/>
      <c r="D442" s="294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2956"/>
      <c r="D443" s="294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2956"/>
      <c r="D444" s="294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2956"/>
      <c r="D445" s="294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2956"/>
      <c r="D446" s="294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2956"/>
      <c r="D447" s="294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2956"/>
      <c r="D448" s="294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2956"/>
      <c r="D449" s="294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2956"/>
      <c r="D450" s="294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2956"/>
      <c r="D451" s="294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2956"/>
      <c r="D452" s="294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2956"/>
      <c r="D453" s="294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2956"/>
      <c r="D454" s="294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2956"/>
      <c r="D455" s="294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2956"/>
      <c r="D456" s="294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2956"/>
      <c r="D457" s="294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2956"/>
      <c r="D458" s="294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2956"/>
      <c r="D459" s="294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2956"/>
      <c r="D460" s="294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2956"/>
      <c r="D461" s="294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2956"/>
      <c r="D462" s="294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2956"/>
      <c r="D463" s="294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2956"/>
      <c r="D464" s="294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2956"/>
      <c r="D465" s="294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2956"/>
      <c r="D466" s="294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2956"/>
      <c r="D467" s="294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2956"/>
      <c r="D468" s="294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2956"/>
      <c r="D469" s="294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2956"/>
      <c r="D470" s="294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2956"/>
      <c r="D471" s="294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2956"/>
      <c r="D472" s="294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2956"/>
      <c r="D473" s="294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2956"/>
      <c r="D474" s="294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2956"/>
      <c r="D475" s="294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2956"/>
      <c r="D476" s="294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2956"/>
      <c r="D477" s="294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2956"/>
      <c r="D478" s="294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2956"/>
      <c r="D479" s="294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2956"/>
      <c r="D480" s="294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2956"/>
      <c r="D481" s="294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2956"/>
      <c r="D482" s="294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2956"/>
      <c r="D483" s="294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2956"/>
      <c r="D484" s="294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2956"/>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2956"/>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2956"/>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2956"/>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2956"/>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2950"/>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2950"/>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2950"/>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2956"/>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2956"/>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2956"/>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2956"/>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2956"/>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2956"/>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2956"/>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2956"/>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2956"/>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2956"/>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2956"/>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2956"/>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2956"/>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2956"/>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2956"/>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2956"/>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2956"/>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2956"/>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2956"/>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2956"/>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2956"/>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2956"/>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2956"/>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2956"/>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2956"/>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2956"/>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2956"/>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2956"/>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2956"/>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2956"/>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2956"/>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2956"/>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2956"/>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2956"/>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2956"/>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2956"/>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2956"/>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2956"/>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2956"/>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2956"/>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2956"/>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2956"/>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2956"/>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2956"/>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2956"/>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2956"/>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2956"/>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2956"/>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2956"/>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2956"/>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2956"/>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2956"/>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2956"/>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2956"/>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2956"/>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2956"/>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2956"/>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2956"/>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2956"/>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2956"/>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2956"/>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2956"/>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2956"/>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2956"/>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2956"/>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2956"/>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2956"/>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2956"/>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2956"/>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2956"/>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2956"/>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2956"/>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2956"/>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2956"/>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2956"/>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2956"/>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2956"/>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2956"/>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2956"/>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2956"/>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2956"/>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2956"/>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2956"/>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2956"/>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2956"/>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2956"/>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2956"/>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2956"/>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2956"/>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2956"/>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2956"/>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2956"/>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2950"/>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2950"/>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2950"/>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957"/>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958"/>
      <c r="D589" s="2226"/>
    </row>
    <row r="590" spans="1:72" s="2225" customFormat="1">
      <c r="C590" s="2958"/>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0" t="s">
        <v>0</v>
      </c>
      <c r="B1" s="3110" t="s">
        <v>4</v>
      </c>
      <c r="C1" s="3110" t="s">
        <v>5</v>
      </c>
      <c r="D1" s="3111" t="s">
        <v>53</v>
      </c>
      <c r="E1" s="3111" t="s">
        <v>54</v>
      </c>
      <c r="F1" s="3111"/>
      <c r="G1" s="3111"/>
      <c r="H1" s="3111"/>
      <c r="I1" s="3111"/>
      <c r="J1" s="3111"/>
      <c r="K1" s="3111"/>
      <c r="L1" s="3111"/>
      <c r="M1" s="3111"/>
    </row>
    <row r="2" spans="1:13" ht="27" customHeight="1">
      <c r="A2" s="3110"/>
      <c r="B2" s="3110"/>
      <c r="C2" s="3110"/>
      <c r="D2" s="3111"/>
      <c r="E2" s="3111" t="s">
        <v>37</v>
      </c>
      <c r="F2" s="3111" t="s">
        <v>38</v>
      </c>
      <c r="G2" s="3111"/>
      <c r="H2" s="3111"/>
      <c r="I2" s="3111"/>
      <c r="J2" s="3111" t="s">
        <v>39</v>
      </c>
      <c r="K2" s="3111"/>
      <c r="L2" s="3111"/>
      <c r="M2" s="3111"/>
    </row>
    <row r="3" spans="1:13" ht="28.5">
      <c r="A3" s="3110"/>
      <c r="B3" s="3110"/>
      <c r="C3" s="3110"/>
      <c r="D3" s="3111"/>
      <c r="E3" s="311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1" t="s">
        <v>55</v>
      </c>
      <c r="B9" s="3111"/>
      <c r="C9" s="311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workbookViewId="0">
      <selection activeCell="F9" sqref="F9"/>
    </sheetView>
  </sheetViews>
  <sheetFormatPr defaultRowHeight="13.5"/>
  <cols>
    <col min="1" max="1" width="9" style="2978"/>
    <col min="2" max="2" width="11" style="2978" customWidth="1"/>
    <col min="3" max="4" width="9.5" style="2978" bestFit="1" customWidth="1"/>
    <col min="5" max="6" width="9" style="2978"/>
    <col min="7" max="7" width="10.5" style="2978" bestFit="1" customWidth="1"/>
    <col min="8" max="9" width="9" style="2978"/>
    <col min="10" max="10" width="11" style="2978" customWidth="1"/>
    <col min="11" max="12" width="9" style="2978"/>
    <col min="13" max="13" width="9.5" style="2978" bestFit="1" customWidth="1"/>
    <col min="14" max="16384" width="9" style="2978"/>
  </cols>
  <sheetData>
    <row r="1" spans="1:24">
      <c r="A1" s="2977"/>
      <c r="B1" s="2977"/>
      <c r="C1" s="2977"/>
      <c r="D1" s="2977"/>
      <c r="E1" s="2977"/>
    </row>
    <row r="2" spans="1:24" ht="40.5">
      <c r="A2" s="2979" t="s">
        <v>3370</v>
      </c>
      <c r="B2" s="2979" t="s">
        <v>3371</v>
      </c>
      <c r="C2" s="3000" t="s">
        <v>3372</v>
      </c>
      <c r="D2" s="2979" t="s">
        <v>37</v>
      </c>
      <c r="E2" s="2981" t="s">
        <v>3373</v>
      </c>
      <c r="F2" s="2981" t="s">
        <v>3374</v>
      </c>
    </row>
    <row r="3" spans="1:24">
      <c r="A3" s="2979" t="s">
        <v>3375</v>
      </c>
      <c r="B3" s="2979">
        <f>'3号楼面积清单'!F229</f>
        <v>13106.659999999993</v>
      </c>
      <c r="C3" s="2979">
        <f>'3号楼面积清单'!G229</f>
        <v>1462.7400000000021</v>
      </c>
      <c r="D3" s="3114">
        <f>B3+B4+B5+B6+B7+B8</f>
        <v>27845.149999999994</v>
      </c>
      <c r="E3" s="2979">
        <v>225</v>
      </c>
      <c r="F3" s="2987">
        <f>ROUND(B3/$J$8*$G$27,2)</f>
        <v>25862.45</v>
      </c>
    </row>
    <row r="4" spans="1:24">
      <c r="A4" s="2979" t="s">
        <v>3376</v>
      </c>
      <c r="B4" s="2979"/>
      <c r="C4" s="2979"/>
      <c r="D4" s="3115"/>
      <c r="E4" s="2979">
        <v>151</v>
      </c>
      <c r="F4" s="2987"/>
    </row>
    <row r="5" spans="1:24">
      <c r="A5" s="2979" t="s">
        <v>3377</v>
      </c>
      <c r="B5" s="2979"/>
      <c r="C5" s="2979"/>
      <c r="D5" s="3115"/>
      <c r="E5" s="2979">
        <v>137</v>
      </c>
      <c r="F5" s="2987"/>
      <c r="H5" s="3021"/>
      <c r="I5" s="3021"/>
      <c r="J5" s="2999" t="s">
        <v>3378</v>
      </c>
      <c r="K5" s="3021"/>
      <c r="L5" s="2999" t="s">
        <v>3379</v>
      </c>
    </row>
    <row r="6" spans="1:24">
      <c r="A6" s="2979" t="s">
        <v>3380</v>
      </c>
      <c r="B6" s="2979">
        <f>'6号楼面积清单'!F127</f>
        <v>7397.6099999999988</v>
      </c>
      <c r="C6" s="2979">
        <f>'6号楼面积清单'!G127</f>
        <v>947.49000000000024</v>
      </c>
      <c r="D6" s="3115"/>
      <c r="E6" s="2979">
        <v>123</v>
      </c>
      <c r="F6" s="2987">
        <f>ROUND(B6/$J$8*$G$27,2)</f>
        <v>14597.18</v>
      </c>
      <c r="H6" s="2999" t="s">
        <v>3381</v>
      </c>
      <c r="I6" s="2999" t="s">
        <v>3382</v>
      </c>
      <c r="J6" s="3021">
        <f>86619.97-1002.57+2037.22+608.56+2719.64</f>
        <v>90982.819999999992</v>
      </c>
      <c r="K6" s="3021"/>
      <c r="L6" s="3021">
        <v>86619.97</v>
      </c>
    </row>
    <row r="7" spans="1:24">
      <c r="A7" s="3022" t="s">
        <v>3383</v>
      </c>
      <c r="B7" s="2979">
        <f>'7号楼面积清单'!F123</f>
        <v>7340.8800000000037</v>
      </c>
      <c r="C7" s="3023">
        <f>'7号楼面积清单'!G123</f>
        <v>929.57999999999993</v>
      </c>
      <c r="D7" s="3115"/>
      <c r="E7" s="3022">
        <f>123-4</f>
        <v>119</v>
      </c>
      <c r="F7" s="2987">
        <f>ROUND(B7/$J$8*$G$27,2)</f>
        <v>14485.24</v>
      </c>
      <c r="H7" s="2999" t="s">
        <v>3384</v>
      </c>
      <c r="I7" s="2999" t="s">
        <v>3385</v>
      </c>
      <c r="J7" s="3021">
        <v>25392.68</v>
      </c>
      <c r="K7" s="3021"/>
      <c r="L7" s="3021">
        <v>25692.68</v>
      </c>
    </row>
    <row r="8" spans="1:24">
      <c r="A8" s="2980" t="s">
        <v>3386</v>
      </c>
      <c r="B8" s="2979"/>
      <c r="C8" s="2979"/>
      <c r="D8" s="3116"/>
      <c r="E8" s="2979">
        <v>203</v>
      </c>
      <c r="F8" s="2987">
        <f>ROUND(B8/$J$8*$G$27,2)</f>
        <v>0</v>
      </c>
      <c r="H8" s="3117" t="s">
        <v>3387</v>
      </c>
      <c r="I8" s="3117"/>
      <c r="J8" s="3021">
        <f>SUM(J6:J7)</f>
        <v>116375.5</v>
      </c>
      <c r="K8" s="3021"/>
      <c r="L8" s="3021">
        <f>L6+L7</f>
        <v>112312.65</v>
      </c>
    </row>
    <row r="9" spans="1:24">
      <c r="A9" s="2981" t="s">
        <v>3387</v>
      </c>
      <c r="B9" s="2983">
        <f>SUM(B3:B8)</f>
        <v>27845.149999999994</v>
      </c>
      <c r="C9" s="2979">
        <f>SUM(C3:C8)</f>
        <v>3339.8100000000022</v>
      </c>
      <c r="D9" s="2983"/>
      <c r="E9" s="2979">
        <f>SUM(E3:E8)-E4-E5</f>
        <v>670</v>
      </c>
      <c r="F9" s="2987">
        <f>SUM(F3:F8)</f>
        <v>54944.87</v>
      </c>
      <c r="H9" s="3021"/>
      <c r="I9" s="3021"/>
      <c r="J9" s="3021"/>
      <c r="K9" s="2999" t="s">
        <v>3388</v>
      </c>
      <c r="L9" s="3021">
        <f>ROUND(L8/G27,2)</f>
        <v>0.49</v>
      </c>
    </row>
    <row r="10" spans="1:24">
      <c r="A10" s="2984"/>
      <c r="B10" s="2985"/>
      <c r="C10" s="2985"/>
      <c r="D10" s="2985"/>
      <c r="E10" s="2985"/>
    </row>
    <row r="11" spans="1:24">
      <c r="D11" s="3032"/>
      <c r="G11" s="2986"/>
    </row>
    <row r="15" spans="1:24">
      <c r="A15" s="3118" t="s">
        <v>3389</v>
      </c>
      <c r="B15" s="3119"/>
      <c r="C15" s="3119"/>
      <c r="D15" s="3119"/>
      <c r="E15" s="3119"/>
      <c r="F15" s="3119"/>
      <c r="G15" s="3119"/>
      <c r="H15" s="3119"/>
      <c r="I15" s="3119"/>
      <c r="J15" s="3119"/>
      <c r="K15" s="3119"/>
      <c r="L15" s="3119"/>
      <c r="M15" s="3119"/>
      <c r="N15" s="3119"/>
      <c r="O15" s="3119"/>
      <c r="P15" s="3119"/>
      <c r="Q15" s="3119"/>
      <c r="R15" s="3119"/>
      <c r="S15" s="3119"/>
      <c r="T15" s="3119"/>
      <c r="U15" s="3119"/>
      <c r="V15" s="3119"/>
      <c r="W15" s="3119"/>
      <c r="X15" s="3120"/>
    </row>
    <row r="16" spans="1:24">
      <c r="A16" s="3118" t="s">
        <v>4196</v>
      </c>
      <c r="B16" s="3119"/>
      <c r="C16" s="3119"/>
      <c r="D16" s="3119"/>
      <c r="E16" s="3119"/>
      <c r="F16" s="3119"/>
      <c r="G16" s="3119"/>
      <c r="H16" s="3119"/>
      <c r="I16" s="3119"/>
      <c r="J16" s="3119"/>
      <c r="K16" s="3119"/>
      <c r="L16" s="3119"/>
      <c r="M16" s="3119"/>
      <c r="N16" s="3119"/>
      <c r="O16" s="3119"/>
      <c r="P16" s="3119"/>
      <c r="Q16" s="3119"/>
      <c r="R16" s="3119"/>
      <c r="S16" s="3119"/>
      <c r="T16" s="3119"/>
      <c r="U16" s="3119"/>
      <c r="V16" s="3119"/>
      <c r="W16" s="3119"/>
      <c r="X16" s="3120"/>
    </row>
    <row r="17" spans="1:24">
      <c r="A17" s="3121" t="s">
        <v>3390</v>
      </c>
      <c r="B17" s="3122"/>
      <c r="C17" s="3122"/>
      <c r="D17" s="3122"/>
      <c r="E17" s="3122"/>
      <c r="F17" s="3122"/>
      <c r="G17" s="3122"/>
      <c r="H17" s="3122"/>
      <c r="I17" s="3122"/>
      <c r="J17" s="3122"/>
      <c r="K17" s="3122"/>
      <c r="L17" s="3122"/>
      <c r="M17" s="3122"/>
      <c r="N17" s="3122"/>
      <c r="O17" s="3122"/>
      <c r="P17" s="3122"/>
      <c r="Q17" s="3122"/>
      <c r="R17" s="3122"/>
      <c r="S17" s="3122"/>
      <c r="T17" s="3122"/>
      <c r="U17" s="3122"/>
      <c r="V17" s="3122"/>
      <c r="W17" s="3122"/>
      <c r="X17" s="3123"/>
    </row>
    <row r="19" spans="1:24">
      <c r="B19" s="2982"/>
    </row>
    <row r="23" spans="1:24">
      <c r="A23" s="3112" t="s">
        <v>3391</v>
      </c>
      <c r="B23" s="3112"/>
      <c r="C23" s="3112"/>
      <c r="D23" s="3112"/>
    </row>
    <row r="24" spans="1:24">
      <c r="A24" s="2987">
        <v>1</v>
      </c>
      <c r="B24" s="2988" t="s">
        <v>3392</v>
      </c>
      <c r="C24" s="2988" t="s">
        <v>3393</v>
      </c>
      <c r="D24" s="2988" t="s">
        <v>3394</v>
      </c>
    </row>
    <row r="25" spans="1:24">
      <c r="A25" s="2987"/>
      <c r="B25" s="2987"/>
      <c r="C25" s="2988" t="s">
        <v>3395</v>
      </c>
      <c r="D25" s="2988" t="s">
        <v>3396</v>
      </c>
      <c r="F25" s="3112" t="s">
        <v>3397</v>
      </c>
      <c r="G25" s="3113"/>
    </row>
    <row r="26" spans="1:24">
      <c r="A26" s="2987"/>
      <c r="B26" s="2987"/>
      <c r="C26" s="2988" t="s">
        <v>3398</v>
      </c>
      <c r="D26" s="2988" t="s">
        <v>3399</v>
      </c>
      <c r="F26" s="2989" t="s">
        <v>3400</v>
      </c>
      <c r="G26" s="2990">
        <v>41533</v>
      </c>
    </row>
    <row r="27" spans="1:24">
      <c r="F27" s="2989" t="s">
        <v>3401</v>
      </c>
      <c r="G27" s="3034">
        <v>229635.6</v>
      </c>
    </row>
    <row r="28" spans="1:24">
      <c r="F28" s="2989" t="s">
        <v>3402</v>
      </c>
      <c r="G28" s="2991">
        <v>24111.738000000001</v>
      </c>
    </row>
    <row r="29" spans="1:24">
      <c r="F29" s="2989" t="s">
        <v>3403</v>
      </c>
      <c r="G29" s="2991">
        <v>1050</v>
      </c>
    </row>
    <row r="30" spans="1:24">
      <c r="F30" s="2989" t="s">
        <v>3404</v>
      </c>
      <c r="G30" s="2991">
        <f>ROUND(G29/G31,0)</f>
        <v>1615</v>
      </c>
    </row>
    <row r="31" spans="1:24">
      <c r="F31" s="2989" t="s">
        <v>3405</v>
      </c>
      <c r="G31" s="2991">
        <v>0.65</v>
      </c>
    </row>
  </sheetData>
  <mergeCells count="7">
    <mergeCell ref="F25:G25"/>
    <mergeCell ref="D3:D8"/>
    <mergeCell ref="H8:I8"/>
    <mergeCell ref="A15:X15"/>
    <mergeCell ref="A16:X16"/>
    <mergeCell ref="A17:X17"/>
    <mergeCell ref="A23:D23"/>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90" zoomScaleNormal="100" zoomScaleSheetLayoutView="90" workbookViewId="0">
      <selection activeCell="H37" sqref="H37"/>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1934</v>
      </c>
      <c r="B1" s="1395"/>
      <c r="C1" s="1395"/>
      <c r="D1" s="1395"/>
      <c r="E1" s="1395"/>
      <c r="F1" s="1395"/>
      <c r="G1" s="1395"/>
      <c r="H1" s="1395"/>
      <c r="I1" s="1395"/>
      <c r="J1" s="1395"/>
      <c r="K1" s="1395"/>
      <c r="L1" s="1395"/>
      <c r="M1" s="1395"/>
      <c r="N1" s="1395"/>
      <c r="O1" s="1395"/>
      <c r="P1" s="1395"/>
    </row>
    <row r="2" spans="1:16" ht="15">
      <c r="A2" s="3133" t="s">
        <v>1935</v>
      </c>
      <c r="B2" s="3133"/>
      <c r="C2" s="3133"/>
      <c r="D2" s="970" t="s">
        <v>1911</v>
      </c>
      <c r="E2" s="2229" t="s">
        <v>1912</v>
      </c>
      <c r="F2" s="1395"/>
      <c r="G2" s="2230"/>
      <c r="H2" s="2231"/>
      <c r="I2" s="2232" t="s">
        <v>1936</v>
      </c>
      <c r="J2" s="1395"/>
      <c r="K2" s="1395"/>
      <c r="L2" s="1395"/>
      <c r="M2" s="1395"/>
      <c r="N2" s="1430"/>
      <c r="O2" s="1395"/>
      <c r="P2" s="1395"/>
    </row>
    <row r="3" spans="1:16" ht="15.75" thickBot="1">
      <c r="A3" s="3134" t="s">
        <v>1909</v>
      </c>
      <c r="B3" s="3134"/>
      <c r="C3" s="3134"/>
      <c r="D3" s="46">
        <f>'数据-基础表'!AY6</f>
        <v>40347.69</v>
      </c>
      <c r="E3" s="46">
        <f>'数据-基础表'!AZ5</f>
        <v>20447.539999999997</v>
      </c>
      <c r="F3" s="1395"/>
      <c r="G3" s="1402"/>
      <c r="H3" s="1250" t="s">
        <v>1910</v>
      </c>
      <c r="I3" s="55">
        <f>ROUND('数据-基础表'!B3/'数据-基础表'!A3,2)</f>
        <v>0.51</v>
      </c>
      <c r="J3" s="1395"/>
      <c r="K3" s="1395"/>
      <c r="L3" s="1395"/>
      <c r="M3" s="1395"/>
      <c r="N3" s="1430"/>
      <c r="O3" s="1395"/>
      <c r="P3" s="1395"/>
    </row>
    <row r="4" spans="1:16" ht="15">
      <c r="A4" s="3135"/>
      <c r="B4" s="3136"/>
      <c r="C4" s="3137"/>
      <c r="D4" s="2233" t="s">
        <v>1911</v>
      </c>
      <c r="E4" s="2234" t="s">
        <v>1912</v>
      </c>
      <c r="F4" s="1395"/>
      <c r="G4" s="2235" t="s">
        <v>1937</v>
      </c>
      <c r="H4" s="1250" t="s">
        <v>1917</v>
      </c>
      <c r="I4" s="55">
        <f>ROUND(SUMIF('数据-基础表'!I9:AS9,"地上",'数据-基础表'!I5:AS5)/'数据-基础表'!A3,2)</f>
        <v>0.51</v>
      </c>
      <c r="J4" s="1395"/>
      <c r="K4" s="1395"/>
      <c r="L4" s="1395"/>
      <c r="M4" s="1395"/>
      <c r="N4" s="1430"/>
      <c r="O4" s="1395"/>
      <c r="P4" s="1395"/>
    </row>
    <row r="5" spans="1:16">
      <c r="A5" s="47" t="s">
        <v>1913</v>
      </c>
      <c r="B5" s="3138" t="s">
        <v>1914</v>
      </c>
      <c r="C5" s="3138"/>
      <c r="D5" s="48">
        <f>ROUND($D$3*E5/$E$3,2)</f>
        <v>0</v>
      </c>
      <c r="E5" s="49">
        <f>SUMIF('数据-基础表'!$11:$11,"住宅",'数据-基础表'!$5:$5)</f>
        <v>0</v>
      </c>
      <c r="F5" s="1395"/>
      <c r="G5" s="1402"/>
      <c r="H5" s="1250" t="s">
        <v>1910</v>
      </c>
      <c r="I5" s="55">
        <f>ROUND(E31/D31,2)</f>
        <v>0.51</v>
      </c>
      <c r="J5" s="1395"/>
      <c r="K5" s="1395"/>
      <c r="L5" s="1395"/>
      <c r="M5" s="1395"/>
      <c r="N5" s="1395"/>
      <c r="O5" s="1395"/>
      <c r="P5" s="1395"/>
    </row>
    <row r="6" spans="1:16" ht="15" thickBot="1">
      <c r="A6" s="2236"/>
      <c r="B6" s="3138" t="s">
        <v>1915</v>
      </c>
      <c r="C6" s="3138"/>
      <c r="D6" s="48">
        <f>ROUND($D$3*E6/$E$3,2)</f>
        <v>40347.69</v>
      </c>
      <c r="E6" s="49">
        <f>E3-E5</f>
        <v>20447.539999999997</v>
      </c>
      <c r="F6" s="1395"/>
      <c r="G6" s="2237" t="s">
        <v>1916</v>
      </c>
      <c r="H6" s="1402" t="s">
        <v>1917</v>
      </c>
      <c r="I6" s="942">
        <f>ROUND(F31/D31,2)</f>
        <v>0.51</v>
      </c>
      <c r="J6" s="1395"/>
      <c r="K6" s="1395"/>
      <c r="L6" s="1395"/>
      <c r="M6" s="1395"/>
      <c r="N6" s="1395"/>
      <c r="O6" s="1395"/>
      <c r="P6" s="1395"/>
    </row>
    <row r="7" spans="1:16" ht="15">
      <c r="A7" s="3130"/>
      <c r="B7" s="3131"/>
      <c r="C7" s="3132"/>
      <c r="D7" s="2233" t="s">
        <v>1911</v>
      </c>
      <c r="E7" s="2238" t="s">
        <v>1918</v>
      </c>
      <c r="F7" s="1395"/>
      <c r="G7" s="2230" t="s">
        <v>1919</v>
      </c>
      <c r="H7" s="64"/>
      <c r="I7" s="420"/>
      <c r="J7" s="1395"/>
      <c r="K7" s="1395"/>
      <c r="L7" s="1395"/>
      <c r="M7" s="1395"/>
      <c r="N7" s="1395"/>
      <c r="O7" s="1395"/>
      <c r="P7" s="1395"/>
    </row>
    <row r="8" spans="1:16">
      <c r="A8" s="47" t="s">
        <v>1920</v>
      </c>
      <c r="B8" s="50" t="s">
        <v>1921</v>
      </c>
      <c r="C8" s="48" t="s">
        <v>1922</v>
      </c>
      <c r="D8" s="48">
        <f t="shared" ref="D8:D15" si="0">ROUND($D$3*E8/$E$3,2)</f>
        <v>40347.69</v>
      </c>
      <c r="E8" s="51">
        <f>SUMIF('数据-基础表'!BB10:BK10,"地上",'数据-基础表'!BB5:BK5)</f>
        <v>20447.539999999997</v>
      </c>
      <c r="F8" s="1395"/>
      <c r="G8" s="2239"/>
      <c r="H8" s="2239"/>
      <c r="I8" s="1395"/>
      <c r="J8" s="1395"/>
      <c r="K8" s="1395"/>
      <c r="L8" s="1395"/>
      <c r="M8" s="1395"/>
      <c r="N8" s="1395"/>
      <c r="O8" s="1395"/>
      <c r="P8" s="1395"/>
    </row>
    <row r="9" spans="1:16">
      <c r="A9" s="2240"/>
      <c r="B9" s="2241"/>
      <c r="C9" s="48" t="s">
        <v>1923</v>
      </c>
      <c r="D9" s="48">
        <f t="shared" si="0"/>
        <v>0</v>
      </c>
      <c r="E9" s="52">
        <v>0</v>
      </c>
      <c r="F9" s="1395"/>
      <c r="G9" s="2239"/>
      <c r="H9" s="2239"/>
      <c r="I9" s="1395"/>
      <c r="J9" s="1395"/>
      <c r="K9" s="1395"/>
      <c r="L9" s="1395"/>
      <c r="M9" s="1395"/>
      <c r="N9" s="1395"/>
      <c r="O9" s="1395"/>
      <c r="P9" s="1395"/>
    </row>
    <row r="10" spans="1:16">
      <c r="A10" s="2240"/>
      <c r="B10" s="2241"/>
      <c r="C10" s="48" t="s">
        <v>1932</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1924</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1925</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1926</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1938</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1933</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1927</v>
      </c>
      <c r="D16" s="50">
        <f>SUM(D8:D15)</f>
        <v>40347.69</v>
      </c>
      <c r="E16" s="53">
        <f>SUM(E8:E15)</f>
        <v>20447.539999999997</v>
      </c>
      <c r="F16" s="1395"/>
      <c r="G16" s="2239"/>
      <c r="H16" s="2242" t="s">
        <v>1939</v>
      </c>
      <c r="I16" s="2243"/>
      <c r="J16" s="1395"/>
      <c r="K16" s="3127" t="s">
        <v>1939</v>
      </c>
      <c r="L16" s="3128"/>
      <c r="M16" s="3128"/>
      <c r="N16" s="3128"/>
      <c r="O16" s="3128"/>
      <c r="P16" s="3129"/>
    </row>
    <row r="17" spans="1:19" ht="15">
      <c r="A17" s="2244" t="s">
        <v>1940</v>
      </c>
      <c r="B17" s="2245" t="s">
        <v>1941</v>
      </c>
      <c r="C17" s="2246" t="s">
        <v>1942</v>
      </c>
      <c r="D17" s="2247" t="s">
        <v>1930</v>
      </c>
      <c r="E17" s="2248" t="s">
        <v>1931</v>
      </c>
      <c r="F17" s="2249"/>
      <c r="G17" s="2250"/>
      <c r="H17" s="2251" t="s">
        <v>1943</v>
      </c>
      <c r="I17" s="2252" t="s">
        <v>1928</v>
      </c>
      <c r="J17" s="1395"/>
      <c r="K17" s="3124" t="s">
        <v>1944</v>
      </c>
      <c r="L17" s="3125"/>
      <c r="M17" s="3126"/>
      <c r="N17" s="3124" t="s">
        <v>1945</v>
      </c>
      <c r="O17" s="3125"/>
      <c r="P17" s="3126"/>
      <c r="R17" s="2230" t="s">
        <v>1946</v>
      </c>
      <c r="S17" s="64"/>
    </row>
    <row r="18" spans="1:19" ht="15">
      <c r="A18" s="2240"/>
      <c r="B18" s="2253"/>
      <c r="C18" s="2254"/>
      <c r="D18" s="2255"/>
      <c r="E18" s="2256" t="s">
        <v>1947</v>
      </c>
      <c r="F18" s="2257" t="s">
        <v>1948</v>
      </c>
      <c r="G18" s="2258" t="s">
        <v>1949</v>
      </c>
      <c r="H18" s="1265" t="s">
        <v>1950</v>
      </c>
      <c r="I18" s="2259" t="s">
        <v>1951</v>
      </c>
      <c r="J18" s="1395"/>
      <c r="K18" s="1265" t="s">
        <v>1952</v>
      </c>
      <c r="L18" s="2260" t="s">
        <v>1953</v>
      </c>
      <c r="M18" s="1049" t="s">
        <v>1954</v>
      </c>
      <c r="N18" s="1265" t="s">
        <v>1952</v>
      </c>
      <c r="O18" s="2260" t="s">
        <v>1953</v>
      </c>
      <c r="P18" s="1049" t="s">
        <v>1954</v>
      </c>
      <c r="R18" s="1250" t="s">
        <v>1955</v>
      </c>
      <c r="S18" s="1250" t="s">
        <v>1956</v>
      </c>
    </row>
    <row r="19" spans="1:19">
      <c r="A19" s="2261"/>
      <c r="B19" s="50" t="s">
        <v>1929</v>
      </c>
      <c r="C19" s="2960" t="s">
        <v>4198</v>
      </c>
      <c r="D19" s="48">
        <f>ROUND($D$3*E19/$E$3,2)</f>
        <v>40347.69</v>
      </c>
      <c r="E19" s="56">
        <f t="shared" ref="E19:E26" si="1">SUM(F19:G19)</f>
        <v>20447.539999999997</v>
      </c>
      <c r="F19" s="57">
        <f>'数据-基础表'!I5</f>
        <v>20447.539999999997</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40347.69</v>
      </c>
      <c r="S19" s="1251">
        <f t="shared" si="5"/>
        <v>20447.539999999997</v>
      </c>
    </row>
    <row r="20" spans="1:19">
      <c r="A20" s="2265"/>
      <c r="B20" s="50" t="s">
        <v>1957</v>
      </c>
      <c r="C20" s="2262"/>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0</v>
      </c>
      <c r="S20" s="1251">
        <f t="shared" si="5"/>
        <v>0</v>
      </c>
    </row>
    <row r="21" spans="1:19">
      <c r="A21" s="2265"/>
      <c r="B21" s="50" t="s">
        <v>1957</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1957</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1957</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1957</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1957</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1957</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1958</v>
      </c>
      <c r="D27" s="1396">
        <f>SUM(D19:D26)</f>
        <v>40347.69</v>
      </c>
      <c r="E27" s="1397">
        <f>IF(SUM(E19:E26)='数据-基础表'!BA5,SUM(E19:E26),IF(F27="地上面积有误","面积有误","地下面积有误"))</f>
        <v>20447.539999999997</v>
      </c>
      <c r="F27" s="1396">
        <f>IF(SUM(F19:F26)=E8,SUM(F19:F26),"地上面积有误")</f>
        <v>20447.539999999997</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40347.69</v>
      </c>
      <c r="S27" s="1250">
        <f>IF(SUM(S19:S26)=$E$3,SUM(S19:S26),SUM(S19:S26)&amp;"误差"&amp;ROUND(SUM(S19:S26)-E3,2))</f>
        <v>20447.539999999997</v>
      </c>
    </row>
    <row r="28" spans="1:19">
      <c r="A28" s="2265"/>
      <c r="B28" s="50" t="s">
        <v>1959</v>
      </c>
      <c r="C28" s="1262" t="s">
        <v>1960</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5"/>
      <c r="B29" s="50" t="s">
        <v>1959</v>
      </c>
      <c r="C29" s="2269" t="s">
        <v>1961</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1958</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1"/>
      <c r="B31" s="2272"/>
      <c r="C31" s="1010" t="s">
        <v>1962</v>
      </c>
      <c r="D31" s="729">
        <f>D27+D30</f>
        <v>40347.69</v>
      </c>
      <c r="E31" s="729">
        <f>E27+E30</f>
        <v>20447.539999999997</v>
      </c>
      <c r="F31" s="730">
        <f>F27+F30</f>
        <v>20447.539999999997</v>
      </c>
      <c r="G31" s="731">
        <f>G27+G30</f>
        <v>0</v>
      </c>
      <c r="H31" s="1395"/>
      <c r="I31" s="1395"/>
      <c r="J31" s="1395"/>
      <c r="K31" s="1395"/>
      <c r="L31" s="1395"/>
      <c r="M31" s="1395"/>
      <c r="N31" s="1395"/>
      <c r="O31" s="1395"/>
      <c r="P31" s="1395"/>
    </row>
    <row r="32" spans="1:19">
      <c r="A32" s="2235"/>
      <c r="B32" s="2235" t="s">
        <v>1963</v>
      </c>
      <c r="C32" s="2235"/>
      <c r="D32" s="2235"/>
      <c r="E32" s="1277">
        <f>SUMIF(C19:C26,"*住宅*",E19:E26)</f>
        <v>0</v>
      </c>
      <c r="F32" s="2235"/>
      <c r="G32" s="2235"/>
      <c r="H32" s="1395"/>
      <c r="I32" s="1395"/>
      <c r="J32" s="1395"/>
      <c r="K32" s="1395"/>
      <c r="L32" s="1395"/>
      <c r="M32" s="1395"/>
      <c r="N32" s="1395"/>
      <c r="O32" s="1395"/>
      <c r="P32" s="1395"/>
    </row>
    <row r="33" spans="4:8">
      <c r="D33" s="2273"/>
    </row>
    <row r="35" spans="4:8">
      <c r="E35" s="3035" t="s">
        <v>4496</v>
      </c>
      <c r="F35" s="2228">
        <f ca="1">结果表!G20</f>
        <v>10474</v>
      </c>
      <c r="H35" s="2228">
        <f ca="1">F35-F37-F38</f>
        <v>4589.6862745098042</v>
      </c>
    </row>
    <row r="36" spans="4:8">
      <c r="E36" s="3035" t="s">
        <v>4494</v>
      </c>
      <c r="F36" s="2228">
        <f>'土地比较法-住宅、综合'!C47</f>
        <v>1675</v>
      </c>
      <c r="H36" s="2228">
        <f ca="1">H35/F35</f>
        <v>0.4381980403389158</v>
      </c>
    </row>
    <row r="37" spans="4:8">
      <c r="E37" s="3035" t="s">
        <v>4495</v>
      </c>
      <c r="F37" s="2228">
        <f>F36/I5</f>
        <v>3284.3137254901962</v>
      </c>
    </row>
    <row r="38" spans="4:8">
      <c r="E38" s="3035" t="s">
        <v>4497</v>
      </c>
      <c r="F38" s="2228">
        <f>'数据-取费表'!L6</f>
        <v>2600</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B58" sqref="B58"/>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1964</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1965</v>
      </c>
      <c r="B2" s="1269">
        <f>项目基本情况!D3</f>
        <v>43598</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1966</v>
      </c>
      <c r="B4" s="2283"/>
      <c r="C4" s="2284"/>
      <c r="D4" s="2285"/>
      <c r="E4" s="2284" t="s">
        <v>1967</v>
      </c>
      <c r="F4" s="2284"/>
      <c r="G4" s="2284"/>
      <c r="H4" s="2284"/>
      <c r="I4" s="2284"/>
      <c r="J4" s="2286"/>
      <c r="K4" s="2287"/>
      <c r="L4" s="2288"/>
      <c r="M4" s="2284"/>
      <c r="N4" s="2284" t="s">
        <v>1968</v>
      </c>
      <c r="O4" s="2284"/>
      <c r="P4" s="2284"/>
      <c r="Q4" s="2284"/>
      <c r="R4" s="2284"/>
      <c r="S4" s="2286"/>
      <c r="T4" s="2289" t="str">
        <f>'数据-汇总表'!I17</f>
        <v>按面积比例</v>
      </c>
      <c r="U4" s="2283" t="s">
        <v>1969</v>
      </c>
      <c r="V4" s="2284"/>
      <c r="W4" s="2284"/>
      <c r="X4" s="2284"/>
      <c r="Y4" s="2286"/>
      <c r="Z4" s="2246" t="s">
        <v>1970</v>
      </c>
      <c r="AA4" s="2246"/>
      <c r="AB4" s="2246"/>
      <c r="AC4" s="2246"/>
      <c r="AD4" s="2246"/>
      <c r="AE4" s="2244" t="s">
        <v>1971</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1972</v>
      </c>
      <c r="B5" s="2292" t="s">
        <v>1973</v>
      </c>
      <c r="C5" s="2293" t="s">
        <v>1974</v>
      </c>
      <c r="D5" s="2294" t="s">
        <v>1975</v>
      </c>
      <c r="E5" s="1271" t="s">
        <v>1976</v>
      </c>
      <c r="F5" s="2295" t="s">
        <v>1977</v>
      </c>
      <c r="G5" s="1271" t="s">
        <v>1978</v>
      </c>
      <c r="H5" s="1271" t="s">
        <v>1979</v>
      </c>
      <c r="I5" s="1271" t="s">
        <v>1980</v>
      </c>
      <c r="J5" s="2296" t="s">
        <v>1981</v>
      </c>
      <c r="K5" s="2297" t="s">
        <v>1982</v>
      </c>
      <c r="L5" s="2298" t="s">
        <v>1983</v>
      </c>
      <c r="M5" s="2299" t="s">
        <v>1984</v>
      </c>
      <c r="N5" s="2300" t="s">
        <v>3288</v>
      </c>
      <c r="O5" s="2298" t="s">
        <v>1985</v>
      </c>
      <c r="P5" s="2301" t="s">
        <v>1986</v>
      </c>
      <c r="Q5" s="69" t="s">
        <v>1987</v>
      </c>
      <c r="R5" s="2302" t="s">
        <v>1988</v>
      </c>
      <c r="S5" s="2303" t="s">
        <v>1989</v>
      </c>
      <c r="T5" s="2304" t="s">
        <v>1990</v>
      </c>
      <c r="U5" s="1270" t="s">
        <v>1991</v>
      </c>
      <c r="V5" s="1271" t="s">
        <v>1992</v>
      </c>
      <c r="W5" s="1271" t="s">
        <v>1993</v>
      </c>
      <c r="X5" s="71"/>
      <c r="Y5" s="70" t="s">
        <v>1994</v>
      </c>
      <c r="Z5" s="2305" t="s">
        <v>1991</v>
      </c>
      <c r="AA5" s="1271" t="s">
        <v>1992</v>
      </c>
      <c r="AB5" s="1271" t="s">
        <v>1993</v>
      </c>
      <c r="AC5" s="71"/>
      <c r="AD5" s="71" t="s">
        <v>1994</v>
      </c>
      <c r="AE5" s="1270" t="s">
        <v>1995</v>
      </c>
      <c r="AF5" s="1271" t="s">
        <v>1996</v>
      </c>
      <c r="AG5" s="70" t="s">
        <v>1997</v>
      </c>
      <c r="AH5" s="1270" t="s">
        <v>1998</v>
      </c>
      <c r="AI5" s="2305" t="s">
        <v>1999</v>
      </c>
      <c r="AJ5" s="2305" t="s">
        <v>2000</v>
      </c>
      <c r="AK5" s="1271" t="s">
        <v>2001</v>
      </c>
      <c r="AL5" s="1271" t="s">
        <v>2002</v>
      </c>
      <c r="AM5" s="70" t="s">
        <v>2003</v>
      </c>
      <c r="AN5" s="2306" t="s">
        <v>2004</v>
      </c>
      <c r="AO5" s="2078" t="s">
        <v>2005</v>
      </c>
      <c r="AP5" s="1252" t="s">
        <v>2006</v>
      </c>
      <c r="AQ5" s="2307" t="s">
        <v>2007</v>
      </c>
      <c r="AR5" s="2307" t="s">
        <v>2008</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08" t="str">
        <f>'数据-汇总表'!C19</f>
        <v>3和7</v>
      </c>
      <c r="B6" s="2309" t="str">
        <f>IF(A6=0,"","经营性")</f>
        <v>经营性</v>
      </c>
      <c r="C6" s="2310" t="s">
        <v>1373</v>
      </c>
      <c r="D6" s="1054">
        <f>SUMIF(项目基本情况!D$12:I$12,C6,项目基本情况!D$14:I$14)</f>
        <v>40</v>
      </c>
      <c r="E6" s="1051">
        <f>IF(B6="","",SUMIF(项目基本情况!D$12:I$12,C6,项目基本情况!D$13:I$13))</f>
        <v>56156</v>
      </c>
      <c r="F6" s="72">
        <f>SUMIF(项目基本情况!D$12:I$12,C6,项目基本情况!D$15:I$15)</f>
        <v>34.4</v>
      </c>
      <c r="G6" s="73">
        <f>IF(ISERROR(ROUND(POWER(1+H6,D6-F6)*(POWER(1+H6,F6)-1)/(POWER(1+H6,D6)-1),3)),0,ROUND(POWER(1+H6,D6-F6)*(POWER(1+H6,F6)-1)/(POWER(1+H6,D6)-1),3))</f>
        <v>0.94799999999999995</v>
      </c>
      <c r="H6" s="802">
        <v>0.05</v>
      </c>
      <c r="I6" s="802">
        <v>5.5E-2</v>
      </c>
      <c r="J6" s="74">
        <v>0.08</v>
      </c>
      <c r="K6" s="1254">
        <f>SUMIF('数据-汇总表'!C$19:C$33,A6,'数据-汇总表'!E$19:E$33)</f>
        <v>20447.539999999997</v>
      </c>
      <c r="L6" s="803">
        <v>2600</v>
      </c>
      <c r="M6" s="75">
        <f t="shared" ref="M6:M14" si="0">ROUND(K6*L6/10000,0)</f>
        <v>5316</v>
      </c>
      <c r="N6" s="801">
        <v>0.97</v>
      </c>
      <c r="O6" s="75" t="str">
        <f>IF($N$5="成新度","——",ROUND(M6*N6,0))</f>
        <v>——</v>
      </c>
      <c r="P6" s="76" t="str">
        <f>IF($N$5="成新度","——",M6-O6)</f>
        <v>——</v>
      </c>
      <c r="Q6" s="804">
        <v>0.2</v>
      </c>
      <c r="R6" s="77">
        <f ca="1">SUMIF('数据-汇总表'!C$19:C$33,A6,'数据-汇总表'!R$19:R$27)</f>
        <v>40347.69</v>
      </c>
      <c r="S6" s="54">
        <f>IF('数据-汇总表'!$I$17="按面积比例",SUMIF('数据-汇总表'!C$19:C$33,A6,'数据-汇总表'!K$19:K$33),SUMIF('数据-汇总表'!C$19:C$33,A6,'数据-汇总表'!N$19:N$33))</f>
        <v>0</v>
      </c>
      <c r="T6" s="1446">
        <f>ROUND($L$14*S6/10000,0)</f>
        <v>0</v>
      </c>
      <c r="U6" s="78">
        <v>2.2000000000000002</v>
      </c>
      <c r="V6" s="79">
        <v>0.03</v>
      </c>
      <c r="W6" s="79">
        <v>0.1</v>
      </c>
      <c r="X6" s="1264"/>
      <c r="Y6" s="80">
        <v>0.97</v>
      </c>
      <c r="Z6" s="81"/>
      <c r="AA6" s="74"/>
      <c r="AB6" s="74"/>
      <c r="AC6" s="1264"/>
      <c r="AD6" s="82"/>
      <c r="AE6" s="1265">
        <f ca="1">IF(AN6="",0,SUMIF(INDIRECT("'"&amp;AN6&amp;"'"&amp;"!E:E"),$AE$5,INDIRECT("'"&amp;AN6&amp;"'"&amp;"!F:F")))</f>
        <v>34.4</v>
      </c>
      <c r="AF6" s="1807"/>
      <c r="AG6" s="147">
        <f>IF(AF6="",0,AE6-AF6)</f>
        <v>0</v>
      </c>
      <c r="AH6" s="83"/>
      <c r="AI6" s="85">
        <v>365</v>
      </c>
      <c r="AJ6" s="86"/>
      <c r="AK6" s="87">
        <v>1.4999999999999999E-2</v>
      </c>
      <c r="AL6" s="88">
        <v>1.5E-3</v>
      </c>
      <c r="AM6" s="89">
        <v>1.4999999999999999E-2</v>
      </c>
      <c r="AN6" s="2311" t="s">
        <v>4199</v>
      </c>
      <c r="AO6" s="55">
        <f ca="1">SUMIF(INDIRECT("'"&amp;AN6&amp;"'"&amp;"!A:A"),"总价",INDIRECT("'"&amp;AN6&amp;"'"&amp;"!B:B"))</f>
        <v>23324</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2009</v>
      </c>
      <c r="B14" s="2309" t="s">
        <v>2010</v>
      </c>
      <c r="C14" s="2314" t="s">
        <v>2009</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2011</v>
      </c>
      <c r="B15" s="2309" t="s">
        <v>2010</v>
      </c>
      <c r="C15" s="2314" t="s">
        <v>2012</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2013</v>
      </c>
      <c r="B16" s="97"/>
      <c r="C16" s="1008"/>
      <c r="D16" s="2316"/>
      <c r="E16" s="97"/>
      <c r="F16" s="97"/>
      <c r="G16" s="98">
        <f>ROUND(SUMPRODUCT(G6:G13,K6:K13)/SUMPRODUCT((G6:G13&gt;0)*(K6:K13)),3)</f>
        <v>0.94799999999999995</v>
      </c>
      <c r="H16" s="99">
        <f>ROUND(SUMPRODUCT(H6:H13,K6:K13)/SUMPRODUCT((H6:H13&gt;0)*(K6:K13)),3)</f>
        <v>0.05</v>
      </c>
      <c r="I16" s="100"/>
      <c r="J16" s="100"/>
      <c r="K16" s="101">
        <f>SUM(K6:K15)</f>
        <v>20447.539999999997</v>
      </c>
      <c r="L16" s="102">
        <f>ROUND(M16*10000/SUM(K6:K14),0)</f>
        <v>2600</v>
      </c>
      <c r="M16" s="102">
        <f>SUM(M6:M14)</f>
        <v>5316</v>
      </c>
      <c r="N16" s="103">
        <f>ROUND(SUMPRODUCT(M6:M14,N6:N14)/M16,3)</f>
        <v>0.97</v>
      </c>
      <c r="O16" s="102">
        <f>SUM(O6:O14)</f>
        <v>0</v>
      </c>
      <c r="P16" s="102">
        <f>SUM(P6:P14)</f>
        <v>0</v>
      </c>
      <c r="Q16" s="104">
        <f>ROUND(SUMPRODUCT(Q6:Q13,K6:K13)/SUMPRODUCT((Q6:Q13&gt;0)*(K6:K13)),2)</f>
        <v>0.2</v>
      </c>
      <c r="R16" s="1258">
        <f ca="1">SUM(R6:R13)</f>
        <v>40347.69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2014</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2015</v>
      </c>
      <c r="B19" s="112">
        <v>0</v>
      </c>
      <c r="C19" s="2279" t="s">
        <v>2016</v>
      </c>
      <c r="D19" s="2280"/>
      <c r="E19" s="2279"/>
      <c r="F19" s="2279"/>
      <c r="G19" s="2279"/>
      <c r="H19" s="2279"/>
      <c r="I19" s="2279"/>
      <c r="J19" s="2279"/>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2017</v>
      </c>
      <c r="B20" s="113">
        <v>3</v>
      </c>
      <c r="C20" s="2279" t="s">
        <v>2018</v>
      </c>
      <c r="D20" s="2280"/>
      <c r="E20" s="2279"/>
      <c r="F20" s="2279"/>
      <c r="G20" s="2279"/>
      <c r="H20" s="2279"/>
      <c r="I20" s="2279"/>
      <c r="J20" s="2279"/>
      <c r="K20" s="168"/>
      <c r="L20" s="168"/>
      <c r="M20" s="1584"/>
      <c r="N20" s="1584">
        <v>2017</v>
      </c>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2019</v>
      </c>
      <c r="B21" s="113">
        <v>3</v>
      </c>
      <c r="C21" s="2279"/>
      <c r="D21" s="2280"/>
      <c r="E21" s="2279"/>
      <c r="F21" s="2279"/>
      <c r="G21" s="2279"/>
      <c r="H21" s="2279"/>
      <c r="I21" s="2279"/>
      <c r="J21" s="2279"/>
      <c r="K21" s="168"/>
      <c r="L21" s="168"/>
      <c r="M21" s="1584"/>
      <c r="N21" s="1584">
        <v>2019</v>
      </c>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2020</v>
      </c>
      <c r="B22" s="114">
        <f>B19+B20</f>
        <v>3</v>
      </c>
      <c r="C22" s="2279"/>
      <c r="D22" s="2280"/>
      <c r="E22" s="2279"/>
      <c r="F22" s="2279"/>
      <c r="G22" s="2279"/>
      <c r="H22" s="2279"/>
      <c r="I22" s="2279"/>
      <c r="J22" s="2279"/>
      <c r="K22" s="168"/>
      <c r="L22" s="168"/>
      <c r="M22" s="1584"/>
      <c r="N22" s="1584">
        <f>1-(N21-N20)/60</f>
        <v>0.96666666666666667</v>
      </c>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2021</v>
      </c>
      <c r="B23" s="114">
        <f>B19+B21</f>
        <v>3</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2022</v>
      </c>
      <c r="B24" s="115">
        <f>B20-B21</f>
        <v>0</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2023</v>
      </c>
      <c r="B26" s="2322" t="s">
        <v>2024</v>
      </c>
      <c r="C26" s="2323" t="s">
        <v>2025</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2026</v>
      </c>
      <c r="B27" s="116"/>
      <c r="C27" s="1767" t="s">
        <v>2027</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2028</v>
      </c>
      <c r="B28" s="119">
        <v>140</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2029</v>
      </c>
      <c r="B29" s="121"/>
      <c r="C29" s="1767" t="s">
        <v>2030</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2031</v>
      </c>
      <c r="B30" s="724">
        <v>180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2032</v>
      </c>
      <c r="B31" s="120">
        <f>B30-B32</f>
        <v>180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2033</v>
      </c>
      <c r="B32" s="725">
        <v>0</v>
      </c>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2034</v>
      </c>
      <c r="B33" s="726">
        <v>0.05</v>
      </c>
      <c r="C33" s="1766" t="s">
        <v>2035</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2036</v>
      </c>
      <c r="B34" s="122">
        <v>0</v>
      </c>
      <c r="C34" s="1766" t="s">
        <v>2037</v>
      </c>
      <c r="D34" s="2280" t="s">
        <v>2038</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2039</v>
      </c>
      <c r="B35" s="119">
        <v>180</v>
      </c>
      <c r="C35" s="1766" t="s">
        <v>2040</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2041</v>
      </c>
      <c r="B36" s="123">
        <v>1.4999999999999999E-2</v>
      </c>
      <c r="C36" s="1766" t="s">
        <v>2042</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2043</v>
      </c>
      <c r="B37" s="124">
        <v>0.03</v>
      </c>
      <c r="C37" s="1766" t="s">
        <v>2044</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2045</v>
      </c>
      <c r="B38" s="122">
        <v>0.03</v>
      </c>
      <c r="C38" s="1766" t="s">
        <v>2044</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2046</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2047</v>
      </c>
      <c r="B40" s="1303">
        <f ca="1">存贷款利率!G1</f>
        <v>4.7500000000000001E-2</v>
      </c>
      <c r="C40" s="1766" t="s">
        <v>2048</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2049</v>
      </c>
      <c r="B41" s="125">
        <f>B42+B43</f>
        <v>5.6000000000000001E-2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2050</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2051</v>
      </c>
      <c r="B43" s="127">
        <f>B42*(B44+B45+B46)+B47</f>
        <v>6.000000000000001E-3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2052</v>
      </c>
      <c r="B44" s="128">
        <v>7.0000000000000007E-2</v>
      </c>
      <c r="C44" s="1766" t="s">
        <v>2053</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2054</v>
      </c>
      <c r="B45" s="126">
        <v>0.03</v>
      </c>
      <c r="C45" s="1767" t="s">
        <v>2055</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2056</v>
      </c>
      <c r="B46" s="126">
        <v>0.02</v>
      </c>
      <c r="C46" s="1767" t="s">
        <v>2057</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2058</v>
      </c>
      <c r="B47" s="129"/>
      <c r="C47" s="1767" t="s">
        <v>2059</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2060</v>
      </c>
      <c r="B48" s="130">
        <v>0.03</v>
      </c>
      <c r="C48" s="1774" t="s">
        <v>2061</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2062</v>
      </c>
      <c r="B49" s="126">
        <v>5.0000000000000001E-4</v>
      </c>
      <c r="C49" s="1774" t="s">
        <v>2063</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2064</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2065</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2066</v>
      </c>
      <c r="B52" s="133">
        <f>SUMIF(A54:A63,B53,B54:B63)</f>
        <v>5</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2067</v>
      </c>
      <c r="B53" s="2338" t="s">
        <v>137</v>
      </c>
      <c r="C53" s="1430" t="s">
        <v>2068</v>
      </c>
      <c r="D53" s="2339" t="s">
        <v>2069</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2070</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2071</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2072</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2073</v>
      </c>
      <c r="B57" s="84">
        <v>5</v>
      </c>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2074</v>
      </c>
      <c r="B58" s="84"/>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2075</v>
      </c>
      <c r="B59" s="84"/>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2076</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2077</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2078</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2079</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23" sqref="H23"/>
    </sheetView>
  </sheetViews>
  <sheetFormatPr defaultColWidth="9" defaultRowHeight="14.25"/>
  <cols>
    <col min="1" max="1" width="9.5" style="2371"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0"/>
    <col min="30" max="16384" width="9" style="2371"/>
  </cols>
  <sheetData>
    <row r="1" spans="1:29" s="2364" customFormat="1" ht="19.5" thickBot="1">
      <c r="A1" s="3139" t="s">
        <v>2080</v>
      </c>
      <c r="B1" s="3140"/>
      <c r="C1" s="3140"/>
      <c r="D1" s="3140"/>
      <c r="E1" s="3140"/>
      <c r="F1" s="3140"/>
      <c r="G1" s="3140"/>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2081</v>
      </c>
      <c r="D2" s="2368"/>
      <c r="E2" s="2369"/>
      <c r="F2" s="2288"/>
      <c r="G2" s="2367" t="s">
        <v>2082</v>
      </c>
      <c r="H2" s="2370"/>
      <c r="I2" s="2370"/>
      <c r="J2" s="2370"/>
      <c r="K2" s="2370"/>
      <c r="L2" s="2370"/>
      <c r="M2" s="2370"/>
      <c r="N2" s="2370"/>
      <c r="O2" s="2370"/>
      <c r="P2" s="2370"/>
      <c r="Q2" s="2370"/>
      <c r="R2" s="2370"/>
    </row>
    <row r="3" spans="1:29" ht="54">
      <c r="A3" s="415" t="s">
        <v>2083</v>
      </c>
      <c r="B3" s="1271" t="s">
        <v>2084</v>
      </c>
      <c r="C3" s="2372" t="s">
        <v>2085</v>
      </c>
      <c r="D3" s="2373"/>
      <c r="E3" s="431" t="s">
        <v>2083</v>
      </c>
      <c r="F3" s="2374" t="s">
        <v>2086</v>
      </c>
      <c r="G3" s="2375" t="s">
        <v>2087</v>
      </c>
      <c r="H3" s="2370"/>
      <c r="I3" s="2370"/>
      <c r="J3" s="2370"/>
      <c r="K3" s="2370"/>
      <c r="L3" s="2370"/>
      <c r="M3" s="2370"/>
      <c r="N3" s="2370"/>
      <c r="O3" s="2370"/>
      <c r="P3" s="2370"/>
      <c r="Q3" s="2370"/>
      <c r="R3" s="2370"/>
    </row>
    <row r="4" spans="1:29" ht="41.25">
      <c r="A4" s="431"/>
      <c r="B4" s="1798" t="s">
        <v>2088</v>
      </c>
      <c r="C4" s="2376" t="s">
        <v>2089</v>
      </c>
      <c r="D4" s="2373"/>
      <c r="E4" s="2377"/>
      <c r="F4" s="42" t="s">
        <v>2090</v>
      </c>
      <c r="G4" s="2378" t="s">
        <v>2091</v>
      </c>
      <c r="H4" s="2370"/>
      <c r="I4" s="2370"/>
      <c r="J4" s="2370"/>
      <c r="K4" s="2370"/>
      <c r="L4" s="2370"/>
      <c r="M4" s="2370"/>
      <c r="N4" s="2370"/>
      <c r="O4" s="2370"/>
      <c r="P4" s="2370"/>
      <c r="Q4" s="2370"/>
      <c r="R4" s="2370"/>
    </row>
    <row r="5" spans="1:29" ht="41.25">
      <c r="A5" s="431"/>
      <c r="B5" s="1798" t="s">
        <v>2092</v>
      </c>
      <c r="C5" s="2376" t="s">
        <v>2093</v>
      </c>
      <c r="D5" s="2373"/>
      <c r="E5" s="2377"/>
      <c r="F5" s="1798" t="s">
        <v>2094</v>
      </c>
      <c r="G5" s="2378" t="s">
        <v>2095</v>
      </c>
      <c r="H5" s="2370"/>
      <c r="I5" s="2370"/>
      <c r="J5" s="2370"/>
      <c r="K5" s="2370"/>
      <c r="L5" s="2370"/>
      <c r="M5" s="2370"/>
      <c r="N5" s="2370"/>
      <c r="O5" s="2370"/>
      <c r="P5" s="2370"/>
      <c r="Q5" s="2370"/>
      <c r="R5" s="2370"/>
    </row>
    <row r="6" spans="1:29" ht="54">
      <c r="A6" s="431"/>
      <c r="B6" s="1798" t="s">
        <v>2096</v>
      </c>
      <c r="C6" s="2378" t="s">
        <v>2091</v>
      </c>
      <c r="D6" s="2373"/>
      <c r="E6" s="2377"/>
      <c r="F6" s="1798" t="s">
        <v>2097</v>
      </c>
      <c r="G6" s="2378" t="s">
        <v>2098</v>
      </c>
      <c r="H6" s="2370"/>
      <c r="I6" s="2370"/>
      <c r="J6" s="2370"/>
      <c r="K6" s="2370"/>
      <c r="L6" s="2370"/>
      <c r="M6" s="2370"/>
      <c r="N6" s="2370"/>
      <c r="O6" s="2370"/>
      <c r="P6" s="2370"/>
      <c r="Q6" s="2370"/>
      <c r="R6" s="2370"/>
    </row>
    <row r="7" spans="1:29" ht="41.25" thickBot="1">
      <c r="A7" s="431"/>
      <c r="B7" s="1798" t="s">
        <v>2094</v>
      </c>
      <c r="C7" s="2378" t="s">
        <v>2095</v>
      </c>
      <c r="D7" s="2379"/>
      <c r="E7" s="2380"/>
      <c r="F7" s="2381" t="s">
        <v>2099</v>
      </c>
      <c r="G7" s="2382" t="s">
        <v>2100</v>
      </c>
      <c r="H7" s="2370"/>
      <c r="I7" s="2370"/>
      <c r="J7" s="2370"/>
      <c r="K7" s="2370"/>
      <c r="L7" s="2370"/>
      <c r="M7" s="2370"/>
      <c r="N7" s="2370"/>
      <c r="O7" s="2370"/>
      <c r="P7" s="2370"/>
      <c r="Q7" s="2370"/>
      <c r="R7" s="2370"/>
    </row>
    <row r="8" spans="1:29" ht="27">
      <c r="A8" s="431"/>
      <c r="B8" s="1798" t="s">
        <v>2097</v>
      </c>
      <c r="C8" s="2378" t="s">
        <v>2098</v>
      </c>
      <c r="D8" s="2379"/>
      <c r="E8" s="2379"/>
      <c r="F8" s="1136"/>
      <c r="G8" s="1136"/>
      <c r="H8" s="2370"/>
      <c r="I8" s="2370"/>
      <c r="J8" s="2370"/>
      <c r="K8" s="2370"/>
      <c r="L8" s="2370"/>
      <c r="M8" s="2370"/>
      <c r="N8" s="2370"/>
      <c r="O8" s="2370"/>
      <c r="P8" s="2370"/>
      <c r="Q8" s="2370"/>
      <c r="R8" s="2370"/>
    </row>
    <row r="9" spans="1:29" ht="27">
      <c r="A9" s="431"/>
      <c r="B9" s="1798" t="s">
        <v>2101</v>
      </c>
      <c r="C9" s="2376" t="s">
        <v>2102</v>
      </c>
      <c r="D9" s="2373"/>
      <c r="E9" s="2379"/>
      <c r="F9" s="1136"/>
      <c r="G9" s="1136"/>
      <c r="H9" s="2370"/>
      <c r="I9" s="2370"/>
      <c r="J9" s="2370"/>
      <c r="K9" s="2370"/>
      <c r="L9" s="2370"/>
      <c r="M9" s="2370"/>
      <c r="N9" s="2370"/>
      <c r="O9" s="2370"/>
      <c r="P9" s="2370"/>
      <c r="Q9" s="2370"/>
      <c r="R9" s="2370"/>
    </row>
    <row r="10" spans="1:29" s="117" customFormat="1" ht="15.75" thickBot="1">
      <c r="A10" s="2383"/>
      <c r="B10" s="2384" t="s">
        <v>2103</v>
      </c>
      <c r="C10" s="2385"/>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ht="15">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8">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9.5" thickBot="1">
      <c r="A13" s="2396" t="s">
        <v>2104</v>
      </c>
      <c r="B13" s="2390"/>
      <c r="C13" s="2390"/>
      <c r="D13" s="2397"/>
      <c r="E13" s="2390"/>
      <c r="F13" s="2390"/>
      <c r="G13" s="2390"/>
    </row>
    <row r="14" spans="1:29" ht="15.75" thickBot="1">
      <c r="A14" s="2401"/>
      <c r="B14" s="2402"/>
      <c r="C14" s="2403" t="s">
        <v>2105</v>
      </c>
      <c r="D14" s="2373"/>
      <c r="E14" s="2404"/>
      <c r="F14" s="2404"/>
      <c r="G14" s="2367" t="s">
        <v>2106</v>
      </c>
    </row>
    <row r="15" spans="1:29" ht="57">
      <c r="A15" s="68" t="s">
        <v>2107</v>
      </c>
      <c r="B15" s="1270" t="s">
        <v>2084</v>
      </c>
      <c r="C15" s="2405" t="str">
        <f>C3</f>
        <v>估价对象周边居住用地比例、居住小区规模和社区发展完善程度，综合评价居住社区成熟度一般</v>
      </c>
      <c r="D15" s="2373"/>
      <c r="E15" s="2406" t="s">
        <v>2108</v>
      </c>
      <c r="F15" s="1270" t="s">
        <v>2109</v>
      </c>
      <c r="G15" s="135" t="str">
        <f>G3</f>
        <v>估价对象位于XX开发区，园区建设成熟度XX，产业集聚程度XX</v>
      </c>
    </row>
    <row r="16" spans="1:29" ht="42.75">
      <c r="A16" s="645"/>
      <c r="B16" s="2407" t="s">
        <v>2088</v>
      </c>
      <c r="C16" s="2408" t="str">
        <f>C4</f>
        <v>估价对象位于XX商圈，周边商业氛围成熟，人流量大，商业繁华度好</v>
      </c>
      <c r="D16" s="2373"/>
      <c r="E16" s="2409"/>
      <c r="F16" s="2410" t="s">
        <v>2090</v>
      </c>
      <c r="G16" s="136" t="str">
        <f>G4</f>
        <v>估价对象周边道路状况、公共交通通达情况、停车便捷程度，综合评价交通便捷度较好</v>
      </c>
    </row>
    <row r="17" spans="1:18" ht="42.75">
      <c r="A17" s="645"/>
      <c r="B17" s="2407" t="s">
        <v>2092</v>
      </c>
      <c r="C17" s="2408" t="str">
        <f>C5</f>
        <v>估价对象位于XX商圈，周边办公楼项目较多，入驻率高，办公集聚程度较好</v>
      </c>
      <c r="D17" s="2379"/>
      <c r="E17" s="2409"/>
      <c r="F17" s="2410" t="s">
        <v>2110</v>
      </c>
      <c r="G17" s="1572"/>
    </row>
    <row r="18" spans="1:18" ht="57">
      <c r="A18" s="645"/>
      <c r="B18" s="2410" t="s">
        <v>2096</v>
      </c>
      <c r="C18" s="136" t="str">
        <f>C6</f>
        <v>估价对象周边道路状况、公共交通通达情况、停车便捷程度，综合评价交通便捷度较好</v>
      </c>
      <c r="D18" s="2379"/>
      <c r="E18" s="2409"/>
      <c r="F18" s="2410" t="s">
        <v>2099</v>
      </c>
      <c r="G18" s="136" t="str">
        <f>G7</f>
        <v>该园区内是否有污染型企业，绿化情况，卫生条件，整体环境状况判断</v>
      </c>
    </row>
    <row r="19" spans="1:18" ht="28.5">
      <c r="A19" s="645"/>
      <c r="B19" s="2410" t="s">
        <v>2111</v>
      </c>
      <c r="C19" s="1572"/>
      <c r="D19" s="2373"/>
      <c r="E19" s="2409"/>
      <c r="F19" s="1798" t="s">
        <v>2094</v>
      </c>
      <c r="G19" s="136" t="str">
        <f>G5</f>
        <v>估价对象所在区域公共配套设施齐备情况</v>
      </c>
    </row>
    <row r="20" spans="1:18" ht="28.5">
      <c r="A20" s="645"/>
      <c r="B20" s="2410" t="s">
        <v>2112</v>
      </c>
      <c r="C20" s="2408" t="str">
        <f>C9</f>
        <v>区域自然环境：；人文环境；综合评价环境状况一般</v>
      </c>
      <c r="D20" s="2379"/>
      <c r="E20" s="2409"/>
      <c r="F20" s="1798" t="s">
        <v>2113</v>
      </c>
      <c r="G20" s="136" t="str">
        <f>G6</f>
        <v>估价对象所在区域基础设施水平</v>
      </c>
    </row>
    <row r="21" spans="1:18" ht="28.5">
      <c r="A21" s="645"/>
      <c r="B21" s="1798" t="s">
        <v>2094</v>
      </c>
      <c r="C21" s="136" t="str">
        <f>C7</f>
        <v>估价对象所在区域公共配套设施齐备情况</v>
      </c>
      <c r="D21" s="2373"/>
      <c r="E21" s="2409"/>
      <c r="F21" s="2410" t="s">
        <v>2114</v>
      </c>
      <c r="G21" s="2411"/>
    </row>
    <row r="22" spans="1:18" ht="13.5" customHeight="1">
      <c r="A22" s="645"/>
      <c r="B22" s="1798" t="s">
        <v>2097</v>
      </c>
      <c r="C22" s="136" t="str">
        <f>C8</f>
        <v>估价对象所在区域基础设施水平</v>
      </c>
      <c r="D22" s="2373"/>
      <c r="E22" s="2409"/>
      <c r="F22" s="2410" t="s">
        <v>2103</v>
      </c>
      <c r="G22" s="1572"/>
    </row>
    <row r="23" spans="1:18" s="2370" customFormat="1" ht="15.75" thickBot="1">
      <c r="A23" s="645"/>
      <c r="B23" s="2410" t="s">
        <v>2114</v>
      </c>
      <c r="C23" s="2411"/>
      <c r="D23" s="2398"/>
      <c r="E23" s="2412"/>
      <c r="F23" s="2413" t="s">
        <v>2115</v>
      </c>
      <c r="G23" s="2414"/>
      <c r="H23" s="2398"/>
      <c r="I23" s="2399"/>
      <c r="J23" s="2398"/>
      <c r="K23" s="2398"/>
      <c r="L23" s="2399"/>
      <c r="M23" s="2398"/>
      <c r="N23" s="2398"/>
      <c r="O23" s="2399"/>
      <c r="P23" s="2398"/>
      <c r="Q23" s="2398"/>
      <c r="R23" s="2400"/>
    </row>
    <row r="24" spans="1:18" s="2370" customFormat="1" ht="15.75" thickBot="1">
      <c r="A24" s="2415"/>
      <c r="B24" s="2413" t="s">
        <v>2116</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E28" sqref="E28"/>
    </sheetView>
  </sheetViews>
  <sheetFormatPr defaultColWidth="9" defaultRowHeight="13.5"/>
  <cols>
    <col min="1" max="1" width="23.375" style="1741" customWidth="1"/>
    <col min="2" max="9" width="15.75" style="1741" customWidth="1"/>
    <col min="10" max="16384" width="9" style="1741"/>
  </cols>
  <sheetData>
    <row r="1" spans="1:10" ht="16.5">
      <c r="A1" s="1746" t="s">
        <v>1361</v>
      </c>
      <c r="B1" s="1746">
        <f>SUM(B14:B23)</f>
        <v>27845.149999999994</v>
      </c>
      <c r="C1" s="1745"/>
      <c r="D1" s="1745"/>
      <c r="E1" s="1745"/>
      <c r="F1" s="1745"/>
      <c r="G1" s="1743"/>
    </row>
    <row r="2" spans="1:10" ht="16.5">
      <c r="A2" s="1746" t="s">
        <v>1349</v>
      </c>
      <c r="B2" s="1746">
        <f>SUM(C14:C23)</f>
        <v>54944.87</v>
      </c>
      <c r="C2" s="1745"/>
      <c r="D2" s="1745"/>
      <c r="E2" s="1745"/>
      <c r="F2" s="1745"/>
      <c r="G2" s="1743"/>
    </row>
    <row r="3" spans="1:10" ht="16.5">
      <c r="A3" s="1746" t="s">
        <v>1358</v>
      </c>
      <c r="B3" s="1747">
        <f>项目基本情况!D3</f>
        <v>43598</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29593</v>
      </c>
      <c r="C5" s="1746">
        <f ca="1">ROUND(B5*10000/$B$1,0)</f>
        <v>10628</v>
      </c>
      <c r="D5" s="1746">
        <f ca="1">ROUND(B5*10000/$B$2,0)</f>
        <v>5386</v>
      </c>
      <c r="E5" s="1745"/>
      <c r="F5" s="1743"/>
      <c r="G5" s="1743"/>
    </row>
    <row r="6" spans="1:10" ht="16.5">
      <c r="A6" s="1746" t="s">
        <v>1352</v>
      </c>
      <c r="B6" s="1746">
        <f ca="1">SUM(G14:G23)</f>
        <v>29593</v>
      </c>
      <c r="C6" s="1746">
        <f ca="1">ROUND(B6*10000/$B$1,0)</f>
        <v>10628</v>
      </c>
      <c r="D6" s="1746">
        <f ca="1">ROUND(B6*10000/$B$2,0)</f>
        <v>5386</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20447.539999999997</v>
      </c>
      <c r="C14" s="1744">
        <f>结果表!C118</f>
        <v>40347.69</v>
      </c>
      <c r="D14" s="1744">
        <f ca="1">结果表!H118</f>
        <v>21417</v>
      </c>
      <c r="E14" s="1744">
        <f ca="1">ROUND(D14*10000/B14,0)</f>
        <v>10474</v>
      </c>
      <c r="F14" s="1744">
        <f ca="1">ROUND(D14*10000/C14,0)</f>
        <v>5308</v>
      </c>
      <c r="G14" s="1744">
        <f ca="1">结果表!D122</f>
        <v>21417</v>
      </c>
      <c r="H14" s="1744" t="str">
        <f>结果表!D124</f>
        <v>——</v>
      </c>
      <c r="I14" s="1744" t="str">
        <f>结果表!D126</f>
        <v>——</v>
      </c>
      <c r="J14" s="1743"/>
    </row>
    <row r="15" spans="1:10" ht="16.5">
      <c r="A15" s="1742" t="s">
        <v>1345</v>
      </c>
      <c r="B15" s="1749">
        <f>[2]系统读取表!$B$1</f>
        <v>7397.6099999999988</v>
      </c>
      <c r="C15" s="1749">
        <f>[2]系统读取表!$B$2</f>
        <v>14597.18</v>
      </c>
      <c r="D15" s="1749">
        <f>[3]结果表!$G$19</f>
        <v>8176</v>
      </c>
      <c r="E15" s="1744">
        <f t="shared" ref="E15:E23" si="0">ROUND(D15*10000/B15,0)</f>
        <v>11052</v>
      </c>
      <c r="F15" s="1744">
        <f t="shared" ref="F15:F23" si="1">ROUND(D15*10000/C15,0)</f>
        <v>5601</v>
      </c>
      <c r="G15" s="1750">
        <f>[3]结果表!$G$19</f>
        <v>8176</v>
      </c>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19" sqref="G19"/>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7" t="s">
        <v>2117</v>
      </c>
      <c r="B1" s="2421"/>
      <c r="C1" s="2422"/>
      <c r="D1" s="2421"/>
      <c r="E1" s="2421"/>
      <c r="F1" s="2423" t="s">
        <v>2118</v>
      </c>
      <c r="G1" s="2074" t="s">
        <v>3359</v>
      </c>
      <c r="H1" s="2424" t="str">
        <f>IF(G1="现房","——","估价对象范围")</f>
        <v>——</v>
      </c>
      <c r="I1" s="2425"/>
    </row>
    <row r="2" spans="1:12" ht="21.75" customHeight="1" thickBot="1">
      <c r="A2" s="3174" t="str">
        <f>项目基本情况!S2</f>
        <v>房地产</v>
      </c>
      <c r="B2" s="3175"/>
      <c r="C2" s="3175"/>
      <c r="D2" s="3175"/>
      <c r="E2" s="3175"/>
      <c r="F2" s="3175"/>
      <c r="G2" s="3175"/>
      <c r="H2" s="3175"/>
      <c r="I2" s="3176"/>
    </row>
    <row r="3" spans="1:12" ht="12.75">
      <c r="A3" s="3178" t="s">
        <v>2119</v>
      </c>
      <c r="B3" s="3179"/>
      <c r="C3" s="3179"/>
      <c r="D3" s="3179"/>
      <c r="E3" s="3179"/>
      <c r="F3" s="3179"/>
      <c r="G3" s="3179"/>
      <c r="H3" s="3179"/>
      <c r="I3" s="3179"/>
    </row>
    <row r="4" spans="1:12" ht="14.25">
      <c r="A4" s="2428" t="s">
        <v>2120</v>
      </c>
      <c r="B4" s="2429" t="s">
        <v>2121</v>
      </c>
      <c r="C4" s="2430" t="s">
        <v>3360</v>
      </c>
      <c r="D4" s="2430" t="s">
        <v>4199</v>
      </c>
      <c r="E4" s="3171" t="s">
        <v>2122</v>
      </c>
      <c r="F4" s="3172"/>
      <c r="G4" s="3172"/>
      <c r="H4" s="3172"/>
      <c r="I4" s="3180"/>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154" t="s">
        <v>2123</v>
      </c>
      <c r="B5" s="3080">
        <v>25</v>
      </c>
      <c r="C5" s="3157"/>
      <c r="D5" s="3177"/>
      <c r="E5" s="140" t="s">
        <v>2124</v>
      </c>
      <c r="F5" s="2432"/>
      <c r="G5" s="2432"/>
      <c r="H5" s="2432"/>
      <c r="I5" s="1834"/>
    </row>
    <row r="6" spans="1:12" ht="12.75">
      <c r="A6" s="3154"/>
      <c r="B6" s="3080"/>
      <c r="C6" s="3158"/>
      <c r="D6" s="3177"/>
      <c r="E6" s="140" t="s">
        <v>2125</v>
      </c>
      <c r="F6" s="2432"/>
      <c r="G6" s="2432"/>
      <c r="H6" s="2432"/>
      <c r="I6" s="1834"/>
    </row>
    <row r="7" spans="1:12" ht="12.75">
      <c r="A7" s="3154"/>
      <c r="B7" s="3080"/>
      <c r="C7" s="3159"/>
      <c r="D7" s="3177"/>
      <c r="E7" s="140" t="s">
        <v>2126</v>
      </c>
      <c r="F7" s="2432"/>
      <c r="G7" s="2432"/>
      <c r="H7" s="2432"/>
      <c r="I7" s="1834"/>
    </row>
    <row r="8" spans="1:12" ht="12.75">
      <c r="A8" s="3154" t="s">
        <v>2127</v>
      </c>
      <c r="B8" s="3080">
        <v>15</v>
      </c>
      <c r="C8" s="3157"/>
      <c r="D8" s="3177"/>
      <c r="E8" s="140" t="s">
        <v>2128</v>
      </c>
      <c r="F8" s="2432"/>
      <c r="G8" s="2432"/>
      <c r="H8" s="2432"/>
      <c r="I8" s="1834"/>
    </row>
    <row r="9" spans="1:12" ht="12.75">
      <c r="A9" s="3154"/>
      <c r="B9" s="3080"/>
      <c r="C9" s="3159"/>
      <c r="D9" s="3177"/>
      <c r="E9" s="140" t="s">
        <v>2129</v>
      </c>
      <c r="F9" s="2432"/>
      <c r="G9" s="2432"/>
      <c r="H9" s="2432"/>
      <c r="I9" s="1834"/>
    </row>
    <row r="10" spans="1:12" ht="12.75">
      <c r="A10" s="3154" t="s">
        <v>2130</v>
      </c>
      <c r="B10" s="3080">
        <v>15</v>
      </c>
      <c r="C10" s="3157"/>
      <c r="D10" s="3177"/>
      <c r="E10" s="140" t="s">
        <v>2131</v>
      </c>
      <c r="F10" s="2432"/>
      <c r="G10" s="2432"/>
      <c r="H10" s="2432"/>
      <c r="I10" s="1834"/>
    </row>
    <row r="11" spans="1:12" ht="12.75">
      <c r="A11" s="3154"/>
      <c r="B11" s="3080"/>
      <c r="C11" s="3159"/>
      <c r="D11" s="3177"/>
      <c r="E11" s="140" t="s">
        <v>2132</v>
      </c>
      <c r="F11" s="2432"/>
      <c r="G11" s="2432"/>
      <c r="H11" s="2432"/>
      <c r="I11" s="1834"/>
    </row>
    <row r="12" spans="1:12" ht="12.75">
      <c r="A12" s="3154" t="s">
        <v>2133</v>
      </c>
      <c r="B12" s="3080">
        <v>15</v>
      </c>
      <c r="C12" s="3157"/>
      <c r="D12" s="3177"/>
      <c r="E12" s="140" t="s">
        <v>2134</v>
      </c>
      <c r="F12" s="2432"/>
      <c r="G12" s="2432"/>
      <c r="H12" s="2432"/>
      <c r="I12" s="1834"/>
    </row>
    <row r="13" spans="1:12" ht="12.75">
      <c r="A13" s="3154"/>
      <c r="B13" s="3080"/>
      <c r="C13" s="3159"/>
      <c r="D13" s="3177"/>
      <c r="E13" s="140" t="s">
        <v>2135</v>
      </c>
      <c r="F13" s="2432"/>
      <c r="G13" s="2432"/>
      <c r="H13" s="2432"/>
      <c r="I13" s="1834"/>
    </row>
    <row r="14" spans="1:12" ht="12.75">
      <c r="A14" s="3154" t="s">
        <v>2136</v>
      </c>
      <c r="B14" s="3080">
        <v>30</v>
      </c>
      <c r="C14" s="3157">
        <v>1</v>
      </c>
      <c r="D14" s="3177">
        <v>1</v>
      </c>
      <c r="E14" s="140" t="s">
        <v>2137</v>
      </c>
      <c r="F14" s="2432"/>
      <c r="G14" s="2432"/>
      <c r="H14" s="2432"/>
      <c r="I14" s="1834"/>
    </row>
    <row r="15" spans="1:12" ht="12.75">
      <c r="A15" s="3154"/>
      <c r="B15" s="3080"/>
      <c r="C15" s="3158"/>
      <c r="D15" s="3177"/>
      <c r="E15" s="140" t="s">
        <v>2138</v>
      </c>
      <c r="F15" s="2432"/>
      <c r="G15" s="2432"/>
      <c r="H15" s="2432"/>
      <c r="I15" s="1834"/>
    </row>
    <row r="16" spans="1:12" ht="12.75">
      <c r="A16" s="3154"/>
      <c r="B16" s="3080"/>
      <c r="C16" s="3159"/>
      <c r="D16" s="3177"/>
      <c r="E16" s="140" t="s">
        <v>2139</v>
      </c>
      <c r="F16" s="2432"/>
      <c r="G16" s="2432"/>
      <c r="H16" s="2432"/>
      <c r="I16" s="1834"/>
    </row>
    <row r="17" spans="1:35" ht="15">
      <c r="A17" s="2433" t="s">
        <v>2140</v>
      </c>
      <c r="B17" s="64"/>
      <c r="C17" s="141">
        <f>SUM(C5:C16)</f>
        <v>1</v>
      </c>
      <c r="D17" s="141">
        <f>SUM(D5:D16)</f>
        <v>1</v>
      </c>
      <c r="E17" s="138"/>
      <c r="F17" s="138"/>
      <c r="G17" s="138"/>
      <c r="H17" s="138"/>
      <c r="I17" s="138"/>
      <c r="K17" s="2431"/>
      <c r="L17" s="2434" t="s">
        <v>2141</v>
      </c>
      <c r="M17" s="2434" t="s">
        <v>2142</v>
      </c>
    </row>
    <row r="18" spans="1:35" ht="15.75" thickBot="1">
      <c r="A18" s="2435" t="s">
        <v>2143</v>
      </c>
      <c r="B18" s="2436"/>
      <c r="C18" s="142">
        <f>ROUND(C17/SUM(C17:D17),2)</f>
        <v>0.5</v>
      </c>
      <c r="D18" s="142">
        <f>1-C18</f>
        <v>0.5</v>
      </c>
      <c r="E18" s="138"/>
      <c r="F18" s="138"/>
      <c r="G18" s="138"/>
      <c r="H18" s="138"/>
      <c r="I18" s="138"/>
      <c r="K18" s="2431" t="s">
        <v>2144</v>
      </c>
      <c r="L18" s="2431">
        <f>IF(C1="",'数据-汇总表'!E3,SUMIF(项目类型,C1,'数据-汇总表'!E17:E26)+SUMIF(项目类型,C1,'数据-汇总表'!I17:I26))</f>
        <v>20447.539999999997</v>
      </c>
      <c r="M18" s="2431">
        <f>IF(C1="",'数据-汇总表'!E3,SUMIF(项目类型,C1,'数据-汇总表'!E17:E26))</f>
        <v>20447.539999999997</v>
      </c>
    </row>
    <row r="19" spans="1:35" ht="15">
      <c r="A19" s="2437" t="s">
        <v>2145</v>
      </c>
      <c r="B19" s="2438" t="s">
        <v>2146</v>
      </c>
      <c r="C19" s="143">
        <f ca="1">SUMIF(INDIRECT("'"&amp;C4&amp;"'"&amp;"!A:A"),结果表!B19,INDIRECT("'"&amp;C4&amp;"'"&amp;"!B:B"))</f>
        <v>19510</v>
      </c>
      <c r="D19" s="144">
        <f ca="1">SUMIF(INDIRECT("'"&amp;D4&amp;"'"&amp;"!A:A"),结果表!B19,INDIRECT("'"&amp;D4&amp;"'"&amp;"!B:B"))</f>
        <v>23324</v>
      </c>
      <c r="E19" s="2437" t="s">
        <v>2147</v>
      </c>
      <c r="F19" s="2438" t="s">
        <v>2146</v>
      </c>
      <c r="G19" s="145">
        <f ca="1">ROUND(C19*$C$18+D19*$D$18,0)</f>
        <v>21417</v>
      </c>
      <c r="H19" s="2439" t="s">
        <v>2148</v>
      </c>
      <c r="I19" s="138"/>
      <c r="K19" s="2431" t="s">
        <v>2149</v>
      </c>
      <c r="L19" s="2431">
        <f>IF(C1="",'数据-汇总表'!D3,SUMIF(项目类型,C1,'数据-汇总表'!D17:D26)+SUMIF(项目类型,C1,'数据-汇总表'!H17:H27))</f>
        <v>40347.69</v>
      </c>
      <c r="M19" s="2431">
        <f>IF(C1="",'数据-汇总表'!D3,SUMIF(项目类型,C1,'数据-汇总表'!D17:D26))</f>
        <v>40347.69</v>
      </c>
    </row>
    <row r="20" spans="1:35" ht="15">
      <c r="A20" s="2440"/>
      <c r="B20" s="1250" t="s">
        <v>2150</v>
      </c>
      <c r="C20" s="146">
        <f ca="1">SUMIF(INDIRECT("'"&amp;C4&amp;"'"&amp;"!A:A"),结果表!B20,INDIRECT("'"&amp;C4&amp;"'"&amp;"!B:B"))</f>
        <v>9541</v>
      </c>
      <c r="D20" s="147">
        <f ca="1">SUMIF(INDIRECT("'"&amp;D4&amp;"'"&amp;"!A:A"),结果表!B20,INDIRECT("'"&amp;D4&amp;"'"&amp;"!B:B"))</f>
        <v>11407</v>
      </c>
      <c r="E20" s="2440"/>
      <c r="F20" s="1250" t="s">
        <v>2150</v>
      </c>
      <c r="G20" s="148">
        <f ca="1">ROUND(C20*$C$18+D20*$D$18,0)</f>
        <v>10474</v>
      </c>
      <c r="H20" s="983" t="s">
        <v>2151</v>
      </c>
      <c r="I20" s="138"/>
    </row>
    <row r="21" spans="1:35" ht="15" customHeight="1" thickBot="1">
      <c r="A21" s="1003"/>
      <c r="B21" s="2441" t="s">
        <v>2152</v>
      </c>
      <c r="C21" s="789">
        <f ca="1">ROUND(C19*10000/L19,0)</f>
        <v>4835</v>
      </c>
      <c r="D21" s="790">
        <f ca="1">ROUND(D19*10000/L19,0)</f>
        <v>5781</v>
      </c>
      <c r="E21" s="1003"/>
      <c r="F21" s="2441" t="s">
        <v>2152</v>
      </c>
      <c r="G21" s="149">
        <f ca="1">ROUND(G19*10000/L19,0)</f>
        <v>5308</v>
      </c>
      <c r="H21" s="2442" t="s">
        <v>2151</v>
      </c>
      <c r="I21" s="138"/>
    </row>
    <row r="22" spans="1:35" ht="15" thickBot="1">
      <c r="A22" s="2283" t="s">
        <v>2153</v>
      </c>
      <c r="B22" s="2443"/>
      <c r="C22" s="2444"/>
      <c r="D22" s="791">
        <f ca="1">IF(C19&lt;D19,D19/C19-1,C19/D19-1)</f>
        <v>0.19548949256791381</v>
      </c>
      <c r="E22" s="138"/>
      <c r="F22" s="138"/>
      <c r="G22" s="138"/>
      <c r="H22" s="138"/>
      <c r="I22" s="138"/>
    </row>
    <row r="23" spans="1:35" ht="13.5" thickBot="1">
      <c r="A23" s="2421"/>
      <c r="B23" s="2421"/>
      <c r="C23" s="2421"/>
      <c r="D23" s="2421"/>
      <c r="E23" s="138"/>
      <c r="F23" s="138"/>
      <c r="G23" s="138"/>
      <c r="H23" s="138"/>
      <c r="I23" s="138"/>
    </row>
    <row r="24" spans="1:35" ht="14.25">
      <c r="A24" s="3148" t="s">
        <v>2154</v>
      </c>
      <c r="B24" s="2438" t="s">
        <v>2146</v>
      </c>
      <c r="C24" s="145">
        <f>IF(B30=0,0,D30)</f>
        <v>0</v>
      </c>
      <c r="D24" s="2445"/>
      <c r="E24" s="138"/>
      <c r="F24" s="138"/>
      <c r="G24" s="138"/>
      <c r="H24" s="138"/>
      <c r="I24" s="138"/>
    </row>
    <row r="25" spans="1:35" ht="14.25">
      <c r="A25" s="3149"/>
      <c r="B25" s="1250" t="s">
        <v>2150</v>
      </c>
      <c r="C25" s="150">
        <f>IF(B30=0,0,C30)</f>
        <v>0</v>
      </c>
      <c r="D25" s="2446"/>
      <c r="E25" s="138"/>
      <c r="F25" s="138"/>
      <c r="G25" s="138"/>
      <c r="H25" s="138"/>
      <c r="I25" s="138"/>
    </row>
    <row r="26" spans="1:35" ht="13.5" customHeight="1">
      <c r="A26" s="2447" t="s">
        <v>2155</v>
      </c>
      <c r="B26" s="151" t="s">
        <v>2156</v>
      </c>
      <c r="C26" s="151" t="s">
        <v>2157</v>
      </c>
      <c r="D26" s="152" t="s">
        <v>2158</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2159</v>
      </c>
      <c r="B30" s="151"/>
      <c r="C30" s="151"/>
      <c r="D30" s="151"/>
      <c r="E30" s="2928" t="s">
        <v>3036</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2160</v>
      </c>
      <c r="B32" s="2451"/>
      <c r="C32" s="153">
        <f ca="1">IF(D32="总价",G19-C24,G20-C25)</f>
        <v>21417</v>
      </c>
      <c r="D32" s="2452" t="s">
        <v>2161</v>
      </c>
      <c r="E32" s="138"/>
      <c r="F32" s="138"/>
      <c r="G32" s="138"/>
      <c r="H32" s="138"/>
      <c r="I32" s="138"/>
    </row>
    <row r="33" spans="1:15" ht="15">
      <c r="A33" s="960" t="s">
        <v>2162</v>
      </c>
      <c r="B33" s="2453"/>
      <c r="C33" s="2454" t="s">
        <v>3366</v>
      </c>
      <c r="D33" s="2455" t="s">
        <v>3360</v>
      </c>
      <c r="E33" s="2456" t="s">
        <v>2163</v>
      </c>
      <c r="F33" s="2457" t="str">
        <f>IF(D32="楼面单价","取值（单价）","取值（总价）")</f>
        <v>取值（总价）</v>
      </c>
      <c r="G33" s="138"/>
      <c r="H33" s="138"/>
      <c r="I33" s="138"/>
    </row>
    <row r="34" spans="1:15" ht="15">
      <c r="A34" s="2458"/>
      <c r="B34" s="2459" t="s">
        <v>2164</v>
      </c>
      <c r="C34" s="157">
        <f ca="1">IF(C33="自定义",F34,C32-C35)</f>
        <v>12165</v>
      </c>
      <c r="D34" s="1058">
        <f ca="1">IF(C33="自定义",ROUND(C34/C32,3),IF(C33="收益比率",SUMIF(INDIRECT("'"&amp;D33&amp;"'"&amp;"!b:b"),"土地收益比率",INDIRECT("'"&amp;D33&amp;"'"&amp;"!c:c")),SUMIF(INDIRECT("'"&amp;D33&amp;"'"&amp;"!b:b"),"土地成本比率",INDIRECT("'"&amp;D33&amp;"'"&amp;"!c:c"))))</f>
        <v>0.56800000000000006</v>
      </c>
      <c r="E34" s="2460" t="s">
        <v>2165</v>
      </c>
      <c r="F34" s="1739"/>
      <c r="G34" s="138"/>
      <c r="H34" s="138"/>
      <c r="I34" s="138"/>
    </row>
    <row r="35" spans="1:15" ht="15.75" thickBot="1">
      <c r="A35" s="2461"/>
      <c r="B35" s="2462" t="s">
        <v>2166</v>
      </c>
      <c r="C35" s="1444">
        <f ca="1">IF(C33="自定义",F35,ROUND(C32*D35,0))</f>
        <v>9252</v>
      </c>
      <c r="D35" s="1445">
        <f ca="1">IF(C33="自定义",ROUND(C35/C32,3),IF(C33="收益比率",SUMIF(INDIRECT("'"&amp;D33&amp;"'"&amp;"!b:b"),"建筑物收益比率",INDIRECT("'"&amp;D33&amp;"'"&amp;"!c:c")),SUMIF(INDIRECT("'"&amp;D33&amp;"'"&amp;"!b:b"),"建筑物成本比率",INDIRECT("'"&amp;D33&amp;"'"&amp;"!c:c"))))</f>
        <v>0.432</v>
      </c>
      <c r="E35" s="2463" t="s">
        <v>2167</v>
      </c>
      <c r="F35" s="163"/>
      <c r="G35" s="138"/>
      <c r="H35" s="138"/>
      <c r="I35" s="138"/>
    </row>
    <row r="36" spans="1:15" ht="15.75" thickBot="1">
      <c r="A36" s="3166" t="s">
        <v>2168</v>
      </c>
      <c r="B36" s="2464" t="s">
        <v>2169</v>
      </c>
      <c r="C36" s="154"/>
      <c r="D36" s="2465"/>
      <c r="E36" s="2466"/>
      <c r="F36" s="2467"/>
      <c r="G36" s="138"/>
      <c r="H36" s="138"/>
      <c r="I36" s="138"/>
    </row>
    <row r="37" spans="1:15" ht="15.75" thickBot="1">
      <c r="A37" s="3167"/>
      <c r="B37" s="2269" t="s">
        <v>2170</v>
      </c>
      <c r="C37" s="156"/>
      <c r="D37" s="1395"/>
      <c r="E37" s="1395"/>
      <c r="F37" s="2467"/>
      <c r="G37" s="138"/>
      <c r="H37" s="138"/>
      <c r="I37" s="138"/>
    </row>
    <row r="38" spans="1:15" ht="15.75" thickBot="1">
      <c r="A38" s="3168"/>
      <c r="B38" s="2468" t="s">
        <v>2171</v>
      </c>
      <c r="C38" s="727"/>
      <c r="D38" s="2469" t="s">
        <v>2172</v>
      </c>
      <c r="E38" s="1395"/>
      <c r="F38" s="2467"/>
      <c r="G38" s="138"/>
      <c r="H38" s="138"/>
      <c r="I38" s="138"/>
    </row>
    <row r="39" spans="1:15" ht="15">
      <c r="A39" s="2440" t="s">
        <v>2173</v>
      </c>
      <c r="B39" s="2470" t="s">
        <v>2174</v>
      </c>
      <c r="C39" s="2471" t="s">
        <v>2175</v>
      </c>
      <c r="D39" s="2471" t="s">
        <v>2176</v>
      </c>
      <c r="E39" s="2472" t="s">
        <v>2177</v>
      </c>
      <c r="F39" s="2467"/>
      <c r="G39" s="138"/>
      <c r="H39" s="138"/>
      <c r="I39" s="138"/>
    </row>
    <row r="40" spans="1:15" ht="14.25">
      <c r="A40" s="2473" t="s">
        <v>2178</v>
      </c>
      <c r="B40" s="158"/>
      <c r="C40" s="159"/>
      <c r="D40" s="159"/>
      <c r="E40" s="160"/>
      <c r="F40" s="2467"/>
      <c r="G40" s="138"/>
      <c r="H40" s="138"/>
      <c r="I40" s="138"/>
    </row>
    <row r="41" spans="1:15" ht="14.25">
      <c r="A41" s="2473" t="s">
        <v>2179</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9"/>
      <c r="B43" s="2169"/>
      <c r="C43" s="2169"/>
      <c r="D43" s="2169"/>
      <c r="E43" s="2169"/>
      <c r="F43" s="2475"/>
      <c r="G43" s="2475"/>
      <c r="H43" s="2475"/>
      <c r="I43" s="2476"/>
    </row>
    <row r="44" spans="1:15" ht="18.75">
      <c r="A44" s="2477" t="s">
        <v>2180</v>
      </c>
      <c r="B44" s="2478"/>
      <c r="C44" s="2478"/>
      <c r="D44" s="2479"/>
      <c r="E44" s="2479"/>
      <c r="F44" s="2480"/>
      <c r="G44" s="2480"/>
      <c r="H44" s="2480"/>
      <c r="I44" s="2480"/>
      <c r="J44" s="2481" t="s">
        <v>2181</v>
      </c>
      <c r="K44" s="2482"/>
      <c r="L44" s="2482"/>
      <c r="M44" s="2482"/>
      <c r="N44" s="2482"/>
      <c r="O44" s="2482"/>
    </row>
    <row r="45" spans="1:15" ht="14.25" customHeight="1" thickBot="1">
      <c r="A45" s="3145" t="s">
        <v>2182</v>
      </c>
      <c r="B45" s="3146"/>
      <c r="C45" s="3147"/>
      <c r="D45" s="164">
        <f ca="1">ROUND(H101*F45,0)</f>
        <v>21417</v>
      </c>
      <c r="E45" s="165" t="s">
        <v>2183</v>
      </c>
      <c r="F45" s="166">
        <v>1</v>
      </c>
      <c r="G45" s="167" t="s">
        <v>2184</v>
      </c>
      <c r="H45" s="138"/>
      <c r="I45" s="138"/>
      <c r="J45" s="3205" t="s">
        <v>2185</v>
      </c>
      <c r="K45" s="3205"/>
      <c r="L45" s="3205"/>
      <c r="M45" s="3205"/>
      <c r="N45" s="3205"/>
      <c r="O45" s="3205"/>
    </row>
    <row r="46" spans="1:15" ht="14.25" customHeight="1">
      <c r="A46" s="3142" t="s">
        <v>2186</v>
      </c>
      <c r="B46" s="3143"/>
      <c r="C46" s="3143"/>
      <c r="D46" s="3143"/>
      <c r="E46" s="3143"/>
      <c r="F46" s="3143"/>
      <c r="G46" s="3144"/>
      <c r="H46" s="2483"/>
      <c r="I46" s="168"/>
      <c r="J46" s="1812">
        <v>1</v>
      </c>
      <c r="K46" s="3205" t="s">
        <v>2187</v>
      </c>
      <c r="L46" s="3205"/>
      <c r="M46" s="3225"/>
      <c r="N46" s="3225"/>
      <c r="O46" s="3225"/>
    </row>
    <row r="47" spans="1:15" ht="12" customHeight="1">
      <c r="A47" s="169" t="s">
        <v>2188</v>
      </c>
      <c r="B47" s="170"/>
      <c r="C47" s="171"/>
      <c r="D47" s="172" t="s">
        <v>2189</v>
      </c>
      <c r="E47" s="24" t="s">
        <v>2190</v>
      </c>
      <c r="F47" s="173" t="s">
        <v>2191</v>
      </c>
      <c r="G47" s="174" t="s">
        <v>2192</v>
      </c>
      <c r="H47" s="2483"/>
      <c r="I47" s="168"/>
      <c r="J47" s="1812">
        <v>2</v>
      </c>
      <c r="K47" s="3205" t="s">
        <v>2193</v>
      </c>
      <c r="L47" s="3205"/>
      <c r="M47" s="3226">
        <f>'数据-取费表'!B2</f>
        <v>43598</v>
      </c>
      <c r="N47" s="3226"/>
      <c r="O47" s="3226"/>
    </row>
    <row r="48" spans="1:15" ht="25.5">
      <c r="A48" s="3173" t="s">
        <v>2194</v>
      </c>
      <c r="B48" s="3156"/>
      <c r="C48" s="3156"/>
      <c r="D48" s="140">
        <f>IF(H48="情况1",0,IF(H48="情况2",D52,IF(H48="情况3",D53,IF(H48="情况4",D54))))</f>
        <v>0</v>
      </c>
      <c r="E48" s="1801" t="str">
        <f>IF(H48="情况4","(销售额-原购置价)×税（费）率","销售额×税（费）率")</f>
        <v>销售额×税（费）率</v>
      </c>
      <c r="F48" s="175" t="str">
        <f>IF(H48="情况1","免征",'数据-取费表'!B41)</f>
        <v>免征</v>
      </c>
      <c r="G48" s="2484" t="s">
        <v>2195</v>
      </c>
      <c r="H48" s="2485" t="s">
        <v>2196</v>
      </c>
      <c r="I48" s="2483"/>
      <c r="J48" s="1812">
        <v>3</v>
      </c>
      <c r="K48" s="3205" t="s">
        <v>2197</v>
      </c>
      <c r="L48" s="3205"/>
      <c r="M48" s="3227">
        <f ca="1">H101</f>
        <v>21417</v>
      </c>
      <c r="N48" s="3227"/>
      <c r="O48" s="3227"/>
    </row>
    <row r="49" spans="1:35" ht="25.5" customHeight="1">
      <c r="A49" s="176" t="s">
        <v>2198</v>
      </c>
      <c r="B49" s="3141" t="s">
        <v>2199</v>
      </c>
      <c r="C49" s="3141"/>
      <c r="D49" s="177">
        <v>0</v>
      </c>
      <c r="E49" s="23" t="s">
        <v>2200</v>
      </c>
      <c r="F49" s="28" t="s">
        <v>34</v>
      </c>
      <c r="G49" s="3211"/>
      <c r="H49" s="138"/>
      <c r="I49" s="2486"/>
      <c r="J49" s="1812">
        <v>4</v>
      </c>
      <c r="K49" s="3205" t="str">
        <f>IF(项目基本情况!E8="房地产抵押价值","房地产抵押价值","抵押担保权已注销时的房地产抵押价值")</f>
        <v>房地产抵押价值</v>
      </c>
      <c r="L49" s="3205"/>
      <c r="M49" s="3227">
        <f ca="1">IF(项目基本情况!E8="房地产抵押价值",H107,H109)</f>
        <v>21417</v>
      </c>
      <c r="N49" s="3227"/>
      <c r="O49" s="3227"/>
    </row>
    <row r="50" spans="1:35" ht="25.5" customHeight="1">
      <c r="A50" s="178"/>
      <c r="B50" s="3141" t="s">
        <v>2201</v>
      </c>
      <c r="C50" s="3141"/>
      <c r="D50" s="179"/>
      <c r="E50" s="31"/>
      <c r="F50" s="180"/>
      <c r="G50" s="3212"/>
      <c r="H50" s="138"/>
      <c r="I50" s="2486"/>
      <c r="J50" s="3205" t="s">
        <v>2202</v>
      </c>
      <c r="K50" s="3205"/>
      <c r="L50" s="3205"/>
      <c r="M50" s="3205"/>
      <c r="N50" s="3205"/>
      <c r="O50" s="3205"/>
    </row>
    <row r="51" spans="1:35" ht="12" customHeight="1">
      <c r="A51" s="181"/>
      <c r="B51" s="3141" t="s">
        <v>2203</v>
      </c>
      <c r="C51" s="3141"/>
      <c r="D51" s="182"/>
      <c r="E51" s="30"/>
      <c r="F51" s="180"/>
      <c r="G51" s="3213"/>
      <c r="H51" s="138"/>
      <c r="I51" s="2486"/>
      <c r="J51" s="2487" t="s">
        <v>2204</v>
      </c>
      <c r="K51" s="3205" t="s">
        <v>2205</v>
      </c>
      <c r="L51" s="3205"/>
      <c r="M51" s="2487" t="s">
        <v>2206</v>
      </c>
      <c r="N51" s="2487" t="s">
        <v>2207</v>
      </c>
      <c r="O51" s="2487" t="s">
        <v>2208</v>
      </c>
    </row>
    <row r="52" spans="1:35" ht="24" customHeight="1">
      <c r="A52" s="183" t="s">
        <v>2209</v>
      </c>
      <c r="B52" s="3141" t="s">
        <v>2210</v>
      </c>
      <c r="C52" s="3141"/>
      <c r="D52" s="182">
        <f ca="1">ROUND(D45*'数据-取费表'!B41/(1+'数据-取费表'!C42),0)</f>
        <v>1142</v>
      </c>
      <c r="E52" s="11" t="s">
        <v>2211</v>
      </c>
      <c r="F52" s="184">
        <f>'数据-取费表'!B41</f>
        <v>5.6000000000000001E-2</v>
      </c>
      <c r="G52" s="2488"/>
      <c r="H52" s="138"/>
      <c r="I52" s="2486"/>
      <c r="J52" s="1812">
        <v>1</v>
      </c>
      <c r="K52" s="3206" t="s">
        <v>2212</v>
      </c>
      <c r="L52" s="3206"/>
      <c r="M52" s="1754">
        <f>D48</f>
        <v>0</v>
      </c>
      <c r="N52" s="1812" t="str">
        <f>E48</f>
        <v>销售额×税（费）率</v>
      </c>
      <c r="O52" s="1755" t="str">
        <f>F48</f>
        <v>免征</v>
      </c>
    </row>
    <row r="53" spans="1:35" ht="12" customHeight="1">
      <c r="A53" s="183" t="s">
        <v>2213</v>
      </c>
      <c r="B53" s="3164" t="s">
        <v>2214</v>
      </c>
      <c r="C53" s="3165"/>
      <c r="D53" s="182">
        <f ca="1">ROUND(D45*'数据-取费表'!B41/(1+'数据-取费表'!C42),0)</f>
        <v>1142</v>
      </c>
      <c r="E53" s="11" t="s">
        <v>2211</v>
      </c>
      <c r="F53" s="184">
        <f>'数据-取费表'!B41</f>
        <v>5.6000000000000001E-2</v>
      </c>
      <c r="G53" s="2488"/>
      <c r="H53" s="138"/>
      <c r="I53" s="2486"/>
      <c r="J53" s="1812">
        <v>2</v>
      </c>
      <c r="K53" s="3206" t="s">
        <v>2215</v>
      </c>
      <c r="L53" s="3206"/>
      <c r="M53" s="1754">
        <f t="shared" ref="M53:O54" ca="1" si="0">D55</f>
        <v>11</v>
      </c>
      <c r="N53" s="1812" t="str">
        <f t="shared" si="0"/>
        <v>销售额×税（费）率</v>
      </c>
      <c r="O53" s="1755">
        <f t="shared" si="0"/>
        <v>5.0000000000000001E-4</v>
      </c>
    </row>
    <row r="54" spans="1:35" ht="12" customHeight="1">
      <c r="A54" s="183" t="s">
        <v>2216</v>
      </c>
      <c r="B54" s="3164" t="s">
        <v>2217</v>
      </c>
      <c r="C54" s="3165"/>
      <c r="D54" s="182">
        <f ca="1">C68</f>
        <v>1142</v>
      </c>
      <c r="E54" s="30" t="s">
        <v>2218</v>
      </c>
      <c r="F54" s="184">
        <f>'数据-取费表'!B41</f>
        <v>5.6000000000000001E-2</v>
      </c>
      <c r="G54" s="2488"/>
      <c r="H54" s="2489"/>
      <c r="I54" s="2486"/>
      <c r="J54" s="1812">
        <v>3</v>
      </c>
      <c r="K54" s="3206" t="s">
        <v>2219</v>
      </c>
      <c r="L54" s="3206"/>
      <c r="M54" s="1754">
        <f t="shared" ca="1" si="0"/>
        <v>12122</v>
      </c>
      <c r="N54" s="1812" t="str">
        <f t="shared" si="0"/>
        <v>增值额×税（费）率</v>
      </c>
      <c r="O54" s="1756" t="str">
        <f t="shared" si="0"/>
        <v>——</v>
      </c>
    </row>
    <row r="55" spans="1:35" ht="24" customHeight="1">
      <c r="A55" s="3155" t="s">
        <v>2220</v>
      </c>
      <c r="B55" s="3156"/>
      <c r="C55" s="3156"/>
      <c r="D55" s="185">
        <f ca="1">IF(H55="个人住宅",0,ROUND(D45*I55,0))</f>
        <v>11</v>
      </c>
      <c r="E55" s="11" t="s">
        <v>2221</v>
      </c>
      <c r="F55" s="184">
        <f>IF(H55="正常",I55,"免征")</f>
        <v>5.0000000000000001E-4</v>
      </c>
      <c r="G55" s="2488"/>
      <c r="H55" s="2485" t="s">
        <v>2222</v>
      </c>
      <c r="I55" s="186">
        <f>'数据-取费表'!B49</f>
        <v>5.0000000000000001E-4</v>
      </c>
      <c r="J55" s="1812" t="str">
        <f>IF(H59="非个人房产","",4)</f>
        <v/>
      </c>
      <c r="K55" s="3206" t="str">
        <f>IF(H59="非个人房产","——","个人所得税")</f>
        <v>——</v>
      </c>
      <c r="L55" s="3206"/>
      <c r="M55" s="1757" t="str">
        <f>D59</f>
        <v>——</v>
      </c>
      <c r="N55" s="1810" t="str">
        <f>E59</f>
        <v>——</v>
      </c>
      <c r="O55" s="1758" t="str">
        <f>F59</f>
        <v>——</v>
      </c>
    </row>
    <row r="56" spans="1:35" ht="24.75">
      <c r="A56" s="3155" t="s">
        <v>2223</v>
      </c>
      <c r="B56" s="3156"/>
      <c r="C56" s="3156"/>
      <c r="D56" s="185">
        <f ca="1">IF(H56="个人住宅",D57,D58)</f>
        <v>12122</v>
      </c>
      <c r="E56" s="11" t="s">
        <v>2224</v>
      </c>
      <c r="F56" s="184" t="str">
        <f>IF(H56="正常",F58,"免征")</f>
        <v>——</v>
      </c>
      <c r="G56" s="2490" t="s">
        <v>2225</v>
      </c>
      <c r="H56" s="2491" t="s">
        <v>2222</v>
      </c>
      <c r="I56" s="2492"/>
      <c r="J56" s="1812" t="str">
        <f>IF(项目基本情况!K6="上海银行",IF(J55="",4,J55+1),"")</f>
        <v/>
      </c>
      <c r="K56" s="3229" t="str">
        <f>IF(项目基本情况!K6="上海银行","其他处置费用","")</f>
        <v/>
      </c>
      <c r="L56" s="3230"/>
      <c r="M56" s="1754" t="str">
        <f>IF(项目基本情况!K6="上海银行",M69,"")</f>
        <v/>
      </c>
      <c r="N56" s="3232" t="str">
        <f>IF(项目基本情况!K6="上海银行","包含处置中涉及的律师、诉讼、拍卖、评估等费用","")</f>
        <v/>
      </c>
      <c r="O56" s="3233"/>
    </row>
    <row r="57" spans="1:35" ht="12.75">
      <c r="A57" s="183" t="s">
        <v>2198</v>
      </c>
      <c r="B57" s="3171" t="s">
        <v>2226</v>
      </c>
      <c r="C57" s="3180"/>
      <c r="D57" s="187">
        <v>0</v>
      </c>
      <c r="E57" s="23" t="s">
        <v>2200</v>
      </c>
      <c r="F57" s="155"/>
      <c r="G57" s="2488"/>
      <c r="H57" s="2492"/>
      <c r="I57" s="2492"/>
      <c r="J57" s="3206">
        <f>IF(AND(J55="",J56=""),4,IF(项目基本情况!K6="上海银行",结果表!J56+1,结果表!J55+1))</f>
        <v>4</v>
      </c>
      <c r="K57" s="3206" t="s">
        <v>2227</v>
      </c>
      <c r="L57" s="2493" t="s">
        <v>2228</v>
      </c>
      <c r="M57" s="1759"/>
      <c r="N57" s="1760">
        <f ca="1">SUMIF(M52:M56,"&lt;9e307")</f>
        <v>12133</v>
      </c>
      <c r="O57" s="2494"/>
      <c r="P57" s="1753">
        <f ca="1">N57/M49</f>
        <v>0.56651258346173605</v>
      </c>
    </row>
    <row r="58" spans="1:35" ht="24.75">
      <c r="A58" s="183" t="s">
        <v>2209</v>
      </c>
      <c r="B58" s="3171" t="s">
        <v>2229</v>
      </c>
      <c r="C58" s="3172"/>
      <c r="D58" s="185">
        <f ca="1">IF(H58="转让取得",C81,C97)</f>
        <v>12122</v>
      </c>
      <c r="E58" s="11" t="s">
        <v>2224</v>
      </c>
      <c r="F58" s="24" t="s">
        <v>34</v>
      </c>
      <c r="G58" s="2488"/>
      <c r="H58" s="2491" t="s">
        <v>2230</v>
      </c>
      <c r="I58" s="2492"/>
      <c r="J58" s="3206"/>
      <c r="K58" s="3206"/>
      <c r="L58" s="2493" t="s">
        <v>2231</v>
      </c>
      <c r="M58" s="1761"/>
      <c r="N58" s="2495" t="str">
        <f ca="1">NUMBERSTRING(INT(N57*10000),2)&amp;"元整"</f>
        <v>壹亿贰仟壹佰叁拾叁万元整</v>
      </c>
      <c r="O58" s="2496"/>
    </row>
    <row r="59" spans="1:35" ht="24.75" thickBot="1">
      <c r="A59" s="3209" t="s">
        <v>2232</v>
      </c>
      <c r="B59" s="3210"/>
      <c r="C59" s="3210"/>
      <c r="D59" s="188" t="str">
        <f>IF(H59="非个人房产","——",IF(H59="个人住宅",0,ROUND(D45*I59,0)))</f>
        <v>——</v>
      </c>
      <c r="E59" s="189" t="str">
        <f>IF(H59="非个人房产","——","销售额×税（费）率")</f>
        <v>——</v>
      </c>
      <c r="F59" s="190" t="str">
        <f>IF(H59="非个人房产","——",IF(H59="个人住宅","免征",I59))</f>
        <v>——</v>
      </c>
      <c r="G59" s="2497" t="s">
        <v>2225</v>
      </c>
      <c r="H59" s="2491" t="s">
        <v>2233</v>
      </c>
      <c r="I59" s="191">
        <v>0.01</v>
      </c>
      <c r="J59" s="3207">
        <f>J57+1</f>
        <v>5</v>
      </c>
      <c r="K59" s="3206" t="s">
        <v>2234</v>
      </c>
      <c r="L59" s="1812" t="s">
        <v>2228</v>
      </c>
      <c r="M59" s="1762"/>
      <c r="N59" s="1763">
        <f ca="1">M49-N57</f>
        <v>9284</v>
      </c>
      <c r="O59" s="2498"/>
    </row>
    <row r="60" spans="1:35" ht="12" customHeight="1">
      <c r="A60" s="2499"/>
      <c r="B60" s="2421"/>
      <c r="C60" s="2421"/>
      <c r="D60" s="2421"/>
      <c r="E60" s="2170"/>
      <c r="F60" s="2492"/>
      <c r="G60" s="2492"/>
      <c r="H60" s="2500"/>
      <c r="I60" s="138"/>
      <c r="J60" s="3208"/>
      <c r="K60" s="3206"/>
      <c r="L60" s="2493" t="s">
        <v>2231</v>
      </c>
      <c r="M60" s="1761"/>
      <c r="N60" s="2495" t="str">
        <f ca="1">NUMBERSTRING(INT(N59*10000),2)&amp;"元整"</f>
        <v>玖仟贰佰捌拾肆万元整</v>
      </c>
      <c r="O60" s="2496"/>
    </row>
    <row r="61" spans="1:35" ht="13.5" thickBot="1">
      <c r="A61" s="3153" t="s">
        <v>2235</v>
      </c>
      <c r="B61" s="3153"/>
      <c r="C61" s="3153"/>
      <c r="D61" s="3153"/>
      <c r="E61" s="3153"/>
      <c r="F61" s="2492"/>
      <c r="G61" s="2492"/>
      <c r="H61" s="2500"/>
      <c r="I61" s="138"/>
      <c r="J61" s="1812">
        <f>J59+1</f>
        <v>6</v>
      </c>
      <c r="K61" s="3206" t="s">
        <v>2236</v>
      </c>
      <c r="L61" s="3206"/>
      <c r="M61" s="1764"/>
      <c r="N61" s="1765">
        <f ca="1">ROUND(N59*10000/'数据-汇总表'!E3,0)</f>
        <v>4540</v>
      </c>
      <c r="O61" s="2501"/>
    </row>
    <row r="62" spans="1:35" ht="12.75">
      <c r="A62" s="3169" t="s">
        <v>2237</v>
      </c>
      <c r="B62" s="3170"/>
      <c r="C62" s="1804"/>
      <c r="D62" s="1804" t="s">
        <v>2238</v>
      </c>
      <c r="E62" s="192" t="s">
        <v>2239</v>
      </c>
      <c r="F62" s="2492"/>
      <c r="G62" s="2492"/>
      <c r="H62" s="2500"/>
      <c r="I62" s="138"/>
    </row>
    <row r="63" spans="1:35" ht="12.75">
      <c r="A63" s="203" t="s">
        <v>775</v>
      </c>
      <c r="B63" s="193" t="s">
        <v>2240</v>
      </c>
      <c r="C63" s="194">
        <f ca="1">ROUND((C64+C65)/(1+'数据-取费表'!C42),0)</f>
        <v>20397</v>
      </c>
      <c r="D63" s="195"/>
      <c r="E63" s="196"/>
      <c r="F63" s="2492"/>
      <c r="G63" s="2492"/>
      <c r="H63" s="2500"/>
      <c r="I63" s="138"/>
      <c r="J63" s="3231" t="s">
        <v>2241</v>
      </c>
      <c r="K63" s="2502" t="s">
        <v>2242</v>
      </c>
      <c r="L63" s="1752">
        <f ca="1">IF(M49&gt;10000,M49*0.5%,IF(AND(M49&gt;1000,M49&lt;=10000),M49*1%,IF(AND(M49&gt;100,M49&lt;=1000),M49*3%,IF(AND(M49&gt;10,M49&lt;=100),M49*5%,M49*8%))))</f>
        <v>107.08500000000001</v>
      </c>
      <c r="M63" s="24">
        <f ca="1">ROUND(L63,1)</f>
        <v>107.1</v>
      </c>
      <c r="Z63" s="2426"/>
      <c r="AI63" s="2427"/>
    </row>
    <row r="64" spans="1:35" ht="14.25" customHeight="1">
      <c r="A64" s="197" t="s">
        <v>770</v>
      </c>
      <c r="B64" s="198" t="s">
        <v>2243</v>
      </c>
      <c r="C64" s="199">
        <f ca="1">D45</f>
        <v>21417</v>
      </c>
      <c r="D64" s="200" t="s">
        <v>32</v>
      </c>
      <c r="E64" s="201"/>
      <c r="F64" s="2492"/>
      <c r="G64" s="2492"/>
      <c r="H64" s="2500"/>
      <c r="I64" s="138"/>
      <c r="J64" s="3231"/>
      <c r="K64" s="2502" t="s">
        <v>2244</v>
      </c>
      <c r="L64" s="1752">
        <f ca="1">IF(M49&gt;2000,M49*0.5%,IF(AND(M49&gt;1000,M49&lt;=2000),M49*0.6%,IF(AND(M49&gt;500,M49&lt;=1000),M49*0.7%,IF(AND(M49&gt;200,M49&lt;=500),M49*0.8%,IF(AND(M49&gt;100,M49&lt;=200),M49*0.9%,IF(AND(M49&gt;50,M49&lt;=100),M49*1%,IF(AND(M49&gt;20,M49&lt;=50),M49*1.5%,IF(AND(M49&gt;10,M49&lt;=20),M49*2%,IF(AND(M49&gt;1,M49&lt;=10),M49*2.5%)))))))))</f>
        <v>107.08500000000001</v>
      </c>
      <c r="M64" s="24">
        <f t="shared" ref="M64:M65" ca="1" si="1">ROUND(L64,1)</f>
        <v>107.1</v>
      </c>
      <c r="N64" s="138" t="s">
        <v>2245</v>
      </c>
      <c r="Z64" s="2426"/>
      <c r="AI64" s="2427"/>
    </row>
    <row r="65" spans="1:35" ht="14.25" customHeight="1">
      <c r="A65" s="197" t="s">
        <v>771</v>
      </c>
      <c r="B65" s="198" t="s">
        <v>2246</v>
      </c>
      <c r="C65" s="202"/>
      <c r="D65" s="200"/>
      <c r="E65" s="201"/>
      <c r="F65" s="2492"/>
      <c r="G65" s="2492"/>
      <c r="H65" s="2500"/>
      <c r="I65" s="138"/>
      <c r="J65" s="3231"/>
      <c r="K65" s="2502" t="s">
        <v>2247</v>
      </c>
      <c r="L65" s="1752">
        <f ca="1">IF(M49&gt;1000,M49*0.1%,IF(AND(M49&gt;500,M49&lt;=1000),M49*0.5%,IF(AND(M49&gt;50,M49&lt;=500),M49*1%,IF(AND(M49&gt;1,M49&lt;=50),M49*1.5%))))</f>
        <v>21.417000000000002</v>
      </c>
      <c r="M65" s="24">
        <f t="shared" ca="1" si="1"/>
        <v>21.4</v>
      </c>
      <c r="N65" s="138" t="s">
        <v>2245</v>
      </c>
      <c r="Z65" s="2426"/>
      <c r="AI65" s="2427"/>
    </row>
    <row r="66" spans="1:35" ht="14.25" customHeight="1">
      <c r="A66" s="203" t="s">
        <v>772</v>
      </c>
      <c r="B66" s="204" t="s">
        <v>2248</v>
      </c>
      <c r="C66" s="205"/>
      <c r="D66" s="206" t="s">
        <v>32</v>
      </c>
      <c r="E66" s="1776" t="s">
        <v>1367</v>
      </c>
      <c r="F66" s="2492"/>
      <c r="G66" s="2492"/>
      <c r="H66" s="2500"/>
      <c r="I66" s="138"/>
      <c r="J66" s="3231"/>
      <c r="K66" s="2502" t="s">
        <v>2249</v>
      </c>
      <c r="L66" s="1752">
        <f ca="1">M49*0.5%</f>
        <v>107.08500000000001</v>
      </c>
      <c r="M66" s="24">
        <f ca="1">IF(L66&gt;0.5,0.5,ROUND(L66,0))</f>
        <v>0.5</v>
      </c>
      <c r="N66" s="138" t="s">
        <v>2250</v>
      </c>
      <c r="Z66" s="2426"/>
      <c r="AI66" s="2427"/>
    </row>
    <row r="67" spans="1:35" ht="14.25" customHeight="1">
      <c r="A67" s="203" t="s">
        <v>773</v>
      </c>
      <c r="B67" s="204" t="s">
        <v>2251</v>
      </c>
      <c r="C67" s="207">
        <f ca="1">C63-C66</f>
        <v>20397</v>
      </c>
      <c r="D67" s="200" t="s">
        <v>32</v>
      </c>
      <c r="E67" s="201"/>
      <c r="F67" s="2492"/>
      <c r="G67" s="2492"/>
      <c r="H67" s="2500"/>
      <c r="I67" s="138"/>
      <c r="J67" s="3231"/>
      <c r="K67" s="2502" t="s">
        <v>2252</v>
      </c>
      <c r="L67" s="1752">
        <f ca="1">IF(M49&gt;=10000,(8.25+(M49-10000)*0.01%),IF(AND(M49&gt;=8000,M49&lt;10000),(7.85+(M49-8000)*0.02%),IF(AND(M49&gt;=5000,M49&lt;8000),(6.65+(M49-5000)*0.04%),IF(AND(M49&gt;=2000,M49&lt;5000),(4.25+(PM49-2000)*0.08%),IF(AND(M49&gt;=1000,M49&lt;2000),(2.75+(M49-1000)*0.15%),IF(AND(M49&gt;=100,M49&lt;1000),(0.5+(M49-100)*0.25%),IF(AND(M49&gt;0,M49&lt;100),M49*0.5%)))))))</f>
        <v>9.3917000000000002</v>
      </c>
      <c r="M67" s="24">
        <f ca="1">ROUND(L67*0.9,1)</f>
        <v>8.5</v>
      </c>
      <c r="Z67" s="2426"/>
      <c r="AI67" s="2427"/>
    </row>
    <row r="68" spans="1:35" ht="14.25" customHeight="1" thickBot="1">
      <c r="A68" s="208" t="s">
        <v>774</v>
      </c>
      <c r="B68" s="209" t="s">
        <v>2253</v>
      </c>
      <c r="C68" s="210">
        <f ca="1">IF(C67&lt;=0,0,ROUND(C67*D68,0))</f>
        <v>1142</v>
      </c>
      <c r="D68" s="211">
        <f>'数据-取费表'!B41</f>
        <v>5.6000000000000001E-2</v>
      </c>
      <c r="E68" s="212"/>
      <c r="F68" s="2492"/>
      <c r="G68" s="2492"/>
      <c r="H68" s="2500"/>
      <c r="I68" s="138"/>
      <c r="J68" s="3231"/>
      <c r="K68" s="2502" t="s">
        <v>2254</v>
      </c>
      <c r="L68" s="1752">
        <f ca="1">IF(M49&gt;10000,M49*0.5%,IF(AND(M49&gt;5000,M49&lt;=10000),M49*1%,IF(AND(M49&gt;1000,M49&lt;=5000),M49*2%,IF(AND(M49&gt;200,M49&lt;=1000),M49*3%,M49*5%))))</f>
        <v>107.08500000000001</v>
      </c>
      <c r="M68" s="24">
        <f ca="1">ROUND(L68,1)</f>
        <v>107.1</v>
      </c>
      <c r="Z68" s="2426"/>
      <c r="AI68" s="2427"/>
    </row>
    <row r="69" spans="1:35" s="2449" customFormat="1" ht="16.5" customHeight="1">
      <c r="A69" s="2503"/>
      <c r="B69" s="2504"/>
      <c r="C69" s="2505"/>
      <c r="D69" s="2506"/>
      <c r="E69" s="2507"/>
      <c r="F69" s="2170"/>
      <c r="G69" s="2170"/>
      <c r="H69" s="2169"/>
      <c r="I69" s="2421"/>
      <c r="J69" s="3231"/>
      <c r="K69" s="2502" t="s">
        <v>2255</v>
      </c>
      <c r="L69" s="2508"/>
      <c r="M69" s="24">
        <f ca="1">ROUND(SUM(M63:M68),0)</f>
        <v>352</v>
      </c>
      <c r="N69" s="1753">
        <f ca="1">M69/M49</f>
        <v>1.6435541859270673E-2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90" t="s">
        <v>2256</v>
      </c>
      <c r="B70" s="3191"/>
      <c r="C70" s="3191"/>
      <c r="D70" s="3191"/>
      <c r="E70" s="3191"/>
      <c r="F70" s="3191"/>
      <c r="G70" s="3191"/>
      <c r="H70" s="3191"/>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69" t="s">
        <v>2237</v>
      </c>
      <c r="B71" s="3170"/>
      <c r="C71" s="1804"/>
      <c r="D71" s="1804" t="s">
        <v>2238</v>
      </c>
      <c r="E71" s="213" t="s">
        <v>2239</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2257</v>
      </c>
      <c r="C72" s="207">
        <f ca="1">ROUND(D45/(1+'数据-取费表'!C42),0)</f>
        <v>20397</v>
      </c>
      <c r="D72" s="200" t="s">
        <v>32</v>
      </c>
      <c r="E72" s="1803"/>
      <c r="F72" s="1797"/>
      <c r="G72" s="1797"/>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2258</v>
      </c>
      <c r="C73" s="207">
        <f ca="1">C74+C78</f>
        <v>122</v>
      </c>
      <c r="D73" s="200" t="s">
        <v>32</v>
      </c>
      <c r="E73" s="1803"/>
      <c r="F73" s="1797"/>
      <c r="G73" s="1797"/>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2259</v>
      </c>
      <c r="C74" s="200">
        <f>ROUND(IF(G77="2016年5月1日后购买",C75/(1+'数据-取费表'!C42)+C76+C77,C75+C76+C77),0)</f>
        <v>0</v>
      </c>
      <c r="D74" s="200" t="s">
        <v>32</v>
      </c>
      <c r="E74" s="1803"/>
      <c r="F74" s="1797"/>
      <c r="G74" s="1797"/>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2260</v>
      </c>
      <c r="C75" s="218"/>
      <c r="D75" s="200" t="s">
        <v>32</v>
      </c>
      <c r="E75" s="219" t="s">
        <v>2261</v>
      </c>
      <c r="F75" s="2514" t="s">
        <v>2262</v>
      </c>
      <c r="G75" s="219" t="s">
        <v>2263</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2264</v>
      </c>
      <c r="C76" s="200">
        <f>IF(F75="购房发票",ROUND(C75*H75*D76,0),0)</f>
        <v>0</v>
      </c>
      <c r="D76" s="222">
        <v>0.05</v>
      </c>
      <c r="E76" s="3164" t="s">
        <v>2265</v>
      </c>
      <c r="F76" s="3141"/>
      <c r="G76" s="3141"/>
      <c r="H76" s="3189"/>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6" t="s">
        <v>2268</v>
      </c>
      <c r="H77" s="1808"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2269</v>
      </c>
      <c r="C78" s="225">
        <f ca="1">ROUND(D45*D78/(1+'数据-取费表'!C42),0)</f>
        <v>122</v>
      </c>
      <c r="D78" s="226">
        <f>'数据-取费表'!B43</f>
        <v>6.000000000000001E-3</v>
      </c>
      <c r="E78" s="3150" t="s">
        <v>2270</v>
      </c>
      <c r="F78" s="3151"/>
      <c r="G78" s="3151"/>
      <c r="H78" s="3160"/>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2271</v>
      </c>
      <c r="C79" s="207">
        <f ca="1">C72-C73</f>
        <v>20275</v>
      </c>
      <c r="D79" s="200" t="s">
        <v>32</v>
      </c>
      <c r="E79" s="1803"/>
      <c r="F79" s="1797"/>
      <c r="G79" s="1797"/>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2272</v>
      </c>
      <c r="C80" s="227">
        <f ca="1">IF(C79&lt;=0,0,C79/C73)</f>
        <v>166.18852459016392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2273</v>
      </c>
      <c r="C81" s="228">
        <f ca="1">ROUND(IF(C79&lt;=0,0,IF(C80&gt;=200%,C79*60%-C73*35%,IF(C80&gt;=100%,C79*50%-C73*15%,IF(C80&gt;=50%,C79*40%-C73*5%,IF(C80&lt;50%,C79*30%,0))))),0)</f>
        <v>12122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90" t="s">
        <v>2274</v>
      </c>
      <c r="B83" s="3191"/>
      <c r="C83" s="3191"/>
      <c r="D83" s="3191"/>
      <c r="E83" s="3191"/>
      <c r="F83" s="3191"/>
      <c r="G83" s="3191"/>
      <c r="H83" s="3191"/>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69" t="s">
        <v>2237</v>
      </c>
      <c r="B84" s="3170"/>
      <c r="C84" s="1804"/>
      <c r="D84" s="1804" t="s">
        <v>2238</v>
      </c>
      <c r="E84" s="213" t="s">
        <v>2239</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2257</v>
      </c>
      <c r="C85" s="207">
        <f ca="1">ROUND(D45/(1+'数据-取费表'!C42),0)</f>
        <v>20397</v>
      </c>
      <c r="D85" s="200" t="s">
        <v>32</v>
      </c>
      <c r="E85" s="1803"/>
      <c r="F85" s="1797"/>
      <c r="G85" s="1797"/>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2258</v>
      </c>
      <c r="C86" s="207">
        <f ca="1">IF(H88="仅含出让金",C87+C90+C91+C92+C93+C94,C87+C91+C92+C93+C94)</f>
        <v>122</v>
      </c>
      <c r="D86" s="235"/>
      <c r="E86" s="1803"/>
      <c r="F86" s="1797"/>
      <c r="G86" s="1797"/>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2275</v>
      </c>
      <c r="C87" s="225">
        <f>C88+C89</f>
        <v>0</v>
      </c>
      <c r="D87" s="226"/>
      <c r="E87" s="1799"/>
      <c r="F87" s="1800"/>
      <c r="G87" s="1800"/>
      <c r="H87" s="1802"/>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2276</v>
      </c>
      <c r="C88" s="236"/>
      <c r="D88" s="226"/>
      <c r="E88" s="237" t="s">
        <v>2277</v>
      </c>
      <c r="F88" s="1800"/>
      <c r="G88" s="238" t="s">
        <v>2278</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2266</v>
      </c>
      <c r="C89" s="225">
        <f>ROUND(C88*D89,0)</f>
        <v>0</v>
      </c>
      <c r="D89" s="226">
        <f>'数据-取费表'!B48+'数据-取费表'!B49</f>
        <v>3.0499999999999999E-2</v>
      </c>
      <c r="E89" s="237" t="s">
        <v>2279</v>
      </c>
      <c r="F89" s="1800"/>
      <c r="G89" s="1800"/>
      <c r="H89" s="1802"/>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2280</v>
      </c>
      <c r="C90" s="236"/>
      <c r="D90" s="226"/>
      <c r="E90" s="237" t="str">
        <f>IF(H88="-","土地取得成本中已包含该笔费用"," ")</f>
        <v xml:space="preserve"> </v>
      </c>
      <c r="F90" s="1800"/>
      <c r="G90" s="1800"/>
      <c r="H90" s="1802"/>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2281</v>
      </c>
      <c r="B91" s="198" t="s">
        <v>2282</v>
      </c>
      <c r="C91" s="225">
        <f>IF(H91="——",成本法!C33,I91)</f>
        <v>0</v>
      </c>
      <c r="D91" s="226"/>
      <c r="E91" s="3150" t="s">
        <v>2283</v>
      </c>
      <c r="F91" s="3151"/>
      <c r="G91" s="3151"/>
      <c r="H91" s="2521" t="s">
        <v>2284</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2285</v>
      </c>
      <c r="B92" s="198" t="s">
        <v>2286</v>
      </c>
      <c r="C92" s="225">
        <f>ROUND((C87+C90+C91)*D92,0)</f>
        <v>0</v>
      </c>
      <c r="D92" s="226">
        <v>0.1</v>
      </c>
      <c r="E92" s="3150" t="s">
        <v>2287</v>
      </c>
      <c r="F92" s="3151"/>
      <c r="G92" s="3151"/>
      <c r="H92" s="3160"/>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2288</v>
      </c>
      <c r="B93" s="198" t="s">
        <v>2269</v>
      </c>
      <c r="C93" s="225">
        <f ca="1">ROUND(D45*D93/(1+'数据-取费表'!C42),0)</f>
        <v>122</v>
      </c>
      <c r="D93" s="226">
        <f>'数据-取费表'!B43</f>
        <v>6.000000000000001E-3</v>
      </c>
      <c r="E93" s="3150" t="s">
        <v>2270</v>
      </c>
      <c r="F93" s="3151"/>
      <c r="G93" s="3151"/>
      <c r="H93" s="3160"/>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2289</v>
      </c>
      <c r="B94" s="198" t="s">
        <v>2290</v>
      </c>
      <c r="C94" s="236">
        <f>ROUND((C87+C90+C91)*D94,0)</f>
        <v>0</v>
      </c>
      <c r="D94" s="226">
        <v>0.2</v>
      </c>
      <c r="E94" s="3161" t="s">
        <v>2291</v>
      </c>
      <c r="F94" s="3162"/>
      <c r="G94" s="3162"/>
      <c r="H94" s="3163"/>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2271</v>
      </c>
      <c r="C95" s="207">
        <f ca="1">ROUND(C85-C86,0)</f>
        <v>20275</v>
      </c>
      <c r="D95" s="200" t="s">
        <v>32</v>
      </c>
      <c r="E95" s="1803"/>
      <c r="F95" s="1797"/>
      <c r="G95" s="1797"/>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2272</v>
      </c>
      <c r="C96" s="227">
        <f ca="1">IF(C95&lt;=0,0,C95/C86)</f>
        <v>166.18852459016392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2273</v>
      </c>
      <c r="C97" s="228">
        <f ca="1">ROUND(IF(C95&lt;=0,0,IF(C96&gt;=200%,C95*60%-C86*35%,IF(C96&gt;=100%,C95*50%-C86*15%,IF(C96&gt;=50%,C95*40%-C86*5%,IF(C96&lt;50%,C95*30%,0))))),0)</f>
        <v>12122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70"/>
      <c r="F98" s="2170"/>
      <c r="G98" s="2170"/>
      <c r="H98" s="2169"/>
      <c r="I98" s="138"/>
    </row>
    <row r="99" spans="1:35" ht="21.75" customHeight="1" thickBot="1">
      <c r="A99" s="2477" t="s">
        <v>2292</v>
      </c>
      <c r="B99" s="2421"/>
      <c r="C99" s="2421"/>
      <c r="D99" s="2421"/>
      <c r="E99" s="2170"/>
      <c r="F99" s="2170"/>
      <c r="G99" s="2170"/>
      <c r="H99" s="2169"/>
      <c r="I99" s="138"/>
    </row>
    <row r="100" spans="1:35" ht="18.75" customHeight="1">
      <c r="A100" s="3135" t="s">
        <v>2293</v>
      </c>
      <c r="B100" s="3136"/>
      <c r="C100" s="3136"/>
      <c r="D100" s="3152"/>
      <c r="E100" s="3136" t="s">
        <v>2294</v>
      </c>
      <c r="F100" s="3136"/>
      <c r="G100" s="3136"/>
      <c r="H100" s="3152"/>
      <c r="I100" s="138"/>
    </row>
    <row r="101" spans="1:35" ht="18.75" customHeight="1">
      <c r="A101" s="3214" t="s">
        <v>2295</v>
      </c>
      <c r="B101" s="3215"/>
      <c r="C101" s="736" t="str">
        <f>C4</f>
        <v>成本法</v>
      </c>
      <c r="D101" s="737" t="str">
        <f>D4</f>
        <v>收益法</v>
      </c>
      <c r="E101" s="3228" t="s">
        <v>2296</v>
      </c>
      <c r="F101" s="3182"/>
      <c r="G101" s="2523" t="s">
        <v>2297</v>
      </c>
      <c r="H101" s="1048">
        <f ca="1">H118</f>
        <v>21417</v>
      </c>
      <c r="I101" s="138"/>
    </row>
    <row r="102" spans="1:35" ht="18.75" customHeight="1">
      <c r="A102" s="3184" t="s">
        <v>2298</v>
      </c>
      <c r="B102" s="2523" t="s">
        <v>2297</v>
      </c>
      <c r="C102" s="736">
        <f ca="1">C19</f>
        <v>19510</v>
      </c>
      <c r="D102" s="737">
        <f ca="1">D19</f>
        <v>23324</v>
      </c>
      <c r="E102" s="3228"/>
      <c r="F102" s="3182"/>
      <c r="G102" s="2523" t="s">
        <v>2299</v>
      </c>
      <c r="H102" s="371">
        <f ca="1">I118</f>
        <v>10474</v>
      </c>
      <c r="I102" s="138"/>
    </row>
    <row r="103" spans="1:35" ht="42.75" customHeight="1">
      <c r="A103" s="3184"/>
      <c r="B103" s="2523" t="s">
        <v>2299</v>
      </c>
      <c r="C103" s="738">
        <f ca="1">C20</f>
        <v>9541</v>
      </c>
      <c r="D103" s="739">
        <f ca="1">D20</f>
        <v>11407</v>
      </c>
      <c r="E103" s="3223" t="s">
        <v>2300</v>
      </c>
      <c r="F103" s="3224"/>
      <c r="G103" s="2524" t="s">
        <v>2301</v>
      </c>
      <c r="H103" s="1048">
        <f>IF(D36="正常操作",H104+H105+H106,H105+H106)</f>
        <v>0</v>
      </c>
      <c r="I103" s="138"/>
    </row>
    <row r="104" spans="1:35" ht="18.75" customHeight="1">
      <c r="A104" s="3184" t="s">
        <v>2302</v>
      </c>
      <c r="B104" s="2525" t="s">
        <v>2297</v>
      </c>
      <c r="C104" s="740">
        <f ca="1">H118</f>
        <v>21417</v>
      </c>
      <c r="D104" s="741"/>
      <c r="E104" s="2269" t="s">
        <v>2303</v>
      </c>
      <c r="F104" s="2260"/>
      <c r="G104" s="2524" t="s">
        <v>2301</v>
      </c>
      <c r="H104" s="1049">
        <f>IF(D36="同一抵押权人同一抵押物续贷",C36&amp;"（未扣减，详见特别提示）",C36)</f>
        <v>0</v>
      </c>
      <c r="I104" s="138"/>
    </row>
    <row r="105" spans="1:35" ht="18.75" customHeight="1" thickBot="1">
      <c r="A105" s="3185"/>
      <c r="B105" s="2526" t="s">
        <v>2299</v>
      </c>
      <c r="C105" s="742">
        <f ca="1">I118</f>
        <v>10474</v>
      </c>
      <c r="D105" s="743"/>
      <c r="E105" s="2269" t="s">
        <v>2304</v>
      </c>
      <c r="F105" s="2260"/>
      <c r="G105" s="2524" t="s">
        <v>2301</v>
      </c>
      <c r="H105" s="1049">
        <f>C37</f>
        <v>0</v>
      </c>
      <c r="I105" s="138"/>
    </row>
    <row r="106" spans="1:35" ht="18.75" customHeight="1">
      <c r="A106" s="2421" t="s">
        <v>2305</v>
      </c>
      <c r="B106" s="2421"/>
      <c r="C106" s="2421"/>
      <c r="D106" s="2421"/>
      <c r="E106" s="2527" t="s">
        <v>2306</v>
      </c>
      <c r="F106" s="2260"/>
      <c r="G106" s="2524" t="s">
        <v>2301</v>
      </c>
      <c r="H106" s="1049">
        <f>C38</f>
        <v>0</v>
      </c>
      <c r="I106" s="138"/>
    </row>
    <row r="107" spans="1:35" ht="18.75" customHeight="1">
      <c r="A107" s="138"/>
      <c r="B107" s="138"/>
      <c r="C107" s="138"/>
      <c r="D107" s="138"/>
      <c r="E107" s="3181" t="str">
        <f>IF(项目基本情况!E8="已注销","——","3.房地产抵押价值")</f>
        <v>3.房地产抵押价值</v>
      </c>
      <c r="F107" s="3182"/>
      <c r="G107" s="2523" t="s">
        <v>2297</v>
      </c>
      <c r="H107" s="1048">
        <f ca="1">IF(E107="——","——",H101-H103)</f>
        <v>21417</v>
      </c>
      <c r="I107" s="138"/>
    </row>
    <row r="108" spans="1:35" ht="18.75" customHeight="1">
      <c r="A108" s="138"/>
      <c r="B108" s="138"/>
      <c r="C108" s="138"/>
      <c r="D108" s="138"/>
      <c r="E108" s="3181"/>
      <c r="F108" s="3182"/>
      <c r="G108" s="2523" t="s">
        <v>2299</v>
      </c>
      <c r="H108" s="371">
        <f ca="1">ROUND(H107*10000/'数据-汇总表'!E3,0)</f>
        <v>10474</v>
      </c>
      <c r="I108" s="138"/>
    </row>
    <row r="109" spans="1:35" ht="18.75" customHeight="1">
      <c r="A109" s="138"/>
      <c r="B109" s="138"/>
      <c r="C109" s="138"/>
      <c r="D109" s="138"/>
      <c r="E109" s="3181" t="str">
        <f>IF(项目基本情况!E8="已注销及未注销","4.抵押担保权已注销时的房地产抵押价值",IF(项目基本情况!E8="已注销","3.抵押担保权已注销时的房地产抵押价值","——"))</f>
        <v>——</v>
      </c>
      <c r="F109" s="3182"/>
      <c r="G109" s="2523" t="s">
        <v>2297</v>
      </c>
      <c r="H109" s="348" t="str">
        <f>IF(E109="——","——",H101-H105-H106)</f>
        <v>——</v>
      </c>
      <c r="I109" s="138"/>
    </row>
    <row r="110" spans="1:35" ht="18.75" customHeight="1">
      <c r="A110" s="138"/>
      <c r="B110" s="138"/>
      <c r="C110" s="138"/>
      <c r="D110" s="138"/>
      <c r="E110" s="3181"/>
      <c r="F110" s="3182"/>
      <c r="G110" s="2523" t="s">
        <v>2299</v>
      </c>
      <c r="H110" s="371" t="str">
        <f>IF(H109="——","——",ROUND(H109*10000/'数据-汇总表'!E3,0))</f>
        <v>——</v>
      </c>
      <c r="I110" s="138"/>
    </row>
    <row r="111" spans="1:35" ht="18.75" customHeight="1">
      <c r="A111" s="138"/>
      <c r="B111" s="138"/>
      <c r="C111" s="138"/>
      <c r="D111" s="138"/>
      <c r="E111" s="3216" t="str">
        <f>IF(项目基本情况!E9="抵押净值",IF(OR(项目基本情况!E8="已注销",项目基本情况!E8="房地产抵押价值"),"4.抵押净值","5.抵押净值"),"——")</f>
        <v>——</v>
      </c>
      <c r="F111" s="3217"/>
      <c r="G111" s="2523" t="s">
        <v>2297</v>
      </c>
      <c r="H111" s="1048" t="str">
        <f>IF(E111="——","——",N59)</f>
        <v>——</v>
      </c>
      <c r="I111" s="138"/>
    </row>
    <row r="112" spans="1:35" ht="18.75" customHeight="1" thickBot="1">
      <c r="A112" s="138"/>
      <c r="B112" s="138"/>
      <c r="C112" s="138"/>
      <c r="D112" s="138"/>
      <c r="E112" s="3218"/>
      <c r="F112" s="3219"/>
      <c r="G112" s="2528" t="s">
        <v>2299</v>
      </c>
      <c r="H112" s="790" t="str">
        <f>IF(E111="——","——",N61)</f>
        <v>——</v>
      </c>
      <c r="I112" s="138"/>
    </row>
    <row r="113" spans="1:11" ht="18.75" customHeight="1">
      <c r="A113" s="138"/>
      <c r="B113" s="138"/>
      <c r="C113" s="138"/>
      <c r="D113" s="138"/>
      <c r="E113" s="3186" t="s">
        <v>2305</v>
      </c>
      <c r="F113" s="3186"/>
      <c r="G113" s="3186"/>
      <c r="H113" s="3186"/>
      <c r="I113" s="138"/>
    </row>
    <row r="114" spans="1:11" ht="3.75" customHeight="1">
      <c r="A114" s="2421"/>
      <c r="B114" s="2421"/>
      <c r="C114" s="2421"/>
      <c r="D114" s="2421"/>
      <c r="E114" s="2499"/>
      <c r="F114" s="2499"/>
      <c r="G114" s="2499"/>
      <c r="H114" s="2499"/>
      <c r="I114" s="2421"/>
    </row>
    <row r="115" spans="1:11" ht="18.75" customHeight="1">
      <c r="A115" s="3199" t="s">
        <v>2307</v>
      </c>
      <c r="B115" s="3200"/>
      <c r="C115" s="3200"/>
      <c r="D115" s="3200"/>
      <c r="E115" s="3200"/>
      <c r="F115" s="3200"/>
      <c r="G115" s="3200"/>
      <c r="H115" s="3200"/>
      <c r="I115" s="3201"/>
    </row>
    <row r="116" spans="1:11" ht="27" customHeight="1">
      <c r="A116" s="3080" t="s">
        <v>2308</v>
      </c>
      <c r="B116" s="3187" t="s">
        <v>2309</v>
      </c>
      <c r="C116" s="3187" t="s">
        <v>2310</v>
      </c>
      <c r="D116" s="3203" t="s">
        <v>2311</v>
      </c>
      <c r="E116" s="3204"/>
      <c r="F116" s="3195" t="s">
        <v>3367</v>
      </c>
      <c r="G116" s="3195"/>
      <c r="H116" s="3080" t="s">
        <v>2312</v>
      </c>
      <c r="I116" s="3080"/>
    </row>
    <row r="117" spans="1:11" ht="18.75" customHeight="1">
      <c r="A117" s="3080"/>
      <c r="B117" s="3188"/>
      <c r="C117" s="3188"/>
      <c r="D117" s="1798" t="s">
        <v>2313</v>
      </c>
      <c r="E117" s="1798" t="s">
        <v>2314</v>
      </c>
      <c r="F117" s="1798" t="s">
        <v>2313</v>
      </c>
      <c r="G117" s="1798" t="s">
        <v>2315</v>
      </c>
      <c r="H117" s="1798" t="s">
        <v>2313</v>
      </c>
      <c r="I117" s="1798" t="s">
        <v>2315</v>
      </c>
    </row>
    <row r="118" spans="1:11" ht="24.75" customHeight="1">
      <c r="A118" s="2529" t="str">
        <f>项目基本情况!S2</f>
        <v>房地产</v>
      </c>
      <c r="B118" s="1798">
        <f>M18</f>
        <v>20447.539999999997</v>
      </c>
      <c r="C118" s="1798">
        <f>M19</f>
        <v>40347.69</v>
      </c>
      <c r="D118" s="1798">
        <f ca="1">ROUND(IF(D32="总价",C34,E118*B118/10000),0)</f>
        <v>12165</v>
      </c>
      <c r="E118" s="1798">
        <f ca="1">ROUND(IF(C33="自定义",IF(D32="楼面单价",C34,D118*10000/B118),I118-G118),0)</f>
        <v>5949</v>
      </c>
      <c r="F118" s="1798">
        <f ca="1">ROUND(IF(D32="总价",C35,G118*B118/10000),0)</f>
        <v>9252</v>
      </c>
      <c r="G118" s="1798">
        <f ca="1">ROUND(IF(D32="楼面单价",C35,F118*10000/B118),0)</f>
        <v>4525</v>
      </c>
      <c r="H118" s="1798">
        <f ca="1">ROUND(IF(D32="总价",C32,I118*B118/10000),0)</f>
        <v>21417</v>
      </c>
      <c r="I118" s="1798">
        <f ca="1">ROUND(IF(D32="楼面单价",C32,H118*10000/B118),0)</f>
        <v>10474</v>
      </c>
    </row>
    <row r="119" spans="1:11" ht="18.75" customHeight="1">
      <c r="A119" s="3080" t="s">
        <v>2316</v>
      </c>
      <c r="B119" s="3080"/>
      <c r="C119" s="3080"/>
      <c r="D119" s="3192" t="str">
        <f ca="1">NUMBERSTRING(INT(D118*10000),2)&amp;"元整"</f>
        <v>壹亿贰仟壹佰陆拾伍万元整</v>
      </c>
      <c r="E119" s="3194"/>
      <c r="F119" s="3192" t="str">
        <f ca="1">NUMBERSTRING(INT(F118*10000),2)&amp;"元整"</f>
        <v>玖仟贰佰伍拾贰万元整</v>
      </c>
      <c r="G119" s="3194"/>
      <c r="H119" s="3192" t="str">
        <f ca="1">NUMBERSTRING(INT(H118*10000),2)&amp;"元整"</f>
        <v>贰亿壹仟肆佰壹拾柒万元整</v>
      </c>
      <c r="I119" s="3194"/>
    </row>
    <row r="120" spans="1:11" ht="18.75" customHeight="1">
      <c r="A120" s="3220" t="str">
        <f>IF(项目基本情况!B9="房地产市场价值","",MID(E103,3,LEN(E103)-2))</f>
        <v>估价师知悉的法定优先受偿款</v>
      </c>
      <c r="B120" s="3221"/>
      <c r="C120" s="3222"/>
      <c r="D120" s="3220">
        <f>H103</f>
        <v>0</v>
      </c>
      <c r="E120" s="3221"/>
      <c r="F120" s="3221"/>
      <c r="G120" s="3221"/>
      <c r="H120" s="3221"/>
      <c r="I120" s="3222"/>
      <c r="K120" s="2426" t="str">
        <f>IF(D120=0,"故，本次评估不存在"&amp;A120,"故，本次评估"&amp;A120&amp;"为人民币"&amp;D120&amp;"万元整。")</f>
        <v>故，本次评估不存在估价师知悉的法定优先受偿款</v>
      </c>
    </row>
    <row r="121" spans="1:11" ht="18.75" customHeight="1">
      <c r="A121" s="3196" t="s">
        <v>2316</v>
      </c>
      <c r="B121" s="3197"/>
      <c r="C121" s="3198"/>
      <c r="D121" s="3192" t="str">
        <f>IF(D120=0,"零元整",NUMBERSTRING(INT(D120*10000),2)&amp;"元整")</f>
        <v>零元整</v>
      </c>
      <c r="E121" s="3193"/>
      <c r="F121" s="3193"/>
      <c r="G121" s="3193"/>
      <c r="H121" s="3193"/>
      <c r="I121" s="3194"/>
    </row>
    <row r="122" spans="1:11" ht="18.75" customHeight="1">
      <c r="A122" s="3183" t="str">
        <f>IF(项目基本情况!B9="房地产市场价值","",MID(E107,3,LEN(E107)-2))</f>
        <v>房地产抵押价值</v>
      </c>
      <c r="B122" s="3183"/>
      <c r="C122" s="3183"/>
      <c r="D122" s="3220">
        <f ca="1">H107</f>
        <v>21417</v>
      </c>
      <c r="E122" s="3221"/>
      <c r="F122" s="3221"/>
      <c r="G122" s="3221"/>
      <c r="H122" s="3221"/>
      <c r="I122" s="3222"/>
    </row>
    <row r="123" spans="1:11" ht="18.75" customHeight="1">
      <c r="A123" s="3080" t="s">
        <v>2316</v>
      </c>
      <c r="B123" s="3080"/>
      <c r="C123" s="3080"/>
      <c r="D123" s="3192" t="str">
        <f ca="1">NUMBERSTRING(INT(D122*10000),2)&amp;"元整"</f>
        <v>贰亿壹仟肆佰壹拾柒万元整</v>
      </c>
      <c r="E123" s="3193"/>
      <c r="F123" s="3193"/>
      <c r="G123" s="3193"/>
      <c r="H123" s="3193"/>
      <c r="I123" s="3194"/>
    </row>
    <row r="124" spans="1:11" ht="18.75" customHeight="1">
      <c r="A124" s="3183" t="str">
        <f>IF(项目基本情况!B9="房地产市场价值","",MID(E109,3,LEN(E109)-2))</f>
        <v/>
      </c>
      <c r="B124" s="3183"/>
      <c r="C124" s="3183"/>
      <c r="D124" s="3220" t="str">
        <f>H109</f>
        <v>——</v>
      </c>
      <c r="E124" s="3221"/>
      <c r="F124" s="3221"/>
      <c r="G124" s="3221"/>
      <c r="H124" s="3221"/>
      <c r="I124" s="3222"/>
    </row>
    <row r="125" spans="1:11" ht="18.75" customHeight="1">
      <c r="A125" s="3080" t="s">
        <v>2316</v>
      </c>
      <c r="B125" s="3080"/>
      <c r="C125" s="3080"/>
      <c r="D125" s="3192" t="e">
        <f>NUMBERSTRING(INT(D124*10000),2)&amp;"元整"</f>
        <v>#VALUE!</v>
      </c>
      <c r="E125" s="3193"/>
      <c r="F125" s="3193"/>
      <c r="G125" s="3193"/>
      <c r="H125" s="3193"/>
      <c r="I125" s="3194"/>
    </row>
    <row r="126" spans="1:11" ht="18.75" customHeight="1">
      <c r="A126" s="3183" t="str">
        <f>IF(项目基本情况!B9="房地产市场价值","",MID(E111,3,LEN(E111)-2))</f>
        <v/>
      </c>
      <c r="B126" s="3183"/>
      <c r="C126" s="3183"/>
      <c r="D126" s="3220" t="str">
        <f>H111</f>
        <v>——</v>
      </c>
      <c r="E126" s="3221"/>
      <c r="F126" s="3221"/>
      <c r="G126" s="3221"/>
      <c r="H126" s="3221"/>
      <c r="I126" s="3222"/>
    </row>
    <row r="127" spans="1:11" ht="18.75" customHeight="1">
      <c r="A127" s="3080" t="s">
        <v>2316</v>
      </c>
      <c r="B127" s="3080"/>
      <c r="C127" s="3080"/>
      <c r="D127" s="3192" t="e">
        <f>NUMBERSTRING(INT(D126*10000),2)&amp;"元整"</f>
        <v>#VALUE!</v>
      </c>
      <c r="E127" s="3193"/>
      <c r="F127" s="3193"/>
      <c r="G127" s="3193"/>
      <c r="H127" s="3193"/>
      <c r="I127" s="3194"/>
    </row>
    <row r="128" spans="1:11" ht="21.75" customHeight="1">
      <c r="A128" s="3202" t="s">
        <v>2317</v>
      </c>
      <c r="B128" s="3202"/>
      <c r="C128" s="3202"/>
      <c r="D128" s="3202"/>
      <c r="E128" s="3202"/>
      <c r="F128" s="3202"/>
      <c r="G128" s="3202"/>
      <c r="H128" s="3202"/>
      <c r="I128" s="3202"/>
    </row>
    <row r="129" spans="1:35" ht="21.75" customHeight="1">
      <c r="A129" s="2530" t="s">
        <v>2318</v>
      </c>
      <c r="B129" s="2531"/>
      <c r="C129" s="2532" t="s">
        <v>2319</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2320</v>
      </c>
      <c r="G135" s="2547"/>
      <c r="H135" s="2547"/>
      <c r="I135" s="2548" t="s">
        <v>2321</v>
      </c>
    </row>
    <row r="136" spans="1:35" ht="21.75" customHeight="1">
      <c r="A136" s="795"/>
      <c r="B136" s="2549"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2323</v>
      </c>
    </row>
    <row r="139" spans="1:35" ht="21.75" customHeight="1">
      <c r="A139" s="795"/>
      <c r="B139" s="2549" t="s">
        <v>2324</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2323</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Normal="100" zoomScaleSheetLayoutView="100" workbookViewId="0">
      <selection activeCell="C68" sqref="C6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40" t="s">
        <v>4197</v>
      </c>
      <c r="C1" s="242"/>
      <c r="D1" s="242"/>
      <c r="E1" s="242"/>
      <c r="F1" s="242"/>
      <c r="G1" s="1382">
        <f>MATCH(B1,'数据-取费表'!A6:A16,0)+5</f>
        <v>6</v>
      </c>
    </row>
    <row r="2" spans="1:9" s="244" customFormat="1" ht="18" customHeight="1">
      <c r="A2" s="245" t="s">
        <v>2326</v>
      </c>
      <c r="B2" s="246">
        <f ca="1">IF(D2="——",C52,C52-E2)</f>
        <v>19510</v>
      </c>
      <c r="C2" s="243" t="s">
        <v>2327</v>
      </c>
      <c r="D2" s="2552" t="s">
        <v>70</v>
      </c>
      <c r="E2" s="1443" t="e">
        <f ca="1">SUMIF(INDIRECT("'"&amp;G2&amp;"'"&amp;"!A:A"),"承租人权益价值",INDIRECT("'"&amp;G2&amp;"'"&amp;"!c:c"))</f>
        <v>#REF!</v>
      </c>
      <c r="F2" s="2553" t="s">
        <v>2327</v>
      </c>
      <c r="G2" s="2554" t="s">
        <v>4488</v>
      </c>
    </row>
    <row r="3" spans="1:9" s="244" customFormat="1" ht="18" customHeight="1" thickBot="1">
      <c r="A3" s="247" t="s">
        <v>2328</v>
      </c>
      <c r="B3" s="248">
        <f ca="1">ROUND(B2*10000/(IF(B1="",'数据-汇总表'!E3,INDIRECT("'数据-取费表'!k"&amp;$G$1))),0)</f>
        <v>9541</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 ca="1">C6+C7+C8</f>
        <v>7250</v>
      </c>
      <c r="D5" s="255" t="s">
        <v>2333</v>
      </c>
      <c r="E5" s="256" t="s">
        <v>2334</v>
      </c>
      <c r="F5" s="256" t="s">
        <v>2335</v>
      </c>
      <c r="G5" s="257"/>
    </row>
    <row r="6" spans="1:9" s="258" customFormat="1" ht="13.5" customHeight="1">
      <c r="A6" s="952" t="s">
        <v>2336</v>
      </c>
      <c r="B6" s="259" t="s">
        <v>2337</v>
      </c>
      <c r="C6" s="260">
        <f>'土地比较法-住宅、综合'!B2</f>
        <v>6758</v>
      </c>
      <c r="D6" s="261"/>
      <c r="E6" s="262"/>
      <c r="F6" s="262"/>
      <c r="G6" s="263"/>
    </row>
    <row r="7" spans="1:9" s="258" customFormat="1" ht="13.5" customHeight="1">
      <c r="A7" s="952" t="s">
        <v>2338</v>
      </c>
      <c r="B7" s="259" t="s">
        <v>2339</v>
      </c>
      <c r="C7" s="264">
        <f>ROUND(C6*F7,0)</f>
        <v>206</v>
      </c>
      <c r="D7" s="264"/>
      <c r="E7" s="262"/>
      <c r="F7" s="265">
        <f>'数据-取费表'!B48+'数据-取费表'!B49</f>
        <v>3.0499999999999999E-2</v>
      </c>
      <c r="G7" s="263"/>
    </row>
    <row r="8" spans="1:9" s="267" customFormat="1">
      <c r="A8" s="952" t="s">
        <v>2340</v>
      </c>
      <c r="B8" s="259" t="s">
        <v>2341</v>
      </c>
      <c r="C8" s="264">
        <f ca="1">IF(G8="已包含在土地购买价格中","0",IF(B1="",'数据-取费表'!B29,IF(G9="全部缴纳",C9+C10,H9)))</f>
        <v>286</v>
      </c>
      <c r="D8" s="266"/>
      <c r="E8" s="264"/>
      <c r="F8" s="265"/>
      <c r="G8" s="3031" t="s">
        <v>4487</v>
      </c>
    </row>
    <row r="9" spans="1:9" s="258" customFormat="1" ht="13.5" customHeight="1">
      <c r="A9" s="953" t="s">
        <v>800</v>
      </c>
      <c r="B9" s="268" t="s">
        <v>2342</v>
      </c>
      <c r="C9" s="269">
        <f ca="1">ROUND(D9*E9/10000,0)</f>
        <v>0</v>
      </c>
      <c r="D9" s="1035">
        <f ca="1">IF(B1="",'数据-汇总表'!E5,IF(INDIRECT("'数据-取费表'!c"&amp;$G$1)="住宅",INDIRECT("'数据-取费表'!k"&amp;$G$1),0))</f>
        <v>0</v>
      </c>
      <c r="E9" s="269">
        <f>'数据-取费表'!B27</f>
        <v>0</v>
      </c>
      <c r="F9" s="265"/>
      <c r="G9" s="2556" t="s">
        <v>4489</v>
      </c>
      <c r="H9" s="1393"/>
      <c r="I9" s="2557" t="s">
        <v>2343</v>
      </c>
    </row>
    <row r="10" spans="1:9" s="258" customFormat="1" ht="13.5" customHeight="1">
      <c r="A10" s="953" t="s">
        <v>801</v>
      </c>
      <c r="B10" s="268" t="s">
        <v>2344</v>
      </c>
      <c r="C10" s="269">
        <f ca="1">ROUND(D10*E10/10000,0)</f>
        <v>286</v>
      </c>
      <c r="D10" s="1035">
        <f ca="1">IF(B1="",'数据-汇总表'!E6,IF(INDIRECT("'数据-取费表'!c"&amp;$G$1)="住宅",INDIRECT("'数据-取费表'!s"&amp;$G$1),INDIRECT("'数据-取费表'!k"&amp;$G$1)+INDIRECT("'数据-取费表'!s"&amp;$G$1)))</f>
        <v>20447.539999999997</v>
      </c>
      <c r="E10" s="269">
        <f>'数据-取费表'!B28</f>
        <v>140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2348</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2348</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t="str">
        <f>IF(G19="已包含在土地取得成本中","0",ROUND(D19*E19/10000,0))</f>
        <v>0</v>
      </c>
      <c r="D19" s="1039">
        <f ca="1">D9+D10</f>
        <v>20447.539999999997</v>
      </c>
      <c r="E19" s="255">
        <f>'数据-取费表'!B31</f>
        <v>180</v>
      </c>
      <c r="F19" s="275"/>
      <c r="G19" s="3031" t="s">
        <v>3416</v>
      </c>
    </row>
    <row r="20" spans="1:7" s="258" customFormat="1" ht="13.5" customHeight="1">
      <c r="A20" s="299" t="s">
        <v>2357</v>
      </c>
      <c r="B20" s="254" t="s">
        <v>2358</v>
      </c>
      <c r="C20" s="276">
        <f ca="1">ROUND((C5+C19)*F20,0)</f>
        <v>218</v>
      </c>
      <c r="D20" s="276"/>
      <c r="E20" s="276"/>
      <c r="F20" s="277">
        <f>'数据-取费表'!B37</f>
        <v>0.03</v>
      </c>
      <c r="G20" s="278" t="s">
        <v>2359</v>
      </c>
    </row>
    <row r="21" spans="1:7" s="258" customFormat="1" ht="13.5" customHeight="1">
      <c r="A21" s="299" t="s">
        <v>2360</v>
      </c>
      <c r="B21" s="254" t="s">
        <v>2361</v>
      </c>
      <c r="C21" s="279">
        <f>F21</f>
        <v>0.03</v>
      </c>
      <c r="D21" s="280" t="s">
        <v>2362</v>
      </c>
      <c r="E21" s="276"/>
      <c r="F21" s="277">
        <f>'数据-取费表'!B38</f>
        <v>0.03</v>
      </c>
      <c r="G21" s="278" t="s">
        <v>2363</v>
      </c>
    </row>
    <row r="22" spans="1:7" s="258" customFormat="1" ht="13.5" customHeight="1">
      <c r="A22" s="299" t="s">
        <v>2364</v>
      </c>
      <c r="B22" s="254" t="s">
        <v>2365</v>
      </c>
      <c r="C22" s="1357">
        <f ca="1">ROUND(SUM(C23:C25),0)</f>
        <v>1099</v>
      </c>
      <c r="D22" s="279">
        <f ca="1">C26</f>
        <v>2.2000000000000001E-3</v>
      </c>
      <c r="E22" s="280" t="s">
        <v>2362</v>
      </c>
      <c r="F22" s="281">
        <f ca="1">'数据-取费表'!B40</f>
        <v>4.7500000000000001E-2</v>
      </c>
      <c r="G22" s="278" t="str">
        <f>IF('数据-取费表'!B22&lt;=1,"单利计息","复利计息")</f>
        <v>复利计息</v>
      </c>
    </row>
    <row r="23" spans="1:7" s="258" customFormat="1" ht="13.5" customHeight="1">
      <c r="A23" s="954" t="s">
        <v>2366</v>
      </c>
      <c r="B23" s="259" t="s">
        <v>2367</v>
      </c>
      <c r="C23" s="1358">
        <f ca="1">ROUND(IF('数据-取费表'!B22&lt;=1,C5*F22*'数据-取费表'!B23,C5*(POWER((1+F22),'数据-取费表'!B23)-1)),0)</f>
        <v>1083</v>
      </c>
      <c r="D23" s="282"/>
      <c r="E23" s="282"/>
      <c r="F23" s="283"/>
      <c r="G23" s="284" t="s">
        <v>2368</v>
      </c>
    </row>
    <row r="24" spans="1:7" s="258" customFormat="1" ht="13.5" customHeight="1">
      <c r="A24" s="954" t="s">
        <v>2369</v>
      </c>
      <c r="B24" s="259" t="s">
        <v>2370</v>
      </c>
      <c r="C24" s="1358">
        <f ca="1">ROUND(IF('数据-取费表'!B22&lt;=1,C19*F22*('数据-取费表'!B19/2+'数据-取费表'!B21),C19*(POWER((1+F22),('数据-取费表'!B19/2+'数据-取费表'!B21))-1)),0)</f>
        <v>0</v>
      </c>
      <c r="D24" s="282"/>
      <c r="E24" s="282"/>
      <c r="F24" s="283"/>
      <c r="G24" s="284" t="s">
        <v>2371</v>
      </c>
    </row>
    <row r="25" spans="1:7" s="258" customFormat="1" ht="24">
      <c r="A25" s="954" t="s">
        <v>2372</v>
      </c>
      <c r="B25" s="259" t="s">
        <v>2373</v>
      </c>
      <c r="C25" s="1358">
        <f ca="1">ROUND(IF('数据-取费表'!B22&lt;=1,C20*F22*'数据-取费表'!B23/2,C20*(POWER((1+F22),'数据-取费表'!B23/2)-1)),0)</f>
        <v>16</v>
      </c>
      <c r="D25" s="282"/>
      <c r="E25" s="285"/>
      <c r="F25" s="283"/>
      <c r="G25" s="286" t="s">
        <v>2374</v>
      </c>
    </row>
    <row r="26" spans="1:7" s="258" customFormat="1">
      <c r="A26" s="954" t="s">
        <v>795</v>
      </c>
      <c r="B26" s="259" t="s">
        <v>2375</v>
      </c>
      <c r="C26" s="282">
        <f ca="1">ROUND(IF('数据-取费表'!B22&lt;=1,F21*F22*'数据-取费表'!B23/2,F21*(POWER((1+F22),'数据-取费表'!B23/2)-1)),4)</f>
        <v>2.2000000000000001E-3</v>
      </c>
      <c r="D26" s="282"/>
      <c r="E26" s="285"/>
      <c r="F26" s="283"/>
      <c r="G26" s="287"/>
    </row>
    <row r="27" spans="1:7" s="258" customFormat="1" ht="24.75">
      <c r="A27" s="299" t="s">
        <v>2376</v>
      </c>
      <c r="B27" s="288" t="s">
        <v>2377</v>
      </c>
      <c r="C27" s="289">
        <f ca="1">C28</f>
        <v>1494</v>
      </c>
      <c r="D27" s="279">
        <f ca="1">C29</f>
        <v>6.0000000000000001E-3</v>
      </c>
      <c r="E27" s="280" t="s">
        <v>2378</v>
      </c>
      <c r="F27" s="290">
        <f ca="1">IF(B1="",'数据-取费表'!Q16,INDIRECT("'数据-取费表'!q"&amp;$G$1))</f>
        <v>0.2</v>
      </c>
      <c r="G27" s="291" t="s">
        <v>2379</v>
      </c>
    </row>
    <row r="28" spans="1:7" s="258" customFormat="1" ht="13.5" customHeight="1">
      <c r="A28" s="954" t="s">
        <v>791</v>
      </c>
      <c r="B28" s="292" t="s">
        <v>2380</v>
      </c>
      <c r="C28" s="293">
        <f ca="1">ROUND((C5+C19+C20)*F27*'数据-取费表'!B21/'数据-取费表'!B20,0)</f>
        <v>1494</v>
      </c>
      <c r="D28" s="279"/>
      <c r="E28" s="280"/>
      <c r="F28" s="290"/>
      <c r="G28" s="291"/>
    </row>
    <row r="29" spans="1:7" s="258" customFormat="1" ht="13.5" customHeight="1">
      <c r="A29" s="954" t="s">
        <v>792</v>
      </c>
      <c r="B29" s="292" t="s">
        <v>2381</v>
      </c>
      <c r="C29" s="282">
        <f ca="1">ROUND(C21*F27*'数据-取费表'!B21/'数据-取费表'!B20,4)</f>
        <v>6.0000000000000001E-3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11074</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6030</v>
      </c>
      <c r="D33" s="276"/>
      <c r="E33" s="256"/>
      <c r="F33" s="285"/>
      <c r="G33" s="278"/>
    </row>
    <row r="34" spans="1:7" s="302" customFormat="1" ht="13.5" customHeight="1">
      <c r="A34" s="954" t="s">
        <v>791</v>
      </c>
      <c r="B34" s="259" t="s">
        <v>2389</v>
      </c>
      <c r="C34" s="264">
        <f ca="1">IF(B1="",IF(F34=100%,'数据-取费表'!M16,'数据-取费表'!O16),IF(F34=100%,INDIRECT("'数据-取费表'!m"&amp;$G$1)+INDIRECT("'数据-取费表'!t"&amp;$G$1),INDIRECT("'数据-取费表'!o"&amp;$G$1)+INDIRECT("'数据-取费表'!aq"&amp;$G$1)))</f>
        <v>5316</v>
      </c>
      <c r="D34" s="261"/>
      <c r="E34" s="264"/>
      <c r="F34" s="301">
        <f ca="1">IF('数据-取费表'!B24=0,1,IF(B1="",'数据-取费表'!N16,INDIRECT("'数据-取费表'!n"&amp;$G$1)))</f>
        <v>1</v>
      </c>
      <c r="G34" s="263" t="s">
        <v>2390</v>
      </c>
    </row>
    <row r="35" spans="1:7" ht="13.5" customHeight="1">
      <c r="A35" s="954" t="s">
        <v>796</v>
      </c>
      <c r="B35" s="259" t="s">
        <v>2391</v>
      </c>
      <c r="C35" s="264">
        <f ca="1">ROUND(C34*F35,0)</f>
        <v>266</v>
      </c>
      <c r="D35" s="264"/>
      <c r="E35" s="264"/>
      <c r="F35" s="303">
        <f>'数据-取费表'!B33</f>
        <v>0.05</v>
      </c>
      <c r="G35" s="263" t="s">
        <v>2392</v>
      </c>
    </row>
    <row r="36" spans="1:7" ht="24">
      <c r="A36" s="954"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4" t="s">
        <v>798</v>
      </c>
      <c r="B37" s="259" t="s">
        <v>2395</v>
      </c>
      <c r="C37" s="293">
        <f ca="1">ROUND(E37*D37*F34/10000,0)</f>
        <v>368</v>
      </c>
      <c r="D37" s="261">
        <f ca="1">D19</f>
        <v>20447.539999999997</v>
      </c>
      <c r="E37" s="293">
        <f>'数据-取费表'!B35</f>
        <v>180</v>
      </c>
      <c r="F37" s="303"/>
      <c r="G37" s="305" t="s">
        <v>2396</v>
      </c>
    </row>
    <row r="38" spans="1:7" ht="13.5" customHeight="1">
      <c r="A38" s="954" t="s">
        <v>799</v>
      </c>
      <c r="B38" s="259" t="s">
        <v>2397</v>
      </c>
      <c r="C38" s="264">
        <f ca="1">ROUND(C34*F38,0)</f>
        <v>80</v>
      </c>
      <c r="D38" s="264"/>
      <c r="E38" s="264"/>
      <c r="F38" s="303">
        <f>'数据-取费表'!B36</f>
        <v>1.4999999999999999E-2</v>
      </c>
      <c r="G38" s="263" t="s">
        <v>2392</v>
      </c>
    </row>
    <row r="39" spans="1:7" s="258" customFormat="1" ht="13.5" customHeight="1">
      <c r="A39" s="299" t="s">
        <v>2398</v>
      </c>
      <c r="B39" s="254" t="s">
        <v>2399</v>
      </c>
      <c r="C39" s="276">
        <f ca="1">ROUND(C33*F20,0)</f>
        <v>181</v>
      </c>
      <c r="D39" s="276"/>
      <c r="E39" s="276"/>
      <c r="F39" s="277"/>
      <c r="G39" s="278" t="s">
        <v>2400</v>
      </c>
    </row>
    <row r="40" spans="1:7" s="258" customFormat="1" ht="13.5" customHeight="1">
      <c r="A40" s="299" t="s">
        <v>2401</v>
      </c>
      <c r="B40" s="254" t="s">
        <v>2402</v>
      </c>
      <c r="C40" s="1731">
        <f>F21</f>
        <v>0.03</v>
      </c>
      <c r="D40" s="280" t="s">
        <v>2403</v>
      </c>
      <c r="E40" s="276"/>
      <c r="F40" s="277"/>
      <c r="G40" s="278" t="s">
        <v>2404</v>
      </c>
    </row>
    <row r="41" spans="1:7" s="258" customFormat="1" ht="13.5" customHeight="1">
      <c r="A41" s="299" t="s">
        <v>2405</v>
      </c>
      <c r="B41" s="254" t="s">
        <v>2406</v>
      </c>
      <c r="C41" s="276">
        <f ca="1">ROUND(SUM(C42:C43),0)</f>
        <v>448</v>
      </c>
      <c r="D41" s="279">
        <f ca="1">C44</f>
        <v>2.2000000000000001E-3</v>
      </c>
      <c r="E41" s="280" t="s">
        <v>2403</v>
      </c>
      <c r="F41" s="281"/>
      <c r="G41" s="278" t="str">
        <f>IF('数据-取费表'!B22&lt;=1,"单利计息","复利计息")</f>
        <v>复利计息</v>
      </c>
    </row>
    <row r="42" spans="1:7" ht="13.5" customHeight="1">
      <c r="A42" s="954" t="s">
        <v>791</v>
      </c>
      <c r="B42" s="259" t="s">
        <v>2407</v>
      </c>
      <c r="C42" s="282">
        <f ca="1">ROUND(IF('数据-取费表'!B22&lt;=1,C33*F22*'数据-取费表'!B21/2,C33*(POWER((1+F22),'数据-取费表'!B21/2)-1)),0)</f>
        <v>435</v>
      </c>
      <c r="D42" s="282"/>
      <c r="E42" s="282"/>
      <c r="F42" s="283"/>
      <c r="G42" s="3234" t="s">
        <v>2408</v>
      </c>
    </row>
    <row r="43" spans="1:7" ht="13.5" customHeight="1">
      <c r="A43" s="954" t="s">
        <v>792</v>
      </c>
      <c r="B43" s="259" t="s">
        <v>2409</v>
      </c>
      <c r="C43" s="282">
        <f ca="1">ROUND(IF('数据-取费表'!B22&lt;=1,C39*F22*'数据-取费表'!B21/2,C39*(POWER((1+F22),'数据-取费表'!B21/2)-1)),0)</f>
        <v>13</v>
      </c>
      <c r="D43" s="282"/>
      <c r="E43" s="282"/>
      <c r="F43" s="283"/>
      <c r="G43" s="3235"/>
    </row>
    <row r="44" spans="1:7" ht="13.5" customHeight="1">
      <c r="A44" s="954" t="s">
        <v>793</v>
      </c>
      <c r="B44" s="259" t="s">
        <v>2410</v>
      </c>
      <c r="C44" s="282">
        <f ca="1">ROUND(IF('数据-取费表'!B22&lt;=1,C40*F22*'数据-取费表'!B21/2,C40*(POWER((1+F22),'数据-取费表'!B21/2)-1)),4)</f>
        <v>2.2000000000000001E-3</v>
      </c>
      <c r="D44" s="282"/>
      <c r="E44" s="282"/>
      <c r="F44" s="283"/>
      <c r="G44" s="3236"/>
    </row>
    <row r="45" spans="1:7" s="258" customFormat="1" ht="13.5" customHeight="1">
      <c r="A45" s="299" t="s">
        <v>2411</v>
      </c>
      <c r="B45" s="288" t="s">
        <v>2377</v>
      </c>
      <c r="C45" s="289">
        <f ca="1">C46</f>
        <v>1242</v>
      </c>
      <c r="D45" s="279">
        <f ca="1">C47</f>
        <v>6.0000000000000001E-3</v>
      </c>
      <c r="E45" s="280" t="s">
        <v>2403</v>
      </c>
      <c r="F45" s="290"/>
      <c r="G45" s="291" t="s">
        <v>2412</v>
      </c>
    </row>
    <row r="46" spans="1:7" s="258" customFormat="1" ht="13.5" customHeight="1">
      <c r="A46" s="954" t="s">
        <v>791</v>
      </c>
      <c r="B46" s="292" t="s">
        <v>2413</v>
      </c>
      <c r="C46" s="293">
        <f ca="1">ROUND((C33+C39)*F27,0)</f>
        <v>1242</v>
      </c>
      <c r="D46" s="307"/>
      <c r="E46" s="280"/>
      <c r="F46" s="290"/>
      <c r="G46" s="291"/>
    </row>
    <row r="47" spans="1:7" s="258" customFormat="1" ht="13.5" customHeight="1">
      <c r="A47" s="954" t="s">
        <v>792</v>
      </c>
      <c r="B47" s="292" t="s">
        <v>2414</v>
      </c>
      <c r="C47" s="282">
        <f ca="1">ROUND(C40*F27,4)</f>
        <v>6.0000000000000001E-3</v>
      </c>
      <c r="D47" s="307"/>
      <c r="E47" s="280"/>
      <c r="F47" s="290"/>
      <c r="G47" s="291"/>
    </row>
    <row r="48" spans="1:7" s="258" customFormat="1" ht="13.5" customHeight="1">
      <c r="A48" s="299" t="s">
        <v>2376</v>
      </c>
      <c r="B48" s="254" t="s">
        <v>2415</v>
      </c>
      <c r="C48" s="1731">
        <f>ROUND(F30/(1+'数据-取费表'!C42),4)</f>
        <v>5.33E-2</v>
      </c>
      <c r="D48" s="280" t="s">
        <v>2403</v>
      </c>
      <c r="E48" s="276"/>
      <c r="F48" s="281"/>
      <c r="G48" s="278" t="s">
        <v>2416</v>
      </c>
    </row>
    <row r="49" spans="1:7" ht="16.5" customHeight="1">
      <c r="A49" s="299" t="s">
        <v>2382</v>
      </c>
      <c r="B49" s="254" t="s">
        <v>2417</v>
      </c>
      <c r="C49" s="276">
        <f ca="1">ROUND((C33+C39+C41+C45)/(1-C40-D41-D45-C48),0)</f>
        <v>8697</v>
      </c>
      <c r="D49" s="276"/>
      <c r="E49" s="276"/>
      <c r="F49" s="308"/>
      <c r="G49" s="278" t="s">
        <v>2418</v>
      </c>
    </row>
    <row r="50" spans="1:7" s="302" customFormat="1" ht="24">
      <c r="A50" s="299" t="s">
        <v>2419</v>
      </c>
      <c r="B50" s="254" t="s">
        <v>2420</v>
      </c>
      <c r="C50" s="276"/>
      <c r="D50" s="276"/>
      <c r="E50" s="276"/>
      <c r="F50" s="308">
        <f>IF('数据-取费表'!B24=0,'数据-取费表'!N16,1)</f>
        <v>0.97</v>
      </c>
      <c r="G50" s="291" t="s">
        <v>2421</v>
      </c>
    </row>
    <row r="51" spans="1:7" ht="16.5" customHeight="1">
      <c r="A51" s="299" t="s">
        <v>2422</v>
      </c>
      <c r="B51" s="254" t="s">
        <v>2423</v>
      </c>
      <c r="C51" s="276">
        <f ca="1">ROUND(C49*F50,0)</f>
        <v>8436</v>
      </c>
      <c r="D51" s="276"/>
      <c r="E51" s="276"/>
      <c r="F51" s="308"/>
      <c r="G51" s="278" t="s">
        <v>2424</v>
      </c>
    </row>
    <row r="52" spans="1:7" s="252" customFormat="1" ht="16.5" thickBot="1">
      <c r="A52" s="309" t="s">
        <v>2425</v>
      </c>
      <c r="B52" s="310"/>
      <c r="C52" s="311">
        <f ca="1">C31+C51</f>
        <v>19510</v>
      </c>
      <c r="D52" s="310"/>
      <c r="E52" s="310"/>
      <c r="F52" s="310"/>
      <c r="G52" s="312"/>
    </row>
    <row r="55" spans="1:7" ht="15">
      <c r="B55" s="314" t="s">
        <v>2426</v>
      </c>
      <c r="C55" s="315"/>
    </row>
    <row r="56" spans="1:7">
      <c r="B56" s="317" t="s">
        <v>1509</v>
      </c>
      <c r="C56" s="319">
        <f ca="1">1-C57</f>
        <v>0.56800000000000006</v>
      </c>
    </row>
    <row r="57" spans="1:7">
      <c r="B57" s="317" t="s">
        <v>1510</v>
      </c>
      <c r="C57" s="318">
        <f ca="1">ROUND(C51/C52,3)</f>
        <v>0.432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40"/>
      <c r="C1" s="2558" t="s">
        <v>2427</v>
      </c>
      <c r="D1" s="242"/>
      <c r="E1" s="242"/>
      <c r="F1" s="242"/>
      <c r="G1" s="1382">
        <f>MATCH(B1,'数据-取费表'!A6:A16,0)+5</f>
        <v>7</v>
      </c>
      <c r="H1" s="1285" t="str">
        <f>IF(ISERROR(FIND("住宅",B1)),"非住宅","住宅")</f>
        <v>非住宅</v>
      </c>
    </row>
    <row r="2" spans="1:8" s="244" customFormat="1" ht="18" customHeight="1">
      <c r="A2" s="245" t="s">
        <v>2326</v>
      </c>
      <c r="B2" s="246">
        <f ca="1">ROUND(IF(D2="——",C52/10000,C52/10000-E2),0)</f>
        <v>9435</v>
      </c>
      <c r="C2" s="243" t="s">
        <v>2327</v>
      </c>
      <c r="D2" s="2552" t="s">
        <v>70</v>
      </c>
      <c r="E2" s="1443" t="e">
        <f ca="1">SUMIF(INDIRECT("'"&amp;G2&amp;"'"&amp;"!A:A"),"承租人权益价值",INDIRECT("'"&amp;G2&amp;"'"&amp;"!c:c"))</f>
        <v>#REF!</v>
      </c>
      <c r="F2" s="2553" t="s">
        <v>2327</v>
      </c>
      <c r="G2" s="2554"/>
    </row>
    <row r="3" spans="1:8" s="244" customFormat="1" ht="18" customHeight="1" thickBot="1">
      <c r="A3" s="247" t="s">
        <v>2328</v>
      </c>
      <c r="B3" s="248">
        <f ca="1">ROUND(B2*10000/(IF(B1="",'数据-汇总表'!E3,INDIRECT("'数据-取费表'!k"&amp;$G$1))),0)</f>
        <v>4614</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2862656</v>
      </c>
      <c r="D5" s="255" t="s">
        <v>2333</v>
      </c>
      <c r="E5" s="256" t="s">
        <v>2334</v>
      </c>
      <c r="F5" s="256" t="s">
        <v>2335</v>
      </c>
      <c r="G5" s="257"/>
    </row>
    <row r="6" spans="1:8" s="258" customFormat="1" ht="13.5" customHeight="1">
      <c r="A6" s="952" t="s">
        <v>2336</v>
      </c>
      <c r="B6" s="259" t="s">
        <v>2337</v>
      </c>
      <c r="C6" s="260"/>
      <c r="D6" s="261"/>
      <c r="E6" s="262"/>
      <c r="F6" s="262"/>
      <c r="G6" s="263"/>
    </row>
    <row r="7" spans="1:8" s="258" customFormat="1" ht="13.5" customHeight="1">
      <c r="A7" s="952" t="s">
        <v>2338</v>
      </c>
      <c r="B7" s="259" t="s">
        <v>2339</v>
      </c>
      <c r="C7" s="264">
        <f>ROUND(C6*F7,0)</f>
        <v>0</v>
      </c>
      <c r="D7" s="264"/>
      <c r="E7" s="262"/>
      <c r="F7" s="265">
        <f>'数据-取费表'!B48+'数据-取费表'!B49</f>
        <v>3.0499999999999999E-2</v>
      </c>
      <c r="G7" s="263"/>
    </row>
    <row r="8" spans="1:8" s="267" customFormat="1">
      <c r="A8" s="952" t="s">
        <v>2340</v>
      </c>
      <c r="B8" s="259" t="s">
        <v>2341</v>
      </c>
      <c r="C8" s="264">
        <f ca="1">IF(G8="已包含在土地购买价格中",0,C9+C10)</f>
        <v>2862656</v>
      </c>
      <c r="D8" s="266"/>
      <c r="E8" s="264"/>
      <c r="F8" s="265"/>
      <c r="G8" s="2555"/>
    </row>
    <row r="9" spans="1:8" s="258" customFormat="1" ht="13.5" customHeight="1">
      <c r="A9" s="953" t="s">
        <v>800</v>
      </c>
      <c r="B9" s="268" t="s">
        <v>2342</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2344</v>
      </c>
      <c r="C10" s="269">
        <f ca="1">ROUND(D10*E10,0)</f>
        <v>2862656</v>
      </c>
      <c r="D10" s="1035">
        <f ca="1">IF(B1="",'数据-汇总表'!E6,IF(INDIRECT("'数据-取费表'!c"&amp;$G$1)="住宅",INDIRECT("'数据-取费表'!s"&amp;$G$1),INDIRECT("'数据-取费表'!k"&amp;$G$1)+INDIRECT("'数据-取费表'!s"&amp;$G$1)))</f>
        <v>20447.539999999997</v>
      </c>
      <c r="E10" s="269">
        <f>'数据-取费表'!B28</f>
        <v>140</v>
      </c>
      <c r="F10" s="265"/>
      <c r="G10" s="270"/>
    </row>
    <row r="11" spans="1:8" s="258" customFormat="1" ht="13.5" hidden="1" customHeight="1">
      <c r="A11" s="271" t="s">
        <v>7</v>
      </c>
      <c r="B11" s="259" t="s">
        <v>2345</v>
      </c>
      <c r="C11" s="255"/>
      <c r="D11" s="1037"/>
      <c r="E11" s="262"/>
      <c r="F11" s="262"/>
      <c r="G11" s="263"/>
    </row>
    <row r="12" spans="1:8" s="258" customFormat="1" ht="13.5" hidden="1" customHeight="1">
      <c r="A12" s="271" t="s">
        <v>8</v>
      </c>
      <c r="B12" s="259" t="s">
        <v>2428</v>
      </c>
      <c r="C12" s="255">
        <v>0</v>
      </c>
      <c r="D12" s="1037"/>
      <c r="E12" s="272"/>
      <c r="F12" s="265">
        <v>3.0499999999999999E-2</v>
      </c>
      <c r="G12" s="263"/>
    </row>
    <row r="13" spans="1:8" s="258" customFormat="1" ht="13.5" hidden="1" customHeight="1">
      <c r="A13" s="271" t="s">
        <v>9</v>
      </c>
      <c r="B13" s="259" t="s">
        <v>2429</v>
      </c>
      <c r="C13" s="255"/>
      <c r="D13" s="1037"/>
      <c r="E13" s="262"/>
      <c r="F13" s="262"/>
      <c r="G13" s="263"/>
    </row>
    <row r="14" spans="1:8" s="258" customFormat="1" ht="13.5" hidden="1" customHeight="1">
      <c r="A14" s="271" t="s">
        <v>10</v>
      </c>
      <c r="B14" s="259" t="s">
        <v>2341</v>
      </c>
      <c r="C14" s="255"/>
      <c r="D14" s="1037"/>
      <c r="E14" s="262"/>
      <c r="F14" s="262"/>
      <c r="G14" s="263" t="s">
        <v>2430</v>
      </c>
    </row>
    <row r="15" spans="1:8" s="258" customFormat="1" ht="13.5" hidden="1" customHeight="1">
      <c r="A15" s="271" t="s">
        <v>11</v>
      </c>
      <c r="B15" s="259" t="s">
        <v>2431</v>
      </c>
      <c r="C15" s="264"/>
      <c r="D15" s="1037"/>
      <c r="E15" s="262"/>
      <c r="F15" s="262"/>
      <c r="G15" s="263" t="s">
        <v>2432</v>
      </c>
    </row>
    <row r="16" spans="1:8" s="258" customFormat="1" ht="13.5" hidden="1" customHeight="1">
      <c r="A16" s="271" t="s">
        <v>12</v>
      </c>
      <c r="B16" s="259" t="s">
        <v>2341</v>
      </c>
      <c r="C16" s="264"/>
      <c r="D16" s="1037"/>
      <c r="E16" s="262"/>
      <c r="F16" s="262"/>
      <c r="G16" s="263"/>
    </row>
    <row r="17" spans="1:7" s="258" customFormat="1" ht="13.5" hidden="1" customHeight="1">
      <c r="A17" s="271" t="s">
        <v>13</v>
      </c>
      <c r="B17" s="259" t="s">
        <v>2433</v>
      </c>
      <c r="C17" s="273"/>
      <c r="D17" s="1038"/>
      <c r="E17" s="273"/>
      <c r="F17" s="273"/>
      <c r="G17" s="263" t="s">
        <v>2432</v>
      </c>
    </row>
    <row r="18" spans="1:7" s="258" customFormat="1" ht="13.5" hidden="1" customHeight="1">
      <c r="A18" s="271" t="s">
        <v>14</v>
      </c>
      <c r="B18" s="259" t="s">
        <v>2434</v>
      </c>
      <c r="C18" s="264">
        <v>0</v>
      </c>
      <c r="D18" s="1037"/>
      <c r="E18" s="262"/>
      <c r="F18" s="265">
        <v>3.0499999999999999E-2</v>
      </c>
      <c r="G18" s="263" t="s">
        <v>2435</v>
      </c>
    </row>
    <row r="19" spans="1:7" s="267" customFormat="1" ht="13.5" customHeight="1">
      <c r="A19" s="299" t="s">
        <v>2436</v>
      </c>
      <c r="B19" s="254" t="s">
        <v>2437</v>
      </c>
      <c r="C19" s="255">
        <f ca="1">IF(G19="已包含在土地取得成本中","0",ROUND(D19*E19,0))</f>
        <v>3680557</v>
      </c>
      <c r="D19" s="1039">
        <f ca="1">D9+D10</f>
        <v>20447.539999999997</v>
      </c>
      <c r="E19" s="255">
        <f>'数据-取费表'!B31</f>
        <v>180</v>
      </c>
      <c r="F19" s="275"/>
      <c r="G19" s="2555"/>
    </row>
    <row r="20" spans="1:7" s="258" customFormat="1" ht="13.5" customHeight="1">
      <c r="A20" s="299" t="s">
        <v>2438</v>
      </c>
      <c r="B20" s="254" t="s">
        <v>2439</v>
      </c>
      <c r="C20" s="276">
        <f ca="1">ROUND((C5+C19)*F20,0)</f>
        <v>196296</v>
      </c>
      <c r="D20" s="276"/>
      <c r="E20" s="276"/>
      <c r="F20" s="277">
        <f>'数据-取费表'!B37</f>
        <v>0.03</v>
      </c>
      <c r="G20" s="278" t="s">
        <v>2440</v>
      </c>
    </row>
    <row r="21" spans="1:7" s="258" customFormat="1" ht="13.5" customHeight="1">
      <c r="A21" s="299" t="s">
        <v>2441</v>
      </c>
      <c r="B21" s="254" t="s">
        <v>2442</v>
      </c>
      <c r="C21" s="279">
        <f>F21</f>
        <v>0.03</v>
      </c>
      <c r="D21" s="280" t="s">
        <v>2443</v>
      </c>
      <c r="E21" s="276"/>
      <c r="F21" s="277">
        <f>'数据-取费表'!B38</f>
        <v>0.03</v>
      </c>
      <c r="G21" s="278" t="s">
        <v>2444</v>
      </c>
    </row>
    <row r="22" spans="1:7" s="258" customFormat="1" ht="13.5" customHeight="1">
      <c r="A22" s="299" t="s">
        <v>2445</v>
      </c>
      <c r="B22" s="254" t="s">
        <v>2446</v>
      </c>
      <c r="C22" s="1383">
        <f ca="1">ROUND(SUM(C23:C25),0)</f>
        <v>991550</v>
      </c>
      <c r="D22" s="279">
        <f ca="1">C26</f>
        <v>2.2000000000000001E-3</v>
      </c>
      <c r="E22" s="280" t="s">
        <v>2443</v>
      </c>
      <c r="F22" s="281">
        <f ca="1">'数据-取费表'!B40</f>
        <v>4.7500000000000001E-2</v>
      </c>
      <c r="G22" s="278" t="str">
        <f>IF('数据-取费表'!B22&lt;=1,"单利计息","复利计息")</f>
        <v>复利计息</v>
      </c>
    </row>
    <row r="23" spans="1:7" s="258" customFormat="1" ht="13.5" customHeight="1">
      <c r="A23" s="954" t="s">
        <v>2336</v>
      </c>
      <c r="B23" s="259" t="s">
        <v>2447</v>
      </c>
      <c r="C23" s="1384">
        <f ca="1">ROUND(IF('数据-取费表'!B22&lt;=1,C5*F22*'数据-取费表'!B22,C5*(POWER((1+F22),'数据-取费表'!B22)-1)),0)</f>
        <v>427612</v>
      </c>
      <c r="D23" s="282"/>
      <c r="E23" s="282"/>
      <c r="F23" s="283"/>
      <c r="G23" s="284" t="s">
        <v>2448</v>
      </c>
    </row>
    <row r="24" spans="1:7" s="258" customFormat="1" ht="13.5" customHeight="1">
      <c r="A24" s="954" t="s">
        <v>2338</v>
      </c>
      <c r="B24" s="259" t="s">
        <v>2449</v>
      </c>
      <c r="C24" s="1384">
        <f ca="1">ROUND(IF('数据-取费表'!B22&lt;=1,C19*F22*('数据-取费表'!B19/2+'数据-取费表'!B20),C19*(POWER((1+F22),('数据-取费表'!B19/2+'数据-取费表'!B20))-1)),0)</f>
        <v>549787</v>
      </c>
      <c r="D24" s="282"/>
      <c r="E24" s="282"/>
      <c r="F24" s="283"/>
      <c r="G24" s="284" t="s">
        <v>2450</v>
      </c>
    </row>
    <row r="25" spans="1:7" s="258" customFormat="1" ht="24">
      <c r="A25" s="954" t="s">
        <v>2340</v>
      </c>
      <c r="B25" s="259" t="s">
        <v>2451</v>
      </c>
      <c r="C25" s="1384">
        <f ca="1">ROUND(IF('数据-取费表'!B22&lt;=1,C20*F22*'数据-取费表'!B22/2,C20*(POWER((1+F22),'数据-取费表'!B22/2)-1)),0)</f>
        <v>14151</v>
      </c>
      <c r="D25" s="282"/>
      <c r="E25" s="285"/>
      <c r="F25" s="283"/>
      <c r="G25" s="286" t="s">
        <v>2452</v>
      </c>
    </row>
    <row r="26" spans="1:7" s="258" customFormat="1">
      <c r="A26" s="954" t="s">
        <v>795</v>
      </c>
      <c r="B26" s="259" t="s">
        <v>2375</v>
      </c>
      <c r="C26" s="282">
        <f ca="1">ROUND(IF('数据-取费表'!B22&lt;=1,F21*F22*'数据-取费表'!B22/2,F21*(POWER((1+F22),'数据-取费表'!B22/2)-1)),4)</f>
        <v>2.2000000000000001E-3</v>
      </c>
      <c r="D26" s="282"/>
      <c r="E26" s="285"/>
      <c r="F26" s="283"/>
      <c r="G26" s="287"/>
    </row>
    <row r="27" spans="1:7" s="258" customFormat="1" ht="24.75">
      <c r="A27" s="299" t="s">
        <v>2376</v>
      </c>
      <c r="B27" s="288" t="s">
        <v>2377</v>
      </c>
      <c r="C27" s="289">
        <f ca="1">C28</f>
        <v>1347902</v>
      </c>
      <c r="D27" s="279">
        <f ca="1">C29</f>
        <v>6.0000000000000001E-3</v>
      </c>
      <c r="E27" s="280" t="s">
        <v>2378</v>
      </c>
      <c r="F27" s="290">
        <f ca="1">IF(B1="",'数据-取费表'!Q16,INDIRECT("'数据-取费表'!q"&amp;$G$1))</f>
        <v>0.2</v>
      </c>
      <c r="G27" s="291" t="s">
        <v>2379</v>
      </c>
    </row>
    <row r="28" spans="1:7" s="258" customFormat="1" ht="13.5" customHeight="1">
      <c r="A28" s="954" t="s">
        <v>791</v>
      </c>
      <c r="B28" s="292" t="s">
        <v>2380</v>
      </c>
      <c r="C28" s="293">
        <f ca="1">ROUND((C5+C19+C20)*F27,0)</f>
        <v>1347902</v>
      </c>
      <c r="D28" s="279"/>
      <c r="E28" s="280"/>
      <c r="F28" s="290"/>
      <c r="G28" s="291"/>
    </row>
    <row r="29" spans="1:7" s="258" customFormat="1" ht="13.5" customHeight="1">
      <c r="A29" s="954" t="s">
        <v>792</v>
      </c>
      <c r="B29" s="292" t="s">
        <v>2381</v>
      </c>
      <c r="C29" s="282">
        <f ca="1">ROUND(C21*F27,4)</f>
        <v>6.0000000000000001E-3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9993353</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60299795</v>
      </c>
      <c r="D33" s="276"/>
      <c r="E33" s="256"/>
      <c r="F33" s="285"/>
      <c r="G33" s="278"/>
    </row>
    <row r="34" spans="1:7" s="302" customFormat="1" ht="13.5" customHeight="1">
      <c r="A34" s="954" t="s">
        <v>791</v>
      </c>
      <c r="B34" s="259" t="s">
        <v>2389</v>
      </c>
      <c r="C34" s="264">
        <f ca="1">ROUND(IF(B1="",SUMPRODUCT('数据-取费表'!K6:K14,'数据-取费表'!L6:L14),INDIRECT("'数据-取费表'!l"&amp;$G$1)*INDIRECT("'数据-取费表'!k"&amp;$G$1)+'数据-取费表'!L14*INDIRECT("'数据-取费表'!S"&amp;$G$1)),0)</f>
        <v>53163604</v>
      </c>
      <c r="D34" s="261"/>
      <c r="E34" s="264"/>
      <c r="F34" s="301"/>
      <c r="G34" s="263"/>
    </row>
    <row r="35" spans="1:7" ht="13.5" customHeight="1">
      <c r="A35" s="954" t="s">
        <v>796</v>
      </c>
      <c r="B35" s="259" t="s">
        <v>2391</v>
      </c>
      <c r="C35" s="264">
        <f ca="1">ROUND(C34*F35,0)</f>
        <v>2658180</v>
      </c>
      <c r="D35" s="264"/>
      <c r="E35" s="264"/>
      <c r="F35" s="303">
        <f>'数据-取费表'!B33</f>
        <v>0.05</v>
      </c>
      <c r="G35" s="263" t="s">
        <v>2392</v>
      </c>
    </row>
    <row r="36" spans="1:7" ht="24">
      <c r="A36" s="954"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4" t="s">
        <v>798</v>
      </c>
      <c r="B37" s="259" t="s">
        <v>2395</v>
      </c>
      <c r="C37" s="293">
        <f ca="1">ROUND(E37*D37,0)</f>
        <v>3680557</v>
      </c>
      <c r="D37" s="261">
        <f ca="1">D19</f>
        <v>20447.539999999997</v>
      </c>
      <c r="E37" s="293">
        <f>'数据-取费表'!B35</f>
        <v>180</v>
      </c>
      <c r="F37" s="303"/>
      <c r="G37" s="305"/>
    </row>
    <row r="38" spans="1:7" ht="13.5" customHeight="1">
      <c r="A38" s="954" t="s">
        <v>799</v>
      </c>
      <c r="B38" s="259" t="s">
        <v>2397</v>
      </c>
      <c r="C38" s="264">
        <f ca="1">ROUND(C34*F38,0)</f>
        <v>797454</v>
      </c>
      <c r="D38" s="264"/>
      <c r="E38" s="264"/>
      <c r="F38" s="303">
        <f>'数据-取费表'!B36</f>
        <v>1.4999999999999999E-2</v>
      </c>
      <c r="G38" s="263" t="s">
        <v>2392</v>
      </c>
    </row>
    <row r="39" spans="1:7" s="258" customFormat="1" ht="13.5" customHeight="1">
      <c r="A39" s="299" t="s">
        <v>2398</v>
      </c>
      <c r="B39" s="254" t="s">
        <v>2399</v>
      </c>
      <c r="C39" s="276">
        <f ca="1">ROUND(C33*F20,0)</f>
        <v>1808994</v>
      </c>
      <c r="D39" s="276"/>
      <c r="E39" s="276"/>
      <c r="F39" s="277"/>
      <c r="G39" s="278" t="s">
        <v>2400</v>
      </c>
    </row>
    <row r="40" spans="1:7" s="258" customFormat="1" ht="13.5" customHeight="1">
      <c r="A40" s="299" t="s">
        <v>2401</v>
      </c>
      <c r="B40" s="254" t="s">
        <v>2402</v>
      </c>
      <c r="C40" s="1731">
        <f>F21</f>
        <v>0.03</v>
      </c>
      <c r="D40" s="280" t="s">
        <v>2403</v>
      </c>
      <c r="E40" s="276"/>
      <c r="F40" s="277"/>
      <c r="G40" s="278" t="s">
        <v>2404</v>
      </c>
    </row>
    <row r="41" spans="1:7" s="258" customFormat="1" ht="13.5" customHeight="1">
      <c r="A41" s="299" t="s">
        <v>2405</v>
      </c>
      <c r="B41" s="254" t="s">
        <v>2406</v>
      </c>
      <c r="C41" s="276">
        <f ca="1">ROUND(SUM(C42:C43),0)</f>
        <v>4477392</v>
      </c>
      <c r="D41" s="279">
        <f ca="1">C44</f>
        <v>2.2000000000000001E-3</v>
      </c>
      <c r="E41" s="280" t="s">
        <v>2403</v>
      </c>
      <c r="F41" s="281"/>
      <c r="G41" s="278" t="str">
        <f>IF('数据-取费表'!B22&lt;=1,"单利计息","复利计息")</f>
        <v>复利计息</v>
      </c>
    </row>
    <row r="42" spans="1:7" ht="13.5" customHeight="1">
      <c r="A42" s="954" t="s">
        <v>791</v>
      </c>
      <c r="B42" s="259" t="s">
        <v>2407</v>
      </c>
      <c r="C42" s="282">
        <f ca="1">ROUND(IF('数据-取费表'!B22&lt;=1,C33*F22*'数据-取费表'!B20/2,C33*(POWER((1+F22),'数据-取费表'!B20/2)-1)),0)</f>
        <v>4346983</v>
      </c>
      <c r="D42" s="282"/>
      <c r="E42" s="282"/>
      <c r="F42" s="283"/>
      <c r="G42" s="3234" t="s">
        <v>2455</v>
      </c>
    </row>
    <row r="43" spans="1:7" ht="13.5" customHeight="1">
      <c r="A43" s="954" t="s">
        <v>792</v>
      </c>
      <c r="B43" s="259" t="s">
        <v>2409</v>
      </c>
      <c r="C43" s="282">
        <f ca="1">ROUND(IF('数据-取费表'!B22&lt;=1,C39*F22*'数据-取费表'!B20/2,C39*(POWER((1+F22),'数据-取费表'!B20/2)-1)),0)</f>
        <v>130409</v>
      </c>
      <c r="D43" s="282"/>
      <c r="E43" s="282"/>
      <c r="F43" s="283"/>
      <c r="G43" s="3235"/>
    </row>
    <row r="44" spans="1:7" ht="13.5" customHeight="1">
      <c r="A44" s="954" t="s">
        <v>793</v>
      </c>
      <c r="B44" s="259" t="s">
        <v>2410</v>
      </c>
      <c r="C44" s="282">
        <f ca="1">ROUND(IF('数据-取费表'!B22&lt;=1,C40*F22*'数据-取费表'!B20/2,C40*(POWER((1+F22),'数据-取费表'!B20/2)-1)),4)</f>
        <v>2.2000000000000001E-3</v>
      </c>
      <c r="D44" s="282"/>
      <c r="E44" s="282"/>
      <c r="F44" s="283"/>
      <c r="G44" s="3236"/>
    </row>
    <row r="45" spans="1:7" s="258" customFormat="1" ht="13.5" customHeight="1">
      <c r="A45" s="299" t="s">
        <v>2411</v>
      </c>
      <c r="B45" s="288" t="s">
        <v>2377</v>
      </c>
      <c r="C45" s="289">
        <f ca="1">C46</f>
        <v>12421758</v>
      </c>
      <c r="D45" s="279">
        <f ca="1">C47</f>
        <v>6.0000000000000001E-3</v>
      </c>
      <c r="E45" s="280" t="s">
        <v>2403</v>
      </c>
      <c r="F45" s="290"/>
      <c r="G45" s="291" t="s">
        <v>2412</v>
      </c>
    </row>
    <row r="46" spans="1:7" s="258" customFormat="1" ht="13.5" customHeight="1">
      <c r="A46" s="954" t="s">
        <v>791</v>
      </c>
      <c r="B46" s="292" t="s">
        <v>2413</v>
      </c>
      <c r="C46" s="293">
        <f ca="1">ROUND((C33+C39)*F27,0)</f>
        <v>12421758</v>
      </c>
      <c r="D46" s="307"/>
      <c r="E46" s="280"/>
      <c r="F46" s="290"/>
      <c r="G46" s="291"/>
    </row>
    <row r="47" spans="1:7" s="258" customFormat="1" ht="13.5" customHeight="1">
      <c r="A47" s="954" t="s">
        <v>792</v>
      </c>
      <c r="B47" s="292" t="s">
        <v>2414</v>
      </c>
      <c r="C47" s="282">
        <f ca="1">ROUND(C40*F27,4)</f>
        <v>6.0000000000000001E-3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86965260</v>
      </c>
      <c r="D49" s="276"/>
      <c r="E49" s="276"/>
      <c r="F49" s="308"/>
      <c r="G49" s="278" t="s">
        <v>2418</v>
      </c>
    </row>
    <row r="50" spans="1:7" s="302" customFormat="1">
      <c r="A50" s="299" t="s">
        <v>2419</v>
      </c>
      <c r="B50" s="254" t="s">
        <v>2420</v>
      </c>
      <c r="C50" s="276"/>
      <c r="D50" s="276"/>
      <c r="E50" s="276"/>
      <c r="F50" s="308">
        <f>IF('数据-取费表'!B24=0,'数据-取费表'!N16,1)</f>
        <v>0.97</v>
      </c>
      <c r="G50" s="291"/>
    </row>
    <row r="51" spans="1:7" ht="16.5" customHeight="1">
      <c r="A51" s="299" t="s">
        <v>2422</v>
      </c>
      <c r="B51" s="254" t="s">
        <v>2457</v>
      </c>
      <c r="C51" s="276">
        <f ca="1">ROUND(C49*F50,0)</f>
        <v>84356302</v>
      </c>
      <c r="D51" s="276"/>
      <c r="E51" s="276"/>
      <c r="F51" s="308"/>
      <c r="G51" s="278" t="s">
        <v>2424</v>
      </c>
    </row>
    <row r="52" spans="1:7" s="252" customFormat="1" ht="16.5" thickBot="1">
      <c r="A52" s="309" t="s">
        <v>2425</v>
      </c>
      <c r="B52" s="310"/>
      <c r="C52" s="311">
        <f ca="1">C31+C51</f>
        <v>94349655</v>
      </c>
      <c r="D52" s="310"/>
      <c r="E52" s="310"/>
      <c r="F52" s="310"/>
      <c r="G52" s="312"/>
    </row>
    <row r="55" spans="1:7" ht="15">
      <c r="B55" s="314" t="s">
        <v>2426</v>
      </c>
      <c r="C55" s="315"/>
    </row>
    <row r="56" spans="1:7">
      <c r="B56" s="317" t="s">
        <v>1509</v>
      </c>
      <c r="C56" s="319">
        <f ca="1">1-C57</f>
        <v>0.10599999999999998</v>
      </c>
    </row>
    <row r="57" spans="1:7">
      <c r="B57" s="317" t="s">
        <v>1510</v>
      </c>
      <c r="C57" s="318">
        <f ca="1">ROUND(C51/C52,3)</f>
        <v>0.89400000000000002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2458</v>
      </c>
      <c r="B1" s="1584"/>
      <c r="C1" s="1585"/>
      <c r="D1" s="1583"/>
      <c r="E1" s="320"/>
      <c r="F1" s="320"/>
      <c r="G1" s="1584"/>
      <c r="H1" s="320"/>
      <c r="I1" s="320"/>
      <c r="J1" s="320"/>
      <c r="K1" s="320">
        <f>MATCH(C1,'数据-取费表'!A6:A16,0)+5</f>
        <v>7</v>
      </c>
    </row>
    <row r="2" spans="1:33" ht="18" customHeight="1">
      <c r="A2" s="245" t="s">
        <v>2326</v>
      </c>
      <c r="B2" s="248">
        <f ca="1">C32</f>
        <v>-344</v>
      </c>
      <c r="C2" s="320" t="s">
        <v>2459</v>
      </c>
      <c r="D2" s="320"/>
      <c r="E2" s="320"/>
      <c r="F2" s="320"/>
      <c r="G2" s="320"/>
      <c r="H2" s="320"/>
      <c r="I2" s="320"/>
      <c r="J2" s="320"/>
      <c r="K2" s="320"/>
    </row>
    <row r="3" spans="1:33" ht="18" customHeight="1" thickBot="1">
      <c r="A3" s="247" t="s">
        <v>2328</v>
      </c>
      <c r="B3" s="248">
        <f ca="1">ROUND(B2*10000/IF(C1="",'数据-汇总表'!E3,INDIRECT("'数据-取费表'!K"&amp;$K$1)),0)</f>
        <v>-168</v>
      </c>
      <c r="C3" s="320" t="s">
        <v>2460</v>
      </c>
      <c r="D3" s="320"/>
      <c r="E3" s="320"/>
      <c r="F3" s="320"/>
      <c r="G3" s="320"/>
      <c r="H3" s="320"/>
      <c r="I3" s="320"/>
      <c r="J3" s="320"/>
      <c r="K3" s="320"/>
    </row>
    <row r="4" spans="1:33" s="959" customFormat="1" ht="16.5" customHeight="1">
      <c r="A4" s="956" t="s">
        <v>2461</v>
      </c>
      <c r="B4" s="957"/>
      <c r="C4" s="999">
        <f>SUM(C8:K8)</f>
        <v>0</v>
      </c>
      <c r="D4" s="957"/>
      <c r="E4" s="957"/>
      <c r="F4" s="957"/>
      <c r="G4" s="957"/>
      <c r="H4" s="957"/>
      <c r="I4" s="957"/>
      <c r="J4" s="957"/>
      <c r="K4" s="958"/>
    </row>
    <row r="5" spans="1:33" s="963" customFormat="1" ht="24.75">
      <c r="A5" s="960" t="s">
        <v>2462</v>
      </c>
      <c r="B5" s="961" t="s">
        <v>2463</v>
      </c>
      <c r="C5" s="2559" t="s">
        <v>2464</v>
      </c>
      <c r="D5" s="2559" t="s">
        <v>2465</v>
      </c>
      <c r="E5" s="2559" t="s">
        <v>2466</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2467</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2470</v>
      </c>
      <c r="B8" s="177" t="s">
        <v>2471</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2472</v>
      </c>
      <c r="B9" s="957"/>
      <c r="C9" s="957"/>
      <c r="D9" s="957"/>
      <c r="E9" s="957"/>
      <c r="F9" s="957"/>
      <c r="G9" s="957"/>
      <c r="H9" s="957"/>
      <c r="I9" s="957"/>
      <c r="J9" s="957"/>
      <c r="K9" s="958"/>
    </row>
    <row r="10" spans="1:33" s="973" customFormat="1" ht="13.5" customHeight="1">
      <c r="A10" s="960" t="s">
        <v>2473</v>
      </c>
      <c r="B10" s="8" t="s">
        <v>2474</v>
      </c>
      <c r="C10" s="969" t="s">
        <v>2475</v>
      </c>
      <c r="D10" s="970" t="s">
        <v>2476</v>
      </c>
      <c r="E10" s="970" t="s">
        <v>2477</v>
      </c>
      <c r="F10" s="970" t="s">
        <v>2478</v>
      </c>
      <c r="G10" s="8"/>
      <c r="H10" s="971"/>
      <c r="I10" s="971"/>
      <c r="J10" s="971"/>
      <c r="K10" s="972"/>
    </row>
    <row r="11" spans="1:33" s="978" customFormat="1" ht="13.5" customHeight="1">
      <c r="A11" s="974" t="s">
        <v>1330</v>
      </c>
      <c r="B11" s="975" t="s">
        <v>2479</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2480</v>
      </c>
      <c r="C12" s="24">
        <f ca="1">ROUND(C11*F12,0)</f>
        <v>0</v>
      </c>
      <c r="D12" s="976"/>
      <c r="E12" s="375"/>
      <c r="F12" s="979">
        <f>'数据-取费表'!B33</f>
        <v>0.05</v>
      </c>
      <c r="G12" s="8" t="s">
        <v>2481</v>
      </c>
      <c r="H12" s="971"/>
      <c r="I12" s="971"/>
      <c r="J12" s="971"/>
      <c r="K12" s="972"/>
    </row>
    <row r="13" spans="1:33" s="978" customFormat="1" ht="13.5" customHeight="1">
      <c r="A13" s="974" t="s">
        <v>1332</v>
      </c>
      <c r="B13" s="975" t="s">
        <v>2482</v>
      </c>
      <c r="C13" s="24">
        <f ca="1">ROUND(IF(C1="",SUMIF('数据-取费表'!C:C,"住宅",'数据-取费表'!P:P)*F13,IF(INDIRECT("'数据-取费表'!c"&amp;$K$1)="住宅",INDIRECT("'数据-取费表'!P"&amp;$K$1)*F13,0)),0)</f>
        <v>0</v>
      </c>
      <c r="D13" s="1036"/>
      <c r="E13" s="375"/>
      <c r="F13" s="979">
        <f>'数据-取费表'!B34</f>
        <v>0</v>
      </c>
      <c r="G13" s="8" t="s">
        <v>2483</v>
      </c>
      <c r="H13" s="971"/>
      <c r="I13" s="971"/>
      <c r="J13" s="971"/>
      <c r="K13" s="972"/>
    </row>
    <row r="14" spans="1:33" s="980" customFormat="1" ht="13.5" customHeight="1">
      <c r="A14" s="974" t="s">
        <v>1333</v>
      </c>
      <c r="B14" s="975" t="s">
        <v>2484</v>
      </c>
      <c r="C14" s="24">
        <f ca="1">ROUND(D14*E14*F11/10000,0)</f>
        <v>0</v>
      </c>
      <c r="D14" s="1036">
        <f ca="1">IF(C1="",'数据-汇总表'!E3,INDIRECT("'数据-取费表'!K"&amp;$K$1)+INDIRECT("'数据-取费表'!S"&amp;$K$1))</f>
        <v>20447.539999999997</v>
      </c>
      <c r="E14" s="24">
        <f>'数据-取费表'!B35</f>
        <v>180</v>
      </c>
      <c r="F14" s="979"/>
      <c r="G14" s="8" t="s">
        <v>2485</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2486</v>
      </c>
      <c r="C15" s="986">
        <f ca="1">ROUND(C11*F15,0)</f>
        <v>0</v>
      </c>
      <c r="D15" s="981"/>
      <c r="E15" s="986"/>
      <c r="F15" s="987">
        <f>'数据-取费表'!B36</f>
        <v>1.4999999999999999E-2</v>
      </c>
      <c r="G15" s="140" t="s">
        <v>2487</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2488</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2489</v>
      </c>
      <c r="C17" s="24">
        <f ca="1">ROUND(D17*E17/10000,0)</f>
        <v>0</v>
      </c>
      <c r="D17" s="1036">
        <f ca="1">D14</f>
        <v>20447.539999999997</v>
      </c>
      <c r="E17" s="24">
        <f>'数据-取费表'!B32</f>
        <v>0</v>
      </c>
      <c r="F17" s="981"/>
      <c r="G17" s="140" t="s">
        <v>2490</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2491</v>
      </c>
      <c r="C18" s="24">
        <f ca="1">C19+C20-IF(C1="",'数据-取费表'!B29,IF(G18="已全部缴纳",C19+C20,H18))</f>
        <v>286</v>
      </c>
      <c r="D18" s="1036"/>
      <c r="E18" s="24"/>
      <c r="F18" s="979"/>
      <c r="G18" s="2561"/>
      <c r="H18" s="1580"/>
      <c r="I18" s="2562" t="s">
        <v>2492</v>
      </c>
      <c r="J18" s="982"/>
      <c r="K18" s="983"/>
    </row>
    <row r="19" spans="1:33" s="978" customFormat="1" ht="13.5" customHeight="1">
      <c r="A19" s="974" t="s">
        <v>805</v>
      </c>
      <c r="B19" s="975" t="s">
        <v>2493</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2494</v>
      </c>
      <c r="C20" s="24">
        <f ca="1">ROUND(D20*E20/10000,0)</f>
        <v>286</v>
      </c>
      <c r="D20" s="1036">
        <f ca="1">IF(C1="",'数据-汇总表'!E6,IF(INDIRECT("'数据-取费表'!c"&amp;$K$1)="住宅",INDIRECT("'数据-取费表'!s"&amp;$K$1),INDIRECT("'数据-取费表'!k"&amp;$K$1)+INDIRECT("'数据-取费表'!s"&amp;$K$1)))</f>
        <v>20447.539999999997</v>
      </c>
      <c r="E20" s="24">
        <f>'数据-取费表'!B28</f>
        <v>140</v>
      </c>
      <c r="F20" s="979"/>
      <c r="G20" s="15"/>
      <c r="H20" s="984"/>
      <c r="I20" s="984"/>
      <c r="J20" s="984"/>
      <c r="K20" s="985"/>
    </row>
    <row r="21" spans="1:33" s="978" customFormat="1" ht="13.5" customHeight="1">
      <c r="A21" s="964" t="s">
        <v>802</v>
      </c>
      <c r="B21" s="988" t="s">
        <v>2495</v>
      </c>
      <c r="C21" s="989">
        <f ca="1">C16+C17+C18</f>
        <v>286</v>
      </c>
      <c r="D21" s="990"/>
      <c r="E21" s="325"/>
      <c r="F21" s="325"/>
      <c r="G21" s="140" t="s">
        <v>2496</v>
      </c>
      <c r="H21" s="982"/>
      <c r="I21" s="982"/>
      <c r="J21" s="982"/>
      <c r="K21" s="983"/>
    </row>
    <row r="22" spans="1:33" s="978" customFormat="1" ht="13.5" customHeight="1">
      <c r="A22" s="964" t="s">
        <v>2468</v>
      </c>
      <c r="B22" s="988" t="s">
        <v>2497</v>
      </c>
      <c r="C22" s="989">
        <f ca="1">ROUND(C21*F22,0)</f>
        <v>9</v>
      </c>
      <c r="D22" s="325"/>
      <c r="E22" s="325"/>
      <c r="F22" s="991">
        <f>'数据-取费表'!B37</f>
        <v>0.03</v>
      </c>
      <c r="G22" s="8" t="s">
        <v>2498</v>
      </c>
      <c r="H22" s="971"/>
      <c r="I22" s="971"/>
      <c r="J22" s="971"/>
      <c r="K22" s="972"/>
    </row>
    <row r="23" spans="1:33" s="978" customFormat="1" ht="13.5" customHeight="1">
      <c r="A23" s="964" t="s">
        <v>2470</v>
      </c>
      <c r="B23" s="988" t="s">
        <v>2499</v>
      </c>
      <c r="C23" s="989">
        <f ca="1">ROUND(C4*F23*F11,0)</f>
        <v>0</v>
      </c>
      <c r="D23" s="325"/>
      <c r="E23" s="325"/>
      <c r="F23" s="991">
        <f>'数据-取费表'!B38</f>
        <v>0.03</v>
      </c>
      <c r="G23" s="8" t="s">
        <v>2500</v>
      </c>
      <c r="H23" s="971"/>
      <c r="I23" s="971"/>
      <c r="J23" s="971"/>
      <c r="K23" s="972"/>
    </row>
    <row r="24" spans="1:33" s="978" customFormat="1" ht="13.5" customHeight="1">
      <c r="A24" s="964" t="s">
        <v>2501</v>
      </c>
      <c r="B24" s="988" t="s">
        <v>2502</v>
      </c>
      <c r="C24" s="324">
        <f>ROUND(F24/(1+'数据-取费表'!C42),4)</f>
        <v>2.9000000000000001E-2</v>
      </c>
      <c r="D24" s="325" t="s">
        <v>15</v>
      </c>
      <c r="E24" s="325"/>
      <c r="F24" s="991">
        <f>'数据-取费表'!B48+'数据-取费表'!B49</f>
        <v>3.0499999999999999E-2</v>
      </c>
      <c r="G24" s="8" t="s">
        <v>2503</v>
      </c>
      <c r="H24" s="993"/>
      <c r="I24" s="993"/>
      <c r="J24" s="993"/>
      <c r="K24" s="994"/>
    </row>
    <row r="25" spans="1:33" s="978" customFormat="1" ht="13.5" customHeight="1">
      <c r="A25" s="964" t="s">
        <v>2504</v>
      </c>
      <c r="B25" s="990" t="s">
        <v>2505</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2506</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2507</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2508</v>
      </c>
      <c r="B28" s="2564" t="s">
        <v>2509</v>
      </c>
      <c r="C28" s="331">
        <f ca="1">C30</f>
        <v>59</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2510</v>
      </c>
      <c r="C29" s="328">
        <f ca="1">ROUND((1+C24)*F28*'数据-取费表'!B24/'数据-取费表'!B20,4)</f>
        <v>0</v>
      </c>
      <c r="D29" s="328"/>
      <c r="E29" s="329"/>
      <c r="F29" s="334"/>
      <c r="G29" s="140" t="s">
        <v>2511</v>
      </c>
      <c r="H29" s="982"/>
      <c r="I29" s="982"/>
      <c r="J29" s="982"/>
      <c r="K29" s="983"/>
    </row>
    <row r="30" spans="1:33" s="335" customFormat="1" ht="13.5" customHeight="1">
      <c r="A30" s="974" t="s">
        <v>804</v>
      </c>
      <c r="B30" s="997" t="s">
        <v>2512</v>
      </c>
      <c r="C30" s="336">
        <f ca="1">ROUND((C21+C22+C23)*F28,0)</f>
        <v>59</v>
      </c>
      <c r="D30" s="328"/>
      <c r="E30" s="329"/>
      <c r="F30" s="334"/>
      <c r="G30" s="140"/>
      <c r="H30" s="982"/>
      <c r="I30" s="982"/>
      <c r="J30" s="982"/>
      <c r="K30" s="983"/>
    </row>
    <row r="31" spans="1:33" s="978" customFormat="1" ht="13.5" customHeight="1" thickBot="1">
      <c r="A31" s="2565" t="s">
        <v>2513</v>
      </c>
      <c r="B31" s="1008" t="s">
        <v>2514</v>
      </c>
      <c r="C31" s="1009">
        <f>ROUND(C4*F31/(1+'数据-取费表'!C42),0)</f>
        <v>0</v>
      </c>
      <c r="D31" s="1010"/>
      <c r="E31" s="1011"/>
      <c r="F31" s="1012">
        <f>'数据-取费表'!B41</f>
        <v>5.6000000000000001E-2</v>
      </c>
      <c r="G31" s="1013" t="s">
        <v>2515</v>
      </c>
      <c r="H31" s="1014"/>
      <c r="I31" s="1014"/>
      <c r="J31" s="1014"/>
      <c r="K31" s="1015"/>
    </row>
    <row r="32" spans="1:33" s="973" customFormat="1" ht="13.5" customHeight="1" thickBot="1">
      <c r="A32" s="1003" t="s">
        <v>2516</v>
      </c>
      <c r="B32" s="1004"/>
      <c r="C32" s="1005">
        <f ca="1">ROUND((C4-C21-C22-C23-C25-C28-C31)/(1+C24+D25+D28),0)</f>
        <v>-344</v>
      </c>
      <c r="D32" s="1004"/>
      <c r="E32" s="1004"/>
      <c r="F32" s="1004"/>
      <c r="G32" s="1006" t="s">
        <v>2517</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40">
        <v>3</v>
      </c>
      <c r="C1" s="242"/>
      <c r="D1" s="242"/>
      <c r="E1" s="242"/>
      <c r="F1" s="242"/>
      <c r="G1" s="1382" t="e">
        <f>MATCH(B1,'数据-取费表'!A6:A16,0)+5</f>
        <v>#N/A</v>
      </c>
    </row>
    <row r="2" spans="1:9" s="244" customFormat="1" ht="18" customHeight="1">
      <c r="A2" s="245" t="s">
        <v>1390</v>
      </c>
      <c r="B2" s="246" t="e">
        <f ca="1">IF(D2="——",C52,C52-E2)</f>
        <v>#N/A</v>
      </c>
      <c r="C2" s="243" t="s">
        <v>2327</v>
      </c>
      <c r="D2" s="2552" t="s">
        <v>70</v>
      </c>
      <c r="E2" s="1443" t="e">
        <f ca="1">SUMIF(INDIRECT("'"&amp;G2&amp;"'"&amp;"!A:A"),"承租人权益价值",INDIRECT("'"&amp;G2&amp;"'"&amp;"!c:c"))</f>
        <v>#REF!</v>
      </c>
      <c r="F2" s="2553" t="s">
        <v>2327</v>
      </c>
      <c r="G2" s="2554"/>
    </row>
    <row r="3" spans="1:9" s="244" customFormat="1" ht="18" customHeight="1" thickBot="1">
      <c r="A3" s="247" t="s">
        <v>1391</v>
      </c>
      <c r="B3" s="248" t="e">
        <f ca="1">ROUND(B2*10000/(IF(B1="",'数据-汇总表'!E3,INDIRECT("'数据-取费表'!k"&amp;$G$1))),0)</f>
        <v>#N/A</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0</v>
      </c>
      <c r="D5" s="255" t="s">
        <v>2333</v>
      </c>
      <c r="E5" s="256" t="s">
        <v>2334</v>
      </c>
      <c r="F5" s="256" t="s">
        <v>2335</v>
      </c>
      <c r="G5" s="257"/>
    </row>
    <row r="6" spans="1:9" s="258" customFormat="1" ht="13.5" customHeight="1">
      <c r="A6" s="952" t="s">
        <v>791</v>
      </c>
      <c r="B6" s="259" t="s">
        <v>2337</v>
      </c>
      <c r="C6" s="260">
        <f>面积表!M24</f>
        <v>0</v>
      </c>
      <c r="D6" s="261"/>
      <c r="E6" s="262"/>
      <c r="F6" s="262"/>
      <c r="G6" s="263"/>
    </row>
    <row r="7" spans="1:9" s="258" customFormat="1" ht="13.5" customHeight="1">
      <c r="A7" s="952" t="s">
        <v>792</v>
      </c>
      <c r="B7" s="259" t="s">
        <v>2339</v>
      </c>
      <c r="C7" s="264">
        <f>ROUND(C6*F7,0)</f>
        <v>0</v>
      </c>
      <c r="D7" s="264"/>
      <c r="E7" s="262"/>
      <c r="F7" s="265">
        <f>'数据-取费表'!B48+'数据-取费表'!B49</f>
        <v>3.0499999999999999E-2</v>
      </c>
      <c r="G7" s="263"/>
    </row>
    <row r="8" spans="1:9" s="267" customFormat="1">
      <c r="A8" s="952" t="s">
        <v>793</v>
      </c>
      <c r="B8" s="259" t="s">
        <v>2341</v>
      </c>
      <c r="C8" s="264">
        <f>IF(G8="已包含在土地购买价格中","0",IF(B1="",'数据-取费表'!B29,IF(G9="全部缴纳",C9+C10,H9)))</f>
        <v>0</v>
      </c>
      <c r="D8" s="266"/>
      <c r="E8" s="264"/>
      <c r="F8" s="265"/>
      <c r="G8" s="2555"/>
    </row>
    <row r="9" spans="1:9" s="258" customFormat="1" ht="13.5" customHeight="1">
      <c r="A9" s="953" t="s">
        <v>800</v>
      </c>
      <c r="B9" s="268" t="s">
        <v>2342</v>
      </c>
      <c r="C9" s="269" t="e">
        <f ca="1">ROUND(D9*E9/10000,0)</f>
        <v>#N/A</v>
      </c>
      <c r="D9" s="1035" t="e">
        <f ca="1">IF(B1="",'数据-汇总表'!E5,IF(INDIRECT("'数据-取费表'!c"&amp;$G$1)="住宅",INDIRECT("'数据-取费表'!k"&amp;$G$1),0))</f>
        <v>#N/A</v>
      </c>
      <c r="E9" s="269">
        <f>'数据-取费表'!B27</f>
        <v>0</v>
      </c>
      <c r="F9" s="265"/>
      <c r="G9" s="2556"/>
      <c r="H9" s="1393"/>
      <c r="I9" s="2557" t="s">
        <v>2343</v>
      </c>
    </row>
    <row r="10" spans="1:9" s="258" customFormat="1" ht="13.5" customHeight="1">
      <c r="A10" s="953" t="s">
        <v>801</v>
      </c>
      <c r="B10" s="268" t="s">
        <v>2344</v>
      </c>
      <c r="C10" s="269" t="e">
        <f ca="1">ROUND(D10*E10/10000,0)</f>
        <v>#N/A</v>
      </c>
      <c r="D10" s="1035" t="e">
        <f ca="1">IF(B1="",'数据-汇总表'!E6,IF(INDIRECT("'数据-取费表'!c"&amp;$G$1)="住宅",INDIRECT("'数据-取费表'!s"&amp;$G$1),INDIRECT("'数据-取费表'!k"&amp;$G$1)+INDIRECT("'数据-取费表'!s"&amp;$G$1)))</f>
        <v>#N/A</v>
      </c>
      <c r="E10" s="269">
        <f>'数据-取费表'!B28</f>
        <v>140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2341</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2341</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t="e">
        <f ca="1">IF(G19="已包含在土地取得成本中","0",ROUND(D19*E19/10000,0))</f>
        <v>#N/A</v>
      </c>
      <c r="D19" s="1039" t="e">
        <f ca="1">D9+D10</f>
        <v>#N/A</v>
      </c>
      <c r="E19" s="255">
        <f>'数据-取费表'!B31</f>
        <v>180</v>
      </c>
      <c r="F19" s="275"/>
      <c r="G19" s="2555"/>
    </row>
    <row r="20" spans="1:7" s="258" customFormat="1" ht="13.5" customHeight="1">
      <c r="A20" s="299" t="s">
        <v>2357</v>
      </c>
      <c r="B20" s="254" t="s">
        <v>2358</v>
      </c>
      <c r="C20" s="276" t="e">
        <f ca="1">ROUND((C5+C19)*F20,0)</f>
        <v>#N/A</v>
      </c>
      <c r="D20" s="276"/>
      <c r="E20" s="276"/>
      <c r="F20" s="277">
        <f>'数据-取费表'!B37</f>
        <v>0.03</v>
      </c>
      <c r="G20" s="278" t="s">
        <v>2359</v>
      </c>
    </row>
    <row r="21" spans="1:7" s="258" customFormat="1" ht="13.5" customHeight="1">
      <c r="A21" s="299" t="s">
        <v>2360</v>
      </c>
      <c r="B21" s="254" t="s">
        <v>2361</v>
      </c>
      <c r="C21" s="279">
        <f>F21</f>
        <v>0.03</v>
      </c>
      <c r="D21" s="280" t="s">
        <v>2362</v>
      </c>
      <c r="E21" s="276"/>
      <c r="F21" s="277">
        <f>'数据-取费表'!B38</f>
        <v>0.03</v>
      </c>
      <c r="G21" s="278" t="s">
        <v>2363</v>
      </c>
    </row>
    <row r="22" spans="1:7" s="258" customFormat="1" ht="13.5" customHeight="1">
      <c r="A22" s="299" t="s">
        <v>2364</v>
      </c>
      <c r="B22" s="254" t="s">
        <v>2365</v>
      </c>
      <c r="C22" s="1357" t="e">
        <f ca="1">ROUND(SUM(C23:C25),0)</f>
        <v>#N/A</v>
      </c>
      <c r="D22" s="279">
        <f ca="1">C26</f>
        <v>2.2000000000000001E-3</v>
      </c>
      <c r="E22" s="280" t="s">
        <v>2362</v>
      </c>
      <c r="F22" s="281">
        <f ca="1">'数据-取费表'!B40</f>
        <v>4.7500000000000001E-2</v>
      </c>
      <c r="G22" s="278" t="str">
        <f>IF('数据-取费表'!B22&lt;=1,"单利计息","复利计息")</f>
        <v>复利计息</v>
      </c>
    </row>
    <row r="23" spans="1:7" s="258" customFormat="1" ht="13.5" customHeight="1">
      <c r="A23" s="954" t="s">
        <v>791</v>
      </c>
      <c r="B23" s="259" t="s">
        <v>2367</v>
      </c>
      <c r="C23" s="1358">
        <f ca="1">ROUND(IF('数据-取费表'!B22&lt;=1,C5*F22*'数据-取费表'!B23,C5*(POWER((1+F22),'数据-取费表'!B23)-1)),0)</f>
        <v>0</v>
      </c>
      <c r="D23" s="282"/>
      <c r="E23" s="282"/>
      <c r="F23" s="283"/>
      <c r="G23" s="284" t="s">
        <v>2368</v>
      </c>
    </row>
    <row r="24" spans="1:7" s="258" customFormat="1" ht="13.5" customHeight="1">
      <c r="A24" s="954" t="s">
        <v>792</v>
      </c>
      <c r="B24" s="259" t="s">
        <v>2370</v>
      </c>
      <c r="C24" s="1358" t="e">
        <f ca="1">ROUND(IF('数据-取费表'!B22&lt;=1,C19*F22*('数据-取费表'!B19/2+'数据-取费表'!B21),C19*(POWER((1+F22),('数据-取费表'!B19/2+'数据-取费表'!B21))-1)),0)</f>
        <v>#N/A</v>
      </c>
      <c r="D24" s="282"/>
      <c r="E24" s="282"/>
      <c r="F24" s="283"/>
      <c r="G24" s="284" t="s">
        <v>2371</v>
      </c>
    </row>
    <row r="25" spans="1:7" s="258" customFormat="1" ht="24">
      <c r="A25" s="954" t="s">
        <v>793</v>
      </c>
      <c r="B25" s="259" t="s">
        <v>2373</v>
      </c>
      <c r="C25" s="1358" t="e">
        <f ca="1">ROUND(IF('数据-取费表'!B22&lt;=1,C20*F22*'数据-取费表'!B23/2,C20*(POWER((1+F22),'数据-取费表'!B23/2)-1)),0)</f>
        <v>#N/A</v>
      </c>
      <c r="D25" s="282"/>
      <c r="E25" s="285"/>
      <c r="F25" s="283"/>
      <c r="G25" s="286" t="s">
        <v>2374</v>
      </c>
    </row>
    <row r="26" spans="1:7" s="258" customFormat="1">
      <c r="A26" s="954" t="s">
        <v>795</v>
      </c>
      <c r="B26" s="259" t="s">
        <v>2375</v>
      </c>
      <c r="C26" s="282">
        <f ca="1">ROUND(IF('数据-取费表'!B22&lt;=1,F21*F22*'数据-取费表'!B23/2,F21*(POWER((1+F22),'数据-取费表'!B23/2)-1)),4)</f>
        <v>2.2000000000000001E-3</v>
      </c>
      <c r="D26" s="282"/>
      <c r="E26" s="285"/>
      <c r="F26" s="283"/>
      <c r="G26" s="287"/>
    </row>
    <row r="27" spans="1:7" s="258" customFormat="1" ht="24.75">
      <c r="A27" s="299" t="s">
        <v>2376</v>
      </c>
      <c r="B27" s="288" t="s">
        <v>2377</v>
      </c>
      <c r="C27" s="289" t="e">
        <f ca="1">C28</f>
        <v>#N/A</v>
      </c>
      <c r="D27" s="279" t="e">
        <f ca="1">C29</f>
        <v>#N/A</v>
      </c>
      <c r="E27" s="280" t="s">
        <v>2362</v>
      </c>
      <c r="F27" s="290" t="e">
        <f ca="1">IF(B1="",'数据-取费表'!Q16,INDIRECT("'数据-取费表'!q"&amp;$G$1))</f>
        <v>#N/A</v>
      </c>
      <c r="G27" s="291" t="s">
        <v>2379</v>
      </c>
    </row>
    <row r="28" spans="1:7" s="258" customFormat="1" ht="13.5" customHeight="1">
      <c r="A28" s="954" t="s">
        <v>791</v>
      </c>
      <c r="B28" s="292" t="s">
        <v>2380</v>
      </c>
      <c r="C28" s="293" t="e">
        <f ca="1">ROUND((C5+C19+C20)*F27*'数据-取费表'!B21/'数据-取费表'!B20,0)</f>
        <v>#N/A</v>
      </c>
      <c r="D28" s="279"/>
      <c r="E28" s="280"/>
      <c r="F28" s="290"/>
      <c r="G28" s="291"/>
    </row>
    <row r="29" spans="1:7" s="258" customFormat="1" ht="13.5" customHeight="1">
      <c r="A29" s="954" t="s">
        <v>792</v>
      </c>
      <c r="B29" s="292" t="s">
        <v>2381</v>
      </c>
      <c r="C29" s="282" t="e">
        <f ca="1">ROUND(C21*F27*'数据-取费表'!B21/'数据-取费表'!B20,4)</f>
        <v>#N/A</v>
      </c>
      <c r="D29" s="279"/>
      <c r="E29" s="280"/>
      <c r="F29" s="290"/>
      <c r="G29" s="291"/>
    </row>
    <row r="30" spans="1:7" s="258" customFormat="1" ht="13.5" customHeight="1">
      <c r="A30" s="299" t="s">
        <v>2382</v>
      </c>
      <c r="B30" s="254" t="s">
        <v>2383</v>
      </c>
      <c r="C30" s="279">
        <f>ROUND(F30/(1+'数据-取费表'!C42),4)</f>
        <v>5.33E-2</v>
      </c>
      <c r="D30" s="280" t="s">
        <v>2362</v>
      </c>
      <c r="E30" s="285"/>
      <c r="F30" s="281">
        <f>'数据-取费表'!B41</f>
        <v>5.6000000000000001E-2</v>
      </c>
      <c r="G30" s="278" t="s">
        <v>2384</v>
      </c>
    </row>
    <row r="31" spans="1:7" ht="16.5" customHeight="1">
      <c r="A31" s="253">
        <v>1</v>
      </c>
      <c r="B31" s="254" t="s">
        <v>2385</v>
      </c>
      <c r="C31" s="255" t="e">
        <f ca="1">ROUND((C5+C19+C20+C22+C27)/(1-C21-D22-D27-C30),0)</f>
        <v>#N/A</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t="e">
        <f ca="1">SUM(C34:C38)</f>
        <v>#N/A</v>
      </c>
      <c r="D33" s="276"/>
      <c r="E33" s="256"/>
      <c r="F33" s="285"/>
      <c r="G33" s="278"/>
    </row>
    <row r="34" spans="1:7" s="302" customFormat="1" ht="13.5" customHeight="1">
      <c r="A34" s="954" t="s">
        <v>791</v>
      </c>
      <c r="B34" s="259" t="s">
        <v>2389</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2390</v>
      </c>
    </row>
    <row r="35" spans="1:7" ht="13.5" customHeight="1">
      <c r="A35" s="954" t="s">
        <v>796</v>
      </c>
      <c r="B35" s="259" t="s">
        <v>2391</v>
      </c>
      <c r="C35" s="264" t="e">
        <f ca="1">ROUND(C34*F35,0)</f>
        <v>#N/A</v>
      </c>
      <c r="D35" s="264"/>
      <c r="E35" s="264"/>
      <c r="F35" s="303">
        <f>'数据-取费表'!B33</f>
        <v>0.05</v>
      </c>
      <c r="G35" s="263" t="s">
        <v>2392</v>
      </c>
    </row>
    <row r="36" spans="1:7" ht="24">
      <c r="A36" s="954" t="s">
        <v>797</v>
      </c>
      <c r="B36" s="259" t="s">
        <v>2393</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v>
      </c>
      <c r="G36" s="304" t="s">
        <v>2394</v>
      </c>
    </row>
    <row r="37" spans="1:7" s="302" customFormat="1" ht="13.5" customHeight="1">
      <c r="A37" s="954" t="s">
        <v>798</v>
      </c>
      <c r="B37" s="259" t="s">
        <v>2395</v>
      </c>
      <c r="C37" s="293" t="e">
        <f ca="1">ROUND(E37*D37*F34/10000,0)</f>
        <v>#N/A</v>
      </c>
      <c r="D37" s="261" t="e">
        <f ca="1">D19</f>
        <v>#N/A</v>
      </c>
      <c r="E37" s="293">
        <f>'数据-取费表'!B35</f>
        <v>180</v>
      </c>
      <c r="F37" s="303"/>
      <c r="G37" s="305" t="s">
        <v>2396</v>
      </c>
    </row>
    <row r="38" spans="1:7" ht="13.5" customHeight="1">
      <c r="A38" s="954" t="s">
        <v>799</v>
      </c>
      <c r="B38" s="259" t="s">
        <v>2397</v>
      </c>
      <c r="C38" s="264" t="e">
        <f ca="1">ROUND(C34*F38,0)</f>
        <v>#N/A</v>
      </c>
      <c r="D38" s="264"/>
      <c r="E38" s="264"/>
      <c r="F38" s="303">
        <f>'数据-取费表'!B36</f>
        <v>1.4999999999999999E-2</v>
      </c>
      <c r="G38" s="263" t="s">
        <v>2392</v>
      </c>
    </row>
    <row r="39" spans="1:7" s="258" customFormat="1" ht="13.5" customHeight="1">
      <c r="A39" s="299" t="s">
        <v>2355</v>
      </c>
      <c r="B39" s="254" t="s">
        <v>2358</v>
      </c>
      <c r="C39" s="276" t="e">
        <f ca="1">ROUND(C33*F20,0)</f>
        <v>#N/A</v>
      </c>
      <c r="D39" s="276"/>
      <c r="E39" s="276"/>
      <c r="F39" s="277"/>
      <c r="G39" s="278" t="s">
        <v>2400</v>
      </c>
    </row>
    <row r="40" spans="1:7" s="258" customFormat="1" ht="13.5" customHeight="1">
      <c r="A40" s="299" t="s">
        <v>2357</v>
      </c>
      <c r="B40" s="254" t="s">
        <v>2361</v>
      </c>
      <c r="C40" s="1731">
        <f>F21</f>
        <v>0.03</v>
      </c>
      <c r="D40" s="280" t="s">
        <v>2403</v>
      </c>
      <c r="E40" s="276"/>
      <c r="F40" s="277"/>
      <c r="G40" s="278" t="s">
        <v>2404</v>
      </c>
    </row>
    <row r="41" spans="1:7" s="258" customFormat="1" ht="13.5" customHeight="1">
      <c r="A41" s="299" t="s">
        <v>2360</v>
      </c>
      <c r="B41" s="254" t="s">
        <v>2365</v>
      </c>
      <c r="C41" s="276" t="e">
        <f ca="1">ROUND(SUM(C42:C43),0)</f>
        <v>#N/A</v>
      </c>
      <c r="D41" s="279">
        <f ca="1">C44</f>
        <v>2.2000000000000001E-3</v>
      </c>
      <c r="E41" s="280" t="s">
        <v>2403</v>
      </c>
      <c r="F41" s="281"/>
      <c r="G41" s="278" t="str">
        <f>IF('数据-取费表'!B22&lt;=1,"单利计息","复利计息")</f>
        <v>复利计息</v>
      </c>
    </row>
    <row r="42" spans="1:7" ht="13.5" customHeight="1">
      <c r="A42" s="954" t="s">
        <v>791</v>
      </c>
      <c r="B42" s="259" t="s">
        <v>2367</v>
      </c>
      <c r="C42" s="282" t="e">
        <f ca="1">ROUND(IF('数据-取费表'!B22&lt;=1,C33*F22*'数据-取费表'!B21/2,C33*(POWER((1+F22),'数据-取费表'!B21/2)-1)),0)</f>
        <v>#N/A</v>
      </c>
      <c r="D42" s="282"/>
      <c r="E42" s="282"/>
      <c r="F42" s="283"/>
      <c r="G42" s="3234" t="s">
        <v>2408</v>
      </c>
    </row>
    <row r="43" spans="1:7" ht="13.5" customHeight="1">
      <c r="A43" s="954" t="s">
        <v>792</v>
      </c>
      <c r="B43" s="259" t="s">
        <v>2370</v>
      </c>
      <c r="C43" s="282" t="e">
        <f ca="1">ROUND(IF('数据-取费表'!B22&lt;=1,C39*F22*'数据-取费表'!B21/2,C39*(POWER((1+F22),'数据-取费表'!B21/2)-1)),0)</f>
        <v>#N/A</v>
      </c>
      <c r="D43" s="282"/>
      <c r="E43" s="282"/>
      <c r="F43" s="283"/>
      <c r="G43" s="3235"/>
    </row>
    <row r="44" spans="1:7" ht="13.5" customHeight="1">
      <c r="A44" s="954" t="s">
        <v>793</v>
      </c>
      <c r="B44" s="259" t="s">
        <v>2373</v>
      </c>
      <c r="C44" s="282">
        <f ca="1">ROUND(IF('数据-取费表'!B22&lt;=1,C40*F22*'数据-取费表'!B21/2,C40*(POWER((1+F22),'数据-取费表'!B21/2)-1)),4)</f>
        <v>2.2000000000000001E-3</v>
      </c>
      <c r="D44" s="282"/>
      <c r="E44" s="282"/>
      <c r="F44" s="283"/>
      <c r="G44" s="3236"/>
    </row>
    <row r="45" spans="1:7" s="258" customFormat="1" ht="13.5" customHeight="1">
      <c r="A45" s="299" t="s">
        <v>2364</v>
      </c>
      <c r="B45" s="288" t="s">
        <v>2377</v>
      </c>
      <c r="C45" s="289" t="e">
        <f ca="1">C46</f>
        <v>#N/A</v>
      </c>
      <c r="D45" s="279" t="e">
        <f ca="1">C47</f>
        <v>#N/A</v>
      </c>
      <c r="E45" s="280" t="s">
        <v>2403</v>
      </c>
      <c r="F45" s="290"/>
      <c r="G45" s="291" t="s">
        <v>2412</v>
      </c>
    </row>
    <row r="46" spans="1:7" s="258" customFormat="1" ht="13.5" customHeight="1">
      <c r="A46" s="954" t="s">
        <v>791</v>
      </c>
      <c r="B46" s="292" t="s">
        <v>2413</v>
      </c>
      <c r="C46" s="293" t="e">
        <f ca="1">ROUND((C33+C39)*F27,0)</f>
        <v>#N/A</v>
      </c>
      <c r="D46" s="307"/>
      <c r="E46" s="280"/>
      <c r="F46" s="290"/>
      <c r="G46" s="291"/>
    </row>
    <row r="47" spans="1:7" s="258" customFormat="1" ht="13.5" customHeight="1">
      <c r="A47" s="954" t="s">
        <v>792</v>
      </c>
      <c r="B47" s="292" t="s">
        <v>2414</v>
      </c>
      <c r="C47" s="282" t="e">
        <f ca="1">ROUND(C40*F27,4)</f>
        <v>#N/A</v>
      </c>
      <c r="D47" s="307"/>
      <c r="E47" s="280"/>
      <c r="F47" s="290"/>
      <c r="G47" s="291"/>
    </row>
    <row r="48" spans="1:7" s="258" customFormat="1" ht="13.5" customHeight="1">
      <c r="A48" s="299" t="s">
        <v>2376</v>
      </c>
      <c r="B48" s="254" t="s">
        <v>2415</v>
      </c>
      <c r="C48" s="1731">
        <f>ROUND(F30/(1+'数据-取费表'!C42),4)</f>
        <v>5.33E-2</v>
      </c>
      <c r="D48" s="280" t="s">
        <v>2403</v>
      </c>
      <c r="E48" s="276"/>
      <c r="F48" s="281"/>
      <c r="G48" s="278" t="s">
        <v>2416</v>
      </c>
    </row>
    <row r="49" spans="1:7" ht="16.5" customHeight="1">
      <c r="A49" s="299" t="s">
        <v>2382</v>
      </c>
      <c r="B49" s="254" t="s">
        <v>2417</v>
      </c>
      <c r="C49" s="276" t="e">
        <f ca="1">ROUND((C33+C39+C41+C45)/(1-C40-D41-D45-C48),0)</f>
        <v>#N/A</v>
      </c>
      <c r="D49" s="276"/>
      <c r="E49" s="276"/>
      <c r="F49" s="308"/>
      <c r="G49" s="278" t="s">
        <v>2418</v>
      </c>
    </row>
    <row r="50" spans="1:7" s="302" customFormat="1" ht="24">
      <c r="A50" s="299" t="s">
        <v>2419</v>
      </c>
      <c r="B50" s="254" t="s">
        <v>2420</v>
      </c>
      <c r="C50" s="276"/>
      <c r="D50" s="276"/>
      <c r="E50" s="276"/>
      <c r="F50" s="308">
        <f>IF('数据-取费表'!B24=0,'数据-取费表'!N16,1)</f>
        <v>0.97</v>
      </c>
      <c r="G50" s="291" t="s">
        <v>2421</v>
      </c>
    </row>
    <row r="51" spans="1:7" ht="16.5" customHeight="1">
      <c r="A51" s="299" t="s">
        <v>2422</v>
      </c>
      <c r="B51" s="254" t="s">
        <v>2423</v>
      </c>
      <c r="C51" s="276" t="e">
        <f ca="1">ROUND(C49*F50,0)</f>
        <v>#N/A</v>
      </c>
      <c r="D51" s="276"/>
      <c r="E51" s="276"/>
      <c r="F51" s="308"/>
      <c r="G51" s="278" t="s">
        <v>2424</v>
      </c>
    </row>
    <row r="52" spans="1:7" s="252" customFormat="1" ht="16.5" thickBot="1">
      <c r="A52" s="309" t="s">
        <v>2425</v>
      </c>
      <c r="B52" s="310"/>
      <c r="C52" s="311" t="e">
        <f ca="1">C31+C51</f>
        <v>#N/A</v>
      </c>
      <c r="D52" s="310"/>
      <c r="E52" s="310"/>
      <c r="F52" s="310"/>
      <c r="G52" s="312"/>
    </row>
    <row r="55" spans="1:7" ht="15">
      <c r="B55" s="314" t="s">
        <v>2426</v>
      </c>
      <c r="C55" s="315"/>
    </row>
    <row r="56" spans="1:7">
      <c r="B56" s="317" t="s">
        <v>1509</v>
      </c>
      <c r="C56" s="319" t="e">
        <f ca="1">1-C57</f>
        <v>#N/A</v>
      </c>
    </row>
    <row r="57" spans="1:7">
      <c r="B57" s="317" t="s">
        <v>1510</v>
      </c>
      <c r="C57" s="318"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40">
        <v>7</v>
      </c>
      <c r="C1" s="242"/>
      <c r="D1" s="242"/>
      <c r="E1" s="242"/>
      <c r="F1" s="242"/>
      <c r="G1" s="1382" t="e">
        <f>MATCH(B1,'数据-取费表'!A6:A16,0)+5</f>
        <v>#N/A</v>
      </c>
    </row>
    <row r="2" spans="1:9" s="244" customFormat="1" ht="18" customHeight="1">
      <c r="A2" s="245" t="s">
        <v>1390</v>
      </c>
      <c r="B2" s="246" t="e">
        <f ca="1">IF(D2="——",C52,C52-E2)</f>
        <v>#N/A</v>
      </c>
      <c r="C2" s="243" t="s">
        <v>2327</v>
      </c>
      <c r="D2" s="2552" t="s">
        <v>70</v>
      </c>
      <c r="E2" s="1443" t="e">
        <f ca="1">SUMIF(INDIRECT("'"&amp;G2&amp;"'"&amp;"!A:A"),"承租人权益价值",INDIRECT("'"&amp;G2&amp;"'"&amp;"!c:c"))</f>
        <v>#REF!</v>
      </c>
      <c r="F2" s="2553" t="s">
        <v>2327</v>
      </c>
      <c r="G2" s="2554"/>
    </row>
    <row r="3" spans="1:9" s="244" customFormat="1" ht="18" customHeight="1" thickBot="1">
      <c r="A3" s="247" t="s">
        <v>1391</v>
      </c>
      <c r="B3" s="248" t="e">
        <f ca="1">ROUND(B2*10000/(IF(B1="",'数据-汇总表'!E3,INDIRECT("'数据-取费表'!k"&amp;$G$1))),0)</f>
        <v>#N/A</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0</v>
      </c>
      <c r="D5" s="255" t="s">
        <v>2333</v>
      </c>
      <c r="E5" s="256" t="s">
        <v>2334</v>
      </c>
      <c r="F5" s="256" t="s">
        <v>2335</v>
      </c>
      <c r="G5" s="257"/>
    </row>
    <row r="6" spans="1:9" s="258" customFormat="1" ht="13.5" customHeight="1">
      <c r="A6" s="952" t="s">
        <v>791</v>
      </c>
      <c r="B6" s="259" t="s">
        <v>2337</v>
      </c>
      <c r="C6" s="260">
        <f>面积表!M25</f>
        <v>0</v>
      </c>
      <c r="D6" s="261"/>
      <c r="E6" s="262"/>
      <c r="F6" s="262"/>
      <c r="G6" s="263"/>
    </row>
    <row r="7" spans="1:9" s="258" customFormat="1" ht="13.5" customHeight="1">
      <c r="A7" s="952" t="s">
        <v>792</v>
      </c>
      <c r="B7" s="259" t="s">
        <v>2339</v>
      </c>
      <c r="C7" s="264">
        <f>ROUND(C6*F7,0)</f>
        <v>0</v>
      </c>
      <c r="D7" s="264"/>
      <c r="E7" s="262"/>
      <c r="F7" s="265">
        <f>'数据-取费表'!B48+'数据-取费表'!B49</f>
        <v>3.0499999999999999E-2</v>
      </c>
      <c r="G7" s="263"/>
    </row>
    <row r="8" spans="1:9" s="267" customFormat="1">
      <c r="A8" s="952" t="s">
        <v>793</v>
      </c>
      <c r="B8" s="259" t="s">
        <v>2341</v>
      </c>
      <c r="C8" s="264">
        <f>IF(G8="已包含在土地购买价格中","0",IF(B1="",'数据-取费表'!B29,IF(G9="全部缴纳",C9+C10,H9)))</f>
        <v>0</v>
      </c>
      <c r="D8" s="266"/>
      <c r="E8" s="264"/>
      <c r="F8" s="265"/>
      <c r="G8" s="2555"/>
    </row>
    <row r="9" spans="1:9" s="258" customFormat="1" ht="13.5" customHeight="1">
      <c r="A9" s="953" t="s">
        <v>800</v>
      </c>
      <c r="B9" s="268" t="s">
        <v>2342</v>
      </c>
      <c r="C9" s="269" t="e">
        <f ca="1">ROUND(D9*E9/10000,0)</f>
        <v>#N/A</v>
      </c>
      <c r="D9" s="1035" t="e">
        <f ca="1">IF(B1="",'数据-汇总表'!E5,IF(INDIRECT("'数据-取费表'!c"&amp;$G$1)="住宅",INDIRECT("'数据-取费表'!k"&amp;$G$1),0))</f>
        <v>#N/A</v>
      </c>
      <c r="E9" s="269">
        <f>'数据-取费表'!B27</f>
        <v>0</v>
      </c>
      <c r="F9" s="265"/>
      <c r="G9" s="2556"/>
      <c r="H9" s="1393"/>
      <c r="I9" s="2557" t="s">
        <v>2343</v>
      </c>
    </row>
    <row r="10" spans="1:9" s="258" customFormat="1" ht="13.5" customHeight="1">
      <c r="A10" s="953" t="s">
        <v>801</v>
      </c>
      <c r="B10" s="268" t="s">
        <v>2344</v>
      </c>
      <c r="C10" s="269" t="e">
        <f ca="1">ROUND(D10*E10/10000,0)</f>
        <v>#N/A</v>
      </c>
      <c r="D10" s="1035" t="e">
        <f ca="1">IF(B1="",'数据-汇总表'!E6,IF(INDIRECT("'数据-取费表'!c"&amp;$G$1)="住宅",INDIRECT("'数据-取费表'!s"&amp;$G$1),INDIRECT("'数据-取费表'!k"&amp;$G$1)+INDIRECT("'数据-取费表'!s"&amp;$G$1)))</f>
        <v>#N/A</v>
      </c>
      <c r="E10" s="269">
        <f>'数据-取费表'!B28</f>
        <v>140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2341</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2341</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t="e">
        <f ca="1">IF(G19="已包含在土地取得成本中","0",ROUND(D19*E19/10000,0))</f>
        <v>#N/A</v>
      </c>
      <c r="D19" s="1039" t="e">
        <f ca="1">D9+D10</f>
        <v>#N/A</v>
      </c>
      <c r="E19" s="255">
        <f>'数据-取费表'!B31</f>
        <v>180</v>
      </c>
      <c r="F19" s="275"/>
      <c r="G19" s="2555"/>
    </row>
    <row r="20" spans="1:7" s="258" customFormat="1" ht="13.5" customHeight="1">
      <c r="A20" s="299" t="s">
        <v>2357</v>
      </c>
      <c r="B20" s="254" t="s">
        <v>2358</v>
      </c>
      <c r="C20" s="276" t="e">
        <f ca="1">ROUND((C5+C19)*F20,0)</f>
        <v>#N/A</v>
      </c>
      <c r="D20" s="276"/>
      <c r="E20" s="276"/>
      <c r="F20" s="277">
        <f>'数据-取费表'!B37</f>
        <v>0.03</v>
      </c>
      <c r="G20" s="278" t="s">
        <v>2359</v>
      </c>
    </row>
    <row r="21" spans="1:7" s="258" customFormat="1" ht="13.5" customHeight="1">
      <c r="A21" s="299" t="s">
        <v>2360</v>
      </c>
      <c r="B21" s="254" t="s">
        <v>2361</v>
      </c>
      <c r="C21" s="279">
        <f>F21</f>
        <v>0.03</v>
      </c>
      <c r="D21" s="280" t="s">
        <v>2362</v>
      </c>
      <c r="E21" s="276"/>
      <c r="F21" s="277">
        <f>'数据-取费表'!B38</f>
        <v>0.03</v>
      </c>
      <c r="G21" s="278" t="s">
        <v>2363</v>
      </c>
    </row>
    <row r="22" spans="1:7" s="258" customFormat="1" ht="13.5" customHeight="1">
      <c r="A22" s="299" t="s">
        <v>2364</v>
      </c>
      <c r="B22" s="254" t="s">
        <v>2365</v>
      </c>
      <c r="C22" s="1357" t="e">
        <f ca="1">ROUND(SUM(C23:C25),0)</f>
        <v>#N/A</v>
      </c>
      <c r="D22" s="279">
        <f ca="1">C26</f>
        <v>2.2000000000000001E-3</v>
      </c>
      <c r="E22" s="280" t="s">
        <v>2362</v>
      </c>
      <c r="F22" s="281">
        <f ca="1">'数据-取费表'!B40</f>
        <v>4.7500000000000001E-2</v>
      </c>
      <c r="G22" s="278" t="str">
        <f>IF('数据-取费表'!B22&lt;=1,"单利计息","复利计息")</f>
        <v>复利计息</v>
      </c>
    </row>
    <row r="23" spans="1:7" s="258" customFormat="1" ht="13.5" customHeight="1">
      <c r="A23" s="954" t="s">
        <v>791</v>
      </c>
      <c r="B23" s="259" t="s">
        <v>2367</v>
      </c>
      <c r="C23" s="1358">
        <f ca="1">ROUND(IF('数据-取费表'!B22&lt;=1,C5*F22*'数据-取费表'!B23,C5*(POWER((1+F22),'数据-取费表'!B23)-1)),0)</f>
        <v>0</v>
      </c>
      <c r="D23" s="282"/>
      <c r="E23" s="282"/>
      <c r="F23" s="283"/>
      <c r="G23" s="284" t="s">
        <v>2368</v>
      </c>
    </row>
    <row r="24" spans="1:7" s="258" customFormat="1" ht="13.5" customHeight="1">
      <c r="A24" s="954" t="s">
        <v>792</v>
      </c>
      <c r="B24" s="259" t="s">
        <v>2370</v>
      </c>
      <c r="C24" s="1358" t="e">
        <f ca="1">ROUND(IF('数据-取费表'!B22&lt;=1,C19*F22*('数据-取费表'!B19/2+'数据-取费表'!B21),C19*(POWER((1+F22),('数据-取费表'!B19/2+'数据-取费表'!B21))-1)),0)</f>
        <v>#N/A</v>
      </c>
      <c r="D24" s="282"/>
      <c r="E24" s="282"/>
      <c r="F24" s="283"/>
      <c r="G24" s="284" t="s">
        <v>2371</v>
      </c>
    </row>
    <row r="25" spans="1:7" s="258" customFormat="1" ht="24">
      <c r="A25" s="954" t="s">
        <v>793</v>
      </c>
      <c r="B25" s="259" t="s">
        <v>2373</v>
      </c>
      <c r="C25" s="1358" t="e">
        <f ca="1">ROUND(IF('数据-取费表'!B22&lt;=1,C20*F22*'数据-取费表'!B23/2,C20*(POWER((1+F22),'数据-取费表'!B23/2)-1)),0)</f>
        <v>#N/A</v>
      </c>
      <c r="D25" s="282"/>
      <c r="E25" s="285"/>
      <c r="F25" s="283"/>
      <c r="G25" s="286" t="s">
        <v>2374</v>
      </c>
    </row>
    <row r="26" spans="1:7" s="258" customFormat="1">
      <c r="A26" s="954" t="s">
        <v>795</v>
      </c>
      <c r="B26" s="259" t="s">
        <v>2375</v>
      </c>
      <c r="C26" s="282">
        <f ca="1">ROUND(IF('数据-取费表'!B22&lt;=1,F21*F22*'数据-取费表'!B23/2,F21*(POWER((1+F22),'数据-取费表'!B23/2)-1)),4)</f>
        <v>2.2000000000000001E-3</v>
      </c>
      <c r="D26" s="282"/>
      <c r="E26" s="285"/>
      <c r="F26" s="283"/>
      <c r="G26" s="287"/>
    </row>
    <row r="27" spans="1:7" s="258" customFormat="1" ht="24.75">
      <c r="A27" s="299" t="s">
        <v>2376</v>
      </c>
      <c r="B27" s="288" t="s">
        <v>2377</v>
      </c>
      <c r="C27" s="289" t="e">
        <f ca="1">C28</f>
        <v>#N/A</v>
      </c>
      <c r="D27" s="279" t="e">
        <f ca="1">C29</f>
        <v>#N/A</v>
      </c>
      <c r="E27" s="280" t="s">
        <v>2362</v>
      </c>
      <c r="F27" s="290" t="e">
        <f ca="1">IF(B1="",'数据-取费表'!Q16,INDIRECT("'数据-取费表'!q"&amp;$G$1))</f>
        <v>#N/A</v>
      </c>
      <c r="G27" s="291" t="s">
        <v>2379</v>
      </c>
    </row>
    <row r="28" spans="1:7" s="258" customFormat="1" ht="13.5" customHeight="1">
      <c r="A28" s="954" t="s">
        <v>791</v>
      </c>
      <c r="B28" s="292" t="s">
        <v>2380</v>
      </c>
      <c r="C28" s="293" t="e">
        <f ca="1">ROUND((C5+C19+C20)*F27*'数据-取费表'!B21/'数据-取费表'!B20,0)</f>
        <v>#N/A</v>
      </c>
      <c r="D28" s="279"/>
      <c r="E28" s="280"/>
      <c r="F28" s="290"/>
      <c r="G28" s="291"/>
    </row>
    <row r="29" spans="1:7" s="258" customFormat="1" ht="13.5" customHeight="1">
      <c r="A29" s="954" t="s">
        <v>792</v>
      </c>
      <c r="B29" s="292" t="s">
        <v>2381</v>
      </c>
      <c r="C29" s="282" t="e">
        <f ca="1">ROUND(C21*F27*'数据-取费表'!B21/'数据-取费表'!B20,4)</f>
        <v>#N/A</v>
      </c>
      <c r="D29" s="279"/>
      <c r="E29" s="280"/>
      <c r="F29" s="290"/>
      <c r="G29" s="291"/>
    </row>
    <row r="30" spans="1:7" s="258" customFormat="1" ht="13.5" customHeight="1">
      <c r="A30" s="299" t="s">
        <v>2382</v>
      </c>
      <c r="B30" s="254" t="s">
        <v>2383</v>
      </c>
      <c r="C30" s="279">
        <f>ROUND(F30/(1+'数据-取费表'!C42),4)</f>
        <v>5.33E-2</v>
      </c>
      <c r="D30" s="280" t="s">
        <v>2362</v>
      </c>
      <c r="E30" s="285"/>
      <c r="F30" s="281">
        <f>'数据-取费表'!B41</f>
        <v>5.6000000000000001E-2</v>
      </c>
      <c r="G30" s="278" t="s">
        <v>2384</v>
      </c>
    </row>
    <row r="31" spans="1:7" ht="16.5" customHeight="1">
      <c r="A31" s="253">
        <v>1</v>
      </c>
      <c r="B31" s="254" t="s">
        <v>2385</v>
      </c>
      <c r="C31" s="255" t="e">
        <f ca="1">ROUND((C5+C19+C20+C22+C27)/(1-C21-D22-D27-C30),0)</f>
        <v>#N/A</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t="e">
        <f ca="1">SUM(C34:C38)</f>
        <v>#N/A</v>
      </c>
      <c r="D33" s="276"/>
      <c r="E33" s="256"/>
      <c r="F33" s="285"/>
      <c r="G33" s="278"/>
    </row>
    <row r="34" spans="1:7" s="302" customFormat="1" ht="13.5" customHeight="1">
      <c r="A34" s="954" t="s">
        <v>791</v>
      </c>
      <c r="B34" s="259" t="s">
        <v>2389</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2390</v>
      </c>
    </row>
    <row r="35" spans="1:7" ht="13.5" customHeight="1">
      <c r="A35" s="954" t="s">
        <v>796</v>
      </c>
      <c r="B35" s="259" t="s">
        <v>2391</v>
      </c>
      <c r="C35" s="264" t="e">
        <f ca="1">ROUND(C34*F35,0)</f>
        <v>#N/A</v>
      </c>
      <c r="D35" s="264"/>
      <c r="E35" s="264"/>
      <c r="F35" s="303">
        <f>'数据-取费表'!B33</f>
        <v>0.05</v>
      </c>
      <c r="G35" s="263" t="s">
        <v>2392</v>
      </c>
    </row>
    <row r="36" spans="1:7" ht="24">
      <c r="A36" s="954" t="s">
        <v>797</v>
      </c>
      <c r="B36" s="259" t="s">
        <v>2393</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v>
      </c>
      <c r="G36" s="304" t="s">
        <v>2394</v>
      </c>
    </row>
    <row r="37" spans="1:7" s="302" customFormat="1" ht="13.5" customHeight="1">
      <c r="A37" s="954" t="s">
        <v>798</v>
      </c>
      <c r="B37" s="259" t="s">
        <v>2395</v>
      </c>
      <c r="C37" s="293" t="e">
        <f ca="1">ROUND(E37*D37*F34/10000,0)</f>
        <v>#N/A</v>
      </c>
      <c r="D37" s="261" t="e">
        <f ca="1">D19</f>
        <v>#N/A</v>
      </c>
      <c r="E37" s="293">
        <f>'数据-取费表'!B35</f>
        <v>180</v>
      </c>
      <c r="F37" s="303"/>
      <c r="G37" s="305" t="s">
        <v>2396</v>
      </c>
    </row>
    <row r="38" spans="1:7" ht="13.5" customHeight="1">
      <c r="A38" s="954" t="s">
        <v>799</v>
      </c>
      <c r="B38" s="259" t="s">
        <v>2397</v>
      </c>
      <c r="C38" s="264" t="e">
        <f ca="1">ROUND(C34*F38,0)</f>
        <v>#N/A</v>
      </c>
      <c r="D38" s="264"/>
      <c r="E38" s="264"/>
      <c r="F38" s="303">
        <f>'数据-取费表'!B36</f>
        <v>1.4999999999999999E-2</v>
      </c>
      <c r="G38" s="263" t="s">
        <v>2392</v>
      </c>
    </row>
    <row r="39" spans="1:7" s="258" customFormat="1" ht="13.5" customHeight="1">
      <c r="A39" s="299" t="s">
        <v>2355</v>
      </c>
      <c r="B39" s="254" t="s">
        <v>2358</v>
      </c>
      <c r="C39" s="276" t="e">
        <f ca="1">ROUND(C33*F20,0)</f>
        <v>#N/A</v>
      </c>
      <c r="D39" s="276"/>
      <c r="E39" s="276"/>
      <c r="F39" s="277"/>
      <c r="G39" s="278" t="s">
        <v>2400</v>
      </c>
    </row>
    <row r="40" spans="1:7" s="258" customFormat="1" ht="13.5" customHeight="1">
      <c r="A40" s="299" t="s">
        <v>2357</v>
      </c>
      <c r="B40" s="254" t="s">
        <v>2361</v>
      </c>
      <c r="C40" s="1731">
        <f>F21</f>
        <v>0.03</v>
      </c>
      <c r="D40" s="280" t="s">
        <v>2403</v>
      </c>
      <c r="E40" s="276"/>
      <c r="F40" s="277"/>
      <c r="G40" s="278" t="s">
        <v>2404</v>
      </c>
    </row>
    <row r="41" spans="1:7" s="258" customFormat="1" ht="13.5" customHeight="1">
      <c r="A41" s="299" t="s">
        <v>2360</v>
      </c>
      <c r="B41" s="254" t="s">
        <v>2365</v>
      </c>
      <c r="C41" s="276" t="e">
        <f ca="1">ROUND(SUM(C42:C43),0)</f>
        <v>#N/A</v>
      </c>
      <c r="D41" s="279">
        <f ca="1">C44</f>
        <v>2.2000000000000001E-3</v>
      </c>
      <c r="E41" s="280" t="s">
        <v>2403</v>
      </c>
      <c r="F41" s="281"/>
      <c r="G41" s="278" t="str">
        <f>IF('数据-取费表'!B22&lt;=1,"单利计息","复利计息")</f>
        <v>复利计息</v>
      </c>
    </row>
    <row r="42" spans="1:7" ht="13.5" customHeight="1">
      <c r="A42" s="954" t="s">
        <v>791</v>
      </c>
      <c r="B42" s="259" t="s">
        <v>2367</v>
      </c>
      <c r="C42" s="282" t="e">
        <f ca="1">ROUND(IF('数据-取费表'!B22&lt;=1,C33*F22*'数据-取费表'!B21/2,C33*(POWER((1+F22),'数据-取费表'!B21/2)-1)),0)</f>
        <v>#N/A</v>
      </c>
      <c r="D42" s="282"/>
      <c r="E42" s="282"/>
      <c r="F42" s="283"/>
      <c r="G42" s="3234" t="s">
        <v>2408</v>
      </c>
    </row>
    <row r="43" spans="1:7" ht="13.5" customHeight="1">
      <c r="A43" s="954" t="s">
        <v>792</v>
      </c>
      <c r="B43" s="259" t="s">
        <v>2370</v>
      </c>
      <c r="C43" s="282" t="e">
        <f ca="1">ROUND(IF('数据-取费表'!B22&lt;=1,C39*F22*'数据-取费表'!B21/2,C39*(POWER((1+F22),'数据-取费表'!B21/2)-1)),0)</f>
        <v>#N/A</v>
      </c>
      <c r="D43" s="282"/>
      <c r="E43" s="282"/>
      <c r="F43" s="283"/>
      <c r="G43" s="3235"/>
    </row>
    <row r="44" spans="1:7" ht="13.5" customHeight="1">
      <c r="A44" s="954" t="s">
        <v>793</v>
      </c>
      <c r="B44" s="259" t="s">
        <v>2373</v>
      </c>
      <c r="C44" s="282">
        <f ca="1">ROUND(IF('数据-取费表'!B22&lt;=1,C40*F22*'数据-取费表'!B21/2,C40*(POWER((1+F22),'数据-取费表'!B21/2)-1)),4)</f>
        <v>2.2000000000000001E-3</v>
      </c>
      <c r="D44" s="282"/>
      <c r="E44" s="282"/>
      <c r="F44" s="283"/>
      <c r="G44" s="3236"/>
    </row>
    <row r="45" spans="1:7" s="258" customFormat="1" ht="13.5" customHeight="1">
      <c r="A45" s="299" t="s">
        <v>2364</v>
      </c>
      <c r="B45" s="288" t="s">
        <v>2377</v>
      </c>
      <c r="C45" s="289" t="e">
        <f ca="1">C46</f>
        <v>#N/A</v>
      </c>
      <c r="D45" s="279" t="e">
        <f ca="1">C47</f>
        <v>#N/A</v>
      </c>
      <c r="E45" s="280" t="s">
        <v>2403</v>
      </c>
      <c r="F45" s="290"/>
      <c r="G45" s="291" t="s">
        <v>2412</v>
      </c>
    </row>
    <row r="46" spans="1:7" s="258" customFormat="1" ht="13.5" customHeight="1">
      <c r="A46" s="954" t="s">
        <v>791</v>
      </c>
      <c r="B46" s="292" t="s">
        <v>2413</v>
      </c>
      <c r="C46" s="293" t="e">
        <f ca="1">ROUND((C33+C39)*F27,0)</f>
        <v>#N/A</v>
      </c>
      <c r="D46" s="307"/>
      <c r="E46" s="280"/>
      <c r="F46" s="290"/>
      <c r="G46" s="291"/>
    </row>
    <row r="47" spans="1:7" s="258" customFormat="1" ht="13.5" customHeight="1">
      <c r="A47" s="954" t="s">
        <v>792</v>
      </c>
      <c r="B47" s="292" t="s">
        <v>2414</v>
      </c>
      <c r="C47" s="282" t="e">
        <f ca="1">ROUND(C40*F27,4)</f>
        <v>#N/A</v>
      </c>
      <c r="D47" s="307"/>
      <c r="E47" s="280"/>
      <c r="F47" s="290"/>
      <c r="G47" s="291"/>
    </row>
    <row r="48" spans="1:7" s="258" customFormat="1" ht="13.5" customHeight="1">
      <c r="A48" s="299" t="s">
        <v>2376</v>
      </c>
      <c r="B48" s="254" t="s">
        <v>2415</v>
      </c>
      <c r="C48" s="1731">
        <f>ROUND(F30/(1+'数据-取费表'!C42),4)</f>
        <v>5.33E-2</v>
      </c>
      <c r="D48" s="280" t="s">
        <v>2403</v>
      </c>
      <c r="E48" s="276"/>
      <c r="F48" s="281"/>
      <c r="G48" s="278" t="s">
        <v>2416</v>
      </c>
    </row>
    <row r="49" spans="1:7" ht="16.5" customHeight="1">
      <c r="A49" s="299" t="s">
        <v>2382</v>
      </c>
      <c r="B49" s="254" t="s">
        <v>2417</v>
      </c>
      <c r="C49" s="276" t="e">
        <f ca="1">ROUND((C33+C39+C41+C45)/(1-C40-D41-D45-C48),0)</f>
        <v>#N/A</v>
      </c>
      <c r="D49" s="276"/>
      <c r="E49" s="276"/>
      <c r="F49" s="308"/>
      <c r="G49" s="278" t="s">
        <v>2418</v>
      </c>
    </row>
    <row r="50" spans="1:7" s="302" customFormat="1" ht="24">
      <c r="A50" s="299" t="s">
        <v>2419</v>
      </c>
      <c r="B50" s="254" t="s">
        <v>2420</v>
      </c>
      <c r="C50" s="276"/>
      <c r="D50" s="276"/>
      <c r="E50" s="276"/>
      <c r="F50" s="308">
        <f>IF('数据-取费表'!B24=0,'数据-取费表'!N16,1)</f>
        <v>0.97</v>
      </c>
      <c r="G50" s="291" t="s">
        <v>2421</v>
      </c>
    </row>
    <row r="51" spans="1:7" ht="16.5" customHeight="1">
      <c r="A51" s="299" t="s">
        <v>2422</v>
      </c>
      <c r="B51" s="254" t="s">
        <v>2423</v>
      </c>
      <c r="C51" s="276" t="e">
        <f ca="1">ROUND(C49*F50,0)</f>
        <v>#N/A</v>
      </c>
      <c r="D51" s="276"/>
      <c r="E51" s="276"/>
      <c r="F51" s="308"/>
      <c r="G51" s="278" t="s">
        <v>2424</v>
      </c>
    </row>
    <row r="52" spans="1:7" s="252" customFormat="1" ht="16.5" thickBot="1">
      <c r="A52" s="309" t="s">
        <v>2425</v>
      </c>
      <c r="B52" s="310"/>
      <c r="C52" s="311" t="e">
        <f ca="1">C31+C51</f>
        <v>#N/A</v>
      </c>
      <c r="D52" s="310"/>
      <c r="E52" s="310"/>
      <c r="F52" s="310"/>
      <c r="G52" s="312"/>
    </row>
    <row r="55" spans="1:7" ht="15">
      <c r="B55" s="314" t="s">
        <v>2426</v>
      </c>
      <c r="C55" s="315"/>
    </row>
    <row r="56" spans="1:7">
      <c r="B56" s="317" t="s">
        <v>1509</v>
      </c>
      <c r="C56" s="319" t="e">
        <f ca="1">1-C57</f>
        <v>#N/A</v>
      </c>
    </row>
    <row r="57" spans="1:7">
      <c r="B57" s="317" t="s">
        <v>1510</v>
      </c>
      <c r="C57" s="318"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0" zoomScale="70" zoomScaleNormal="70" zoomScaleSheetLayoutView="90" workbookViewId="0">
      <selection activeCell="C10" sqref="C1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t="s">
        <v>4197</v>
      </c>
      <c r="D1" s="1823" t="s">
        <v>70</v>
      </c>
      <c r="E1" s="1824" t="s">
        <v>1383</v>
      </c>
      <c r="F1" s="1286">
        <f ca="1">J53</f>
        <v>34.4</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23324</v>
      </c>
      <c r="C2" s="1848" t="s">
        <v>1512</v>
      </c>
      <c r="D2" s="1848"/>
      <c r="E2" s="1849"/>
      <c r="F2" s="1850"/>
      <c r="G2" s="1851"/>
      <c r="H2" s="1843"/>
      <c r="I2" s="1843"/>
      <c r="J2" s="1843"/>
      <c r="K2" s="1844"/>
      <c r="L2" s="1843"/>
      <c r="M2" s="1843"/>
    </row>
    <row r="3" spans="1:37" ht="18" customHeight="1" thickBot="1">
      <c r="A3" s="1852" t="s">
        <v>1513</v>
      </c>
      <c r="B3" s="1853">
        <f ca="1">IF(ISERROR(B2*10000/F43),0,ROUND(B2*10000/F43,0))</f>
        <v>11407</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1480</v>
      </c>
      <c r="D5" s="1825" t="s">
        <v>1398</v>
      </c>
      <c r="E5" s="1296"/>
      <c r="F5" s="1297"/>
      <c r="G5" s="1854"/>
      <c r="H5" s="344">
        <v>1</v>
      </c>
      <c r="I5" s="345" t="s">
        <v>1397</v>
      </c>
      <c r="J5" s="1295">
        <f ca="1">J6+J10+J12</f>
        <v>0</v>
      </c>
      <c r="K5" s="1825" t="s">
        <v>1398</v>
      </c>
      <c r="L5" s="1296"/>
      <c r="M5" s="1297"/>
    </row>
    <row r="6" spans="1:37" ht="18" customHeight="1">
      <c r="A6" s="1294" t="s">
        <v>1032</v>
      </c>
      <c r="B6" s="3239" t="s">
        <v>1399</v>
      </c>
      <c r="C6" s="1299">
        <f ca="1">ROUND(F6*F8*F7*(1-F9)/10000,0)</f>
        <v>1478</v>
      </c>
      <c r="D6" s="164" t="s">
        <v>3032</v>
      </c>
      <c r="E6" s="347" t="s">
        <v>1401</v>
      </c>
      <c r="F6" s="348">
        <f ca="1">INDIRECT("'数据-取费表'!u"&amp;$G$1)</f>
        <v>2.2000000000000002</v>
      </c>
      <c r="G6" s="1854"/>
      <c r="H6" s="1294" t="s">
        <v>1032</v>
      </c>
      <c r="I6" s="3239" t="s">
        <v>1399</v>
      </c>
      <c r="J6" s="346">
        <f ca="1">ROUND(M6*M8*M7*(1-M9)/10000,0)</f>
        <v>0</v>
      </c>
      <c r="K6" s="164" t="s">
        <v>3031</v>
      </c>
      <c r="L6" s="347" t="s">
        <v>1401</v>
      </c>
      <c r="M6" s="348">
        <f ca="1">INDIRECT("'数据-取费表'!z"&amp;$G$1)</f>
        <v>0</v>
      </c>
    </row>
    <row r="7" spans="1:37" ht="18" customHeight="1">
      <c r="A7" s="1298"/>
      <c r="B7" s="3240"/>
      <c r="C7" s="1300"/>
      <c r="D7" s="352"/>
      <c r="E7" s="1301" t="s">
        <v>1402</v>
      </c>
      <c r="F7" s="348">
        <f ca="1">IF(INDIRECT("'数据-取费表'!ah"&amp;$G$1)="",INDIRECT("'数据-取费表'!k"&amp;$G$1),INDIRECT("'数据-取费表'!ah"&amp;$G$1))</f>
        <v>20447.539999999997</v>
      </c>
      <c r="G7" s="1854"/>
      <c r="H7" s="349"/>
      <c r="I7" s="3240"/>
      <c r="J7" s="351"/>
      <c r="K7" s="352"/>
      <c r="L7" s="347" t="s">
        <v>1402</v>
      </c>
      <c r="M7" s="348">
        <f ca="1">F7</f>
        <v>20447.539999999997</v>
      </c>
    </row>
    <row r="8" spans="1:37" ht="18" customHeight="1">
      <c r="A8" s="349"/>
      <c r="B8" s="3240"/>
      <c r="C8" s="351"/>
      <c r="D8" s="352"/>
      <c r="E8" s="347" t="s">
        <v>1403</v>
      </c>
      <c r="F8" s="348">
        <f ca="1">INDIRECT("'数据-取费表'!ai"&amp;$G$1)</f>
        <v>365</v>
      </c>
      <c r="G8" s="1854"/>
      <c r="H8" s="349"/>
      <c r="I8" s="3240"/>
      <c r="J8" s="351"/>
      <c r="K8" s="352"/>
      <c r="L8" s="347" t="s">
        <v>1403</v>
      </c>
      <c r="M8" s="348">
        <f ca="1">INDIRECT("'数据-取费表'!ai"&amp;$G$1)</f>
        <v>365</v>
      </c>
    </row>
    <row r="9" spans="1:37" ht="18" customHeight="1">
      <c r="A9" s="349"/>
      <c r="B9" s="3241"/>
      <c r="C9" s="351"/>
      <c r="D9" s="352"/>
      <c r="E9" s="347" t="s">
        <v>1404</v>
      </c>
      <c r="F9" s="357">
        <f ca="1">INDIRECT("'数据-取费表'!w"&amp;$G$1)</f>
        <v>0.1</v>
      </c>
      <c r="G9" s="1854"/>
      <c r="H9" s="349"/>
      <c r="I9" s="3241"/>
      <c r="J9" s="351"/>
      <c r="K9" s="352"/>
      <c r="L9" s="358" t="s">
        <v>1404</v>
      </c>
      <c r="M9" s="359">
        <f ca="1">INDIRECT("'数据-取费表'!ab"&amp;$G$1)</f>
        <v>0</v>
      </c>
    </row>
    <row r="10" spans="1:37" ht="18" customHeight="1">
      <c r="A10" s="1294" t="s">
        <v>1036</v>
      </c>
      <c r="B10" s="1826" t="s">
        <v>1405</v>
      </c>
      <c r="C10" s="361">
        <f ca="1">ROUND(IF(F10="押一",C6/12*F11,IF(F10="押二",C6/12*2*F11,IF(F10="押三",C6/12*3*F11,C11*F11))),0)</f>
        <v>2</v>
      </c>
      <c r="D10" s="1827" t="s">
        <v>3041</v>
      </c>
      <c r="E10" s="358" t="s">
        <v>1406</v>
      </c>
      <c r="F10" s="1369" t="s">
        <v>3365</v>
      </c>
      <c r="G10" s="1854"/>
      <c r="H10" s="1294" t="s">
        <v>1036</v>
      </c>
      <c r="I10" s="1826" t="s">
        <v>1405</v>
      </c>
      <c r="J10" s="346">
        <f ca="1">ROUND(IF(M10="押一",J6/12*M11,IF(M10="押二",J6/12*2*M11,IF(M10="押三",J6/12*3*M11,J11*M11))),0)</f>
        <v>0</v>
      </c>
      <c r="K10" s="1827" t="s">
        <v>3040</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8436</v>
      </c>
      <c r="D13" s="1334" t="s">
        <v>1411</v>
      </c>
      <c r="E13" s="1334" t="s">
        <v>1412</v>
      </c>
      <c r="F13" s="1335">
        <f ca="1">INDIRECT("'数据-取费表'!y"&amp;$G$1)</f>
        <v>0.97</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5316</v>
      </c>
      <c r="D14" s="1803" t="s">
        <v>1414</v>
      </c>
      <c r="E14" s="1797"/>
      <c r="F14" s="364"/>
      <c r="G14" s="1854"/>
      <c r="H14" s="1204" t="s">
        <v>1032</v>
      </c>
      <c r="I14" s="347" t="s">
        <v>1415</v>
      </c>
      <c r="J14" s="24">
        <f ca="1">C29</f>
        <v>8697</v>
      </c>
      <c r="K14" s="15"/>
      <c r="L14" s="982"/>
      <c r="M14" s="983"/>
    </row>
    <row r="15" spans="1:37" s="1861" customFormat="1" ht="18" customHeight="1" thickBot="1">
      <c r="A15" s="1204" t="s">
        <v>1033</v>
      </c>
      <c r="B15" s="347" t="s">
        <v>1416</v>
      </c>
      <c r="C15" s="24">
        <f ca="1">ROUND(C14*F15,0)</f>
        <v>266</v>
      </c>
      <c r="D15" s="365" t="s">
        <v>1417</v>
      </c>
      <c r="E15" s="365" t="s">
        <v>1418</v>
      </c>
      <c r="F15" s="366">
        <f>'数据-取费表'!B33</f>
        <v>0.05</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224</v>
      </c>
      <c r="K16" s="1340" t="s">
        <v>1421</v>
      </c>
      <c r="L16" s="1341"/>
      <c r="M16" s="1297"/>
    </row>
    <row r="17" spans="1:37" s="1861" customFormat="1" ht="18" customHeight="1">
      <c r="A17" s="1204" t="s">
        <v>1386</v>
      </c>
      <c r="B17" s="347" t="s">
        <v>1422</v>
      </c>
      <c r="C17" s="24">
        <f ca="1">ROUND(F17*(F43+INDIRECT("'数据-取费表'!S"&amp;$G$1))/10000,0)</f>
        <v>368</v>
      </c>
      <c r="D17" s="347" t="s">
        <v>1423</v>
      </c>
      <c r="E17" s="347" t="s">
        <v>1424</v>
      </c>
      <c r="F17" s="26">
        <f>'数据-取费表'!B35</f>
        <v>180</v>
      </c>
      <c r="G17" s="1857"/>
      <c r="H17" s="1204" t="s">
        <v>1032</v>
      </c>
      <c r="I17" s="347" t="s">
        <v>1425</v>
      </c>
      <c r="J17" s="24">
        <f ca="1">ROUND(IF(项目基本情况!B11="自然人",J5*M17,J18+J19+J20),1)</f>
        <v>93.2</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80</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6030</v>
      </c>
      <c r="D19" s="140" t="s">
        <v>1432</v>
      </c>
      <c r="E19" s="1821"/>
      <c r="F19" s="26"/>
      <c r="G19" s="1854"/>
      <c r="H19" s="1204" t="s">
        <v>1033</v>
      </c>
      <c r="I19" s="347" t="s">
        <v>1433</v>
      </c>
      <c r="J19" s="24">
        <f ca="1">IF(K19="按租金收入计税",ROUND(J5*M19,2),ROUND(C29*M19*0.7,2))</f>
        <v>73.05</v>
      </c>
      <c r="K19" s="1831" t="s">
        <v>1434</v>
      </c>
      <c r="L19" s="347" t="s">
        <v>1418</v>
      </c>
      <c r="M19" s="367">
        <f>IF(K19="按租金收入计税",'数据-取费表'!B51,'数据-取费表'!B50)</f>
        <v>1.2E-2</v>
      </c>
    </row>
    <row r="20" spans="1:37" s="1861" customFormat="1" ht="18" customHeight="1">
      <c r="A20" s="1204" t="s">
        <v>1036</v>
      </c>
      <c r="B20" s="347" t="s">
        <v>1435</v>
      </c>
      <c r="C20" s="24">
        <f ca="1">ROUND(C19*F20,0)</f>
        <v>181</v>
      </c>
      <c r="D20" s="369" t="s">
        <v>1436</v>
      </c>
      <c r="E20" s="347" t="s">
        <v>1418</v>
      </c>
      <c r="F20" s="367">
        <f>'数据-取费表'!B37</f>
        <v>0.03</v>
      </c>
      <c r="G20" s="1857"/>
      <c r="H20" s="1204" t="s">
        <v>1385</v>
      </c>
      <c r="I20" s="164" t="s">
        <v>1437</v>
      </c>
      <c r="J20" s="25">
        <f ca="1">ROUND(M20*M21/10000,2)</f>
        <v>20.170000000000002</v>
      </c>
      <c r="K20" s="370" t="s">
        <v>1438</v>
      </c>
      <c r="L20" s="347" t="s">
        <v>1439</v>
      </c>
      <c r="M20" s="371">
        <f>'数据-取费表'!B52</f>
        <v>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0.03</v>
      </c>
      <c r="G21" s="1857"/>
      <c r="H21" s="372"/>
      <c r="I21" s="356"/>
      <c r="J21" s="29"/>
      <c r="K21" s="373"/>
      <c r="L21" s="347" t="s">
        <v>1443</v>
      </c>
      <c r="M21" s="348">
        <f ca="1">INDIRECT("'数据-取费表'!r"&amp;$G$1)</f>
        <v>40347.69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ROUND(J14*M22,1)</f>
        <v>130.5</v>
      </c>
      <c r="K22" s="1801" t="s">
        <v>1446</v>
      </c>
      <c r="L22" s="347" t="s">
        <v>1418</v>
      </c>
      <c r="M22" s="374">
        <f ca="1">INDIRECT("'数据-取费表'!Ak"&amp;$G$1)</f>
        <v>1.4999999999999999E-2</v>
      </c>
    </row>
    <row r="23" spans="1:37" s="1861" customFormat="1" ht="18" customHeight="1">
      <c r="A23" s="1204" t="s">
        <v>1031</v>
      </c>
      <c r="B23" s="347" t="s">
        <v>1447</v>
      </c>
      <c r="C23" s="24">
        <f ca="1">IF('数据-取费表'!B22&lt;=1,ROUND(C19*F24*F23/2,0)+ROUND(C20*F24*F23/2,0),ROUND(C19*(POWER((1+F24),F23/2)-1),0)+ROUND(C20*(POWER((1+F24),F23/2)-1),0))</f>
        <v>448</v>
      </c>
      <c r="D23" s="375" t="str">
        <f>IF(F23&lt;=1,"(建造成本+管理费用)×利率×(建设周期÷2)","(建造成本+管理费用)×((1+利率)^(建设周期÷2)-1)")</f>
        <v>(建造成本+管理费用)×((1+利率)^(建设周期÷2)-1)</v>
      </c>
      <c r="E23" s="347" t="s">
        <v>1448</v>
      </c>
      <c r="F23" s="371">
        <f>'数据-取费表'!B20</f>
        <v>3</v>
      </c>
      <c r="G23" s="1857"/>
      <c r="H23" s="1204" t="s">
        <v>1072</v>
      </c>
      <c r="I23" s="347" t="s">
        <v>1449</v>
      </c>
      <c r="J23" s="24">
        <f ca="1">ROUND(J13*M23,1)</f>
        <v>0</v>
      </c>
      <c r="K23" s="1801" t="s">
        <v>1450</v>
      </c>
      <c r="L23" s="347" t="s">
        <v>1451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2.2000000000000001E-3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-224</v>
      </c>
      <c r="K25" s="1348" t="s">
        <v>1460</v>
      </c>
      <c r="L25" s="1349"/>
      <c r="M25" s="1350"/>
    </row>
    <row r="26" spans="1:37">
      <c r="A26" s="1204" t="s">
        <v>1031</v>
      </c>
      <c r="B26" s="347" t="s">
        <v>1461</v>
      </c>
      <c r="C26" s="24">
        <f ca="1">ROUND((C19+C20)*F26,0)</f>
        <v>1242</v>
      </c>
      <c r="D26" s="369" t="s">
        <v>1462</v>
      </c>
      <c r="E26" s="358" t="s">
        <v>1463</v>
      </c>
      <c r="F26" s="357">
        <f ca="1">INDIRECT("'数据-取费表'!q"&amp;$G$1)</f>
        <v>0.2</v>
      </c>
      <c r="G26" s="1854"/>
      <c r="H26" s="344" t="s">
        <v>1029</v>
      </c>
      <c r="I26" s="345" t="s">
        <v>1464</v>
      </c>
      <c r="J26" s="346">
        <f ca="1">IF(J5&lt;&gt;0,ROUND(J25*(1-((1+M28)/(1+M26))^M27)/(M26-M28),0),0)</f>
        <v>0</v>
      </c>
      <c r="K26" s="370" t="s">
        <v>1465</v>
      </c>
      <c r="L26" s="347" t="s">
        <v>1466</v>
      </c>
      <c r="M26" s="357">
        <f ca="1">INDIRECT("'数据-取费表'!I"&amp;$G$1)</f>
        <v>5.5E-2</v>
      </c>
    </row>
    <row r="27" spans="1:37" ht="18" customHeight="1">
      <c r="A27" s="1204" t="s">
        <v>1033</v>
      </c>
      <c r="B27" s="347" t="s">
        <v>1467</v>
      </c>
      <c r="C27" s="24">
        <f ca="1">ROUND(F21*F26,4)</f>
        <v>6.0000000000000001E-3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8697</v>
      </c>
      <c r="D29" s="1345"/>
      <c r="E29" s="1343"/>
      <c r="F29" s="1346"/>
      <c r="G29" s="1857"/>
      <c r="H29" s="380" t="s">
        <v>1030</v>
      </c>
      <c r="I29" s="381" t="s">
        <v>1475</v>
      </c>
      <c r="J29" s="382">
        <f ca="1">ROUND(J26/(1+F40)^F41,0)</f>
        <v>0</v>
      </c>
      <c r="K29" s="383" t="s">
        <v>1476</v>
      </c>
      <c r="L29" s="384"/>
      <c r="M29" s="385">
        <f ca="1">INDIRECT("'数据-取费表'!k"&amp;$G$1)</f>
        <v>20447.539999999997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442</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276.7</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78.930000000000007</v>
      </c>
      <c r="D32" s="1801" t="s">
        <v>1430</v>
      </c>
      <c r="E32" s="347" t="s">
        <v>1418</v>
      </c>
      <c r="F32" s="377">
        <f>'数据-取费表'!B41</f>
        <v>5.6000000000000001E-2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177.6</v>
      </c>
      <c r="D33" s="1831" t="s">
        <v>3289</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20.170000000000002</v>
      </c>
      <c r="D34" s="370" t="s">
        <v>1438</v>
      </c>
      <c r="E34" s="347" t="s">
        <v>1439</v>
      </c>
      <c r="F34" s="371">
        <f>'数据-取费表'!B52</f>
        <v>5</v>
      </c>
      <c r="G34" s="1854"/>
      <c r="H34" s="745"/>
      <c r="I34" s="1863"/>
      <c r="J34" s="1864"/>
      <c r="K34" s="1866"/>
      <c r="L34" s="1867"/>
      <c r="M34" s="1867"/>
    </row>
    <row r="35" spans="1:18" ht="18" customHeight="1">
      <c r="A35" s="1356"/>
      <c r="B35" s="1354"/>
      <c r="C35" s="29"/>
      <c r="D35" s="373"/>
      <c r="E35" s="347" t="s">
        <v>1443</v>
      </c>
      <c r="F35" s="348">
        <f ca="1">INDIRECT("'数据-取费表'!r"&amp;$G$1)</f>
        <v>40347.69</v>
      </c>
      <c r="G35" s="1854"/>
      <c r="H35" s="745"/>
      <c r="I35" s="1863"/>
      <c r="J35" s="1864"/>
      <c r="K35" s="1865"/>
      <c r="L35" s="1862"/>
      <c r="M35" s="1862"/>
    </row>
    <row r="36" spans="1:18" ht="18" customHeight="1">
      <c r="A36" s="1355" t="s">
        <v>1036</v>
      </c>
      <c r="B36" s="347" t="s">
        <v>1445</v>
      </c>
      <c r="C36" s="24">
        <f ca="1">ROUND(C29*F36,1)</f>
        <v>130.5</v>
      </c>
      <c r="D36" s="1801" t="s">
        <v>1478</v>
      </c>
      <c r="E36" s="347" t="s">
        <v>1418</v>
      </c>
      <c r="F36" s="374">
        <f ca="1">INDIRECT("'数据-取费表'!Ak"&amp;$G$1)</f>
        <v>1.4999999999999999E-2</v>
      </c>
      <c r="G36" s="1854"/>
      <c r="H36" s="1862"/>
      <c r="I36" s="1863"/>
      <c r="J36" s="1864"/>
      <c r="K36" s="751"/>
      <c r="L36" s="1862"/>
      <c r="M36" s="1862"/>
    </row>
    <row r="37" spans="1:18" ht="18" customHeight="1">
      <c r="A37" s="1204" t="s">
        <v>1072</v>
      </c>
      <c r="B37" s="347" t="s">
        <v>1449</v>
      </c>
      <c r="C37" s="24">
        <f ca="1">ROUND(C13*F37,1)</f>
        <v>12.7</v>
      </c>
      <c r="D37" s="1801" t="s">
        <v>1450</v>
      </c>
      <c r="E37" s="347" t="s">
        <v>1451</v>
      </c>
      <c r="F37" s="376">
        <f ca="1">INDIRECT("'数据-取费表'!Al"&amp;$G$1)</f>
        <v>1.5E-3</v>
      </c>
      <c r="G37" s="1854"/>
      <c r="H37" s="1862"/>
      <c r="I37" s="1863"/>
      <c r="J37" s="1864"/>
      <c r="K37" s="751"/>
      <c r="L37" s="1862"/>
      <c r="M37" s="1862"/>
    </row>
    <row r="38" spans="1:18" ht="18" customHeight="1" thickBot="1">
      <c r="A38" s="1342" t="s">
        <v>1389</v>
      </c>
      <c r="B38" s="1343" t="s">
        <v>1435</v>
      </c>
      <c r="C38" s="1344">
        <f ca="1">ROUND(C5*F38,1)</f>
        <v>22.2</v>
      </c>
      <c r="D38" s="1345" t="s">
        <v>1455</v>
      </c>
      <c r="E38" s="1343" t="s">
        <v>1451</v>
      </c>
      <c r="F38" s="1339">
        <f ca="1">INDIRECT("'数据-取费表'!Am"&amp;$G$1)</f>
        <v>1.4999999999999999E-2</v>
      </c>
      <c r="G38" s="1854"/>
      <c r="H38" s="1862"/>
      <c r="I38" s="1863"/>
      <c r="J38" s="1864"/>
      <c r="K38" s="1868"/>
      <c r="L38" s="1862"/>
      <c r="M38" s="1862"/>
    </row>
    <row r="39" spans="1:18" ht="24.6" customHeight="1" thickTop="1">
      <c r="A39" s="1332" t="s">
        <v>1028</v>
      </c>
      <c r="B39" s="1347" t="s">
        <v>1479</v>
      </c>
      <c r="C39" s="355">
        <f ca="1">C5-C30</f>
        <v>1038</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23324</v>
      </c>
      <c r="D40" s="370" t="s">
        <v>1465</v>
      </c>
      <c r="E40" s="347" t="s">
        <v>1466</v>
      </c>
      <c r="F40" s="357">
        <f ca="1">INDIRECT("'数据-取费表'!I"&amp;$G$1)</f>
        <v>5.5E-2</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34.4</v>
      </c>
      <c r="G41" s="1854"/>
      <c r="H41" s="732"/>
      <c r="I41" s="1863"/>
      <c r="J41" s="1864"/>
      <c r="K41" s="751"/>
      <c r="L41" s="732"/>
      <c r="M41" s="732"/>
    </row>
    <row r="42" spans="1:18" ht="18" customHeight="1">
      <c r="A42" s="353"/>
      <c r="B42" s="354"/>
      <c r="C42" s="355"/>
      <c r="D42" s="373"/>
      <c r="E42" s="347" t="s">
        <v>1473</v>
      </c>
      <c r="F42" s="357">
        <f ca="1">INDIRECT("'数据-取费表'!v"&amp;$G$1)</f>
        <v>0.03</v>
      </c>
      <c r="G42" s="1854"/>
      <c r="H42" s="732"/>
      <c r="I42" s="1863"/>
      <c r="J42" s="1864"/>
      <c r="K42" s="751"/>
      <c r="L42" s="732"/>
      <c r="M42" s="732"/>
    </row>
    <row r="43" spans="1:18" ht="18" customHeight="1" thickBot="1">
      <c r="A43" s="380" t="s">
        <v>1030</v>
      </c>
      <c r="B43" s="381" t="s">
        <v>1483</v>
      </c>
      <c r="C43" s="382">
        <f ca="1">ROUND(C40*10000/F43,0)</f>
        <v>11407</v>
      </c>
      <c r="D43" s="383" t="s">
        <v>1484</v>
      </c>
      <c r="E43" s="384" t="s">
        <v>1485</v>
      </c>
      <c r="F43" s="385">
        <f ca="1">INDIRECT("'数据-取费表'!k"&amp;$G$1)</f>
        <v>20447.539999999997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-37002</v>
      </c>
      <c r="D46" s="1875" t="str">
        <f>C2</f>
        <v>万元</v>
      </c>
      <c r="E46" s="1869"/>
      <c r="F46" s="1869"/>
      <c r="I46" s="1876" t="s">
        <v>1517</v>
      </c>
      <c r="J46" s="1877"/>
      <c r="K46" s="1878"/>
      <c r="L46" s="1879" t="str">
        <f ca="1">IF(M47="住宅",0,IF(L48&gt;J51,L60,J60))</f>
        <v>0</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3290</v>
      </c>
      <c r="K47" s="1885" t="s">
        <v>1523</v>
      </c>
      <c r="L47" s="1886">
        <f ca="1">INDIRECT("'数据-取费表'!d"&amp;$G$1)</f>
        <v>40</v>
      </c>
      <c r="M47" s="1841" t="str">
        <f>IF(ISNUMBER(FIND("住宅",C1)),"住宅","非住宅")</f>
        <v>非住宅</v>
      </c>
      <c r="O47" s="1887" t="s">
        <v>1037</v>
      </c>
      <c r="P47" s="1888" t="s">
        <v>1524</v>
      </c>
      <c r="Q47" s="1889">
        <f ca="1">C40+J29</f>
        <v>23324</v>
      </c>
      <c r="R47" s="1889" t="s">
        <v>1525</v>
      </c>
    </row>
    <row r="48" spans="1:18" s="1845" customFormat="1" ht="28.5" thickBot="1">
      <c r="A48" s="1363" t="s">
        <v>1132</v>
      </c>
      <c r="B48" s="345" t="s">
        <v>1397</v>
      </c>
      <c r="C48" s="1820">
        <f ca="1">C49+C53+C55</f>
        <v>0</v>
      </c>
      <c r="D48" s="1365"/>
      <c r="E48" s="1366"/>
      <c r="F48" s="1184"/>
      <c r="G48" s="792"/>
      <c r="H48" s="793"/>
      <c r="I48" s="1890" t="s">
        <v>1526</v>
      </c>
      <c r="J48" s="1891" t="s">
        <v>3291</v>
      </c>
      <c r="K48" s="1892" t="s">
        <v>1527</v>
      </c>
      <c r="L48" s="1893">
        <f ca="1">INDIRECT("'数据-取费表'!f"&amp;$G$1)</f>
        <v>34.4</v>
      </c>
      <c r="O48" s="1887" t="s">
        <v>1038</v>
      </c>
      <c r="P48" s="1888" t="s">
        <v>1528</v>
      </c>
      <c r="Q48" s="1889" t="str">
        <f ca="1">J60</f>
        <v>0</v>
      </c>
      <c r="R48" s="1889" t="s">
        <v>1529</v>
      </c>
    </row>
    <row r="49" spans="1:18" s="1845" customFormat="1" ht="13.5" thickBot="1">
      <c r="A49" s="1197" t="s">
        <v>1133</v>
      </c>
      <c r="B49" s="1832" t="s">
        <v>1486</v>
      </c>
      <c r="C49" s="1367">
        <f ca="1">ROUND(F49*F51*F50*(1-F52)/10000,0)</f>
        <v>0</v>
      </c>
      <c r="D49" s="1279" t="s">
        <v>3033</v>
      </c>
      <c r="E49" s="1833" t="s">
        <v>1487</v>
      </c>
      <c r="F49" s="1284"/>
      <c r="G49" s="1894"/>
      <c r="H49" s="793"/>
      <c r="I49" s="1890" t="s">
        <v>1530</v>
      </c>
      <c r="J49" s="1895">
        <v>2017</v>
      </c>
      <c r="K49" s="1892" t="s">
        <v>1531</v>
      </c>
      <c r="L49" s="1896"/>
      <c r="O49" s="1897" t="s">
        <v>1039</v>
      </c>
      <c r="P49" s="1888" t="s">
        <v>1532</v>
      </c>
      <c r="Q49" s="1889">
        <f ca="1">C29</f>
        <v>8697</v>
      </c>
      <c r="R49" s="1889" t="s">
        <v>1525</v>
      </c>
    </row>
    <row r="50" spans="1:18" s="1845" customFormat="1" ht="13.5" thickBot="1">
      <c r="A50" s="1198"/>
      <c r="B50" s="1201"/>
      <c r="C50" s="1371"/>
      <c r="D50" s="1175"/>
      <c r="E50" s="1280" t="s">
        <v>1402</v>
      </c>
      <c r="F50" s="1281">
        <f ca="1">F7</f>
        <v>20447.539999999997</v>
      </c>
      <c r="H50" s="793"/>
      <c r="I50" s="1890" t="s">
        <v>1533</v>
      </c>
      <c r="J50" s="1898">
        <f>SUMPRODUCT((I63:I65=J47)*(J62:L62=J48)*(J63:L65))</f>
        <v>60</v>
      </c>
      <c r="K50" s="1892" t="s">
        <v>1534</v>
      </c>
      <c r="L50" s="1896"/>
      <c r="M50" s="1899"/>
      <c r="O50" s="1897" t="s">
        <v>1040</v>
      </c>
      <c r="P50" s="1888" t="s">
        <v>1535</v>
      </c>
      <c r="Q50" s="1900" t="e">
        <f ca="1">J58</f>
        <v>#VALUE!</v>
      </c>
      <c r="R50" s="1889"/>
    </row>
    <row r="51" spans="1:18" s="1845" customFormat="1" ht="13.5" thickBot="1">
      <c r="A51" s="1199"/>
      <c r="B51" s="1201"/>
      <c r="C51" s="1202"/>
      <c r="D51" s="1175"/>
      <c r="E51" s="1203" t="s">
        <v>1403</v>
      </c>
      <c r="F51" s="348">
        <f ca="1">F8</f>
        <v>365</v>
      </c>
      <c r="I51" s="1901" t="s">
        <v>1536</v>
      </c>
      <c r="J51" s="1902">
        <f>IF(J49="",J50,J49+J50-YEAR('数据-取费表'!B2))</f>
        <v>58</v>
      </c>
      <c r="K51" s="1903" t="s">
        <v>1537</v>
      </c>
      <c r="L51" s="1904">
        <f ca="1">ROUND(-PV(INDIRECT("'数据-取费表'!h"&amp;$G$1),L48,(C39-C13*C76),0),0)</f>
        <v>5907</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f ca="1">J53</f>
        <v>34.4</v>
      </c>
      <c r="R52" s="1889" t="s">
        <v>1542</v>
      </c>
    </row>
    <row r="53" spans="1:18" s="1845" customFormat="1" ht="24.75" thickBot="1">
      <c r="A53" s="1408" t="s">
        <v>1134</v>
      </c>
      <c r="B53" s="1834" t="s">
        <v>1405</v>
      </c>
      <c r="C53" s="361">
        <f ca="1">ROUND(IF(F53="押一",C49/12*F11,IF(F53="押二",C49/12*2*F11,IF(F53="押三",C49/12*3*F11,C54*F11))),0)</f>
        <v>0</v>
      </c>
      <c r="D53" s="1827" t="s">
        <v>3040</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34.4</v>
      </c>
      <c r="K53" s="3237" t="s">
        <v>1544</v>
      </c>
      <c r="L53" s="3238"/>
      <c r="O53" s="1887" t="s">
        <v>1043</v>
      </c>
      <c r="P53" s="1888" t="s">
        <v>1545</v>
      </c>
      <c r="Q53" s="1889">
        <f ca="1">Q47+Q48</f>
        <v>23324</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#VALUE!</v>
      </c>
      <c r="K55" s="1915" t="s">
        <v>1548</v>
      </c>
      <c r="L55" s="1916" t="s">
        <v>1549</v>
      </c>
      <c r="O55" s="1880" t="s">
        <v>1518</v>
      </c>
      <c r="P55" s="1881" t="s">
        <v>1519</v>
      </c>
      <c r="Q55" s="1882" t="s">
        <v>1520</v>
      </c>
      <c r="R55" s="1882" t="s">
        <v>1521</v>
      </c>
    </row>
    <row r="56" spans="1:18" s="1845" customFormat="1" ht="25.5" thickTop="1" thickBot="1">
      <c r="A56" s="1179">
        <v>2</v>
      </c>
      <c r="B56" s="1180" t="s">
        <v>1410</v>
      </c>
      <c r="C56" s="276">
        <f ca="1">C13</f>
        <v>8436</v>
      </c>
      <c r="D56" s="1917"/>
      <c r="E56" s="1918"/>
      <c r="F56" s="1910"/>
      <c r="I56" s="1919" t="s">
        <v>1550</v>
      </c>
      <c r="J56" s="1920" t="s">
        <v>3287</v>
      </c>
      <c r="K56" s="1890" t="s">
        <v>1551</v>
      </c>
      <c r="L56" s="1893" t="str">
        <f ca="1">IF(L48&lt;J51,"——",L48-J53)</f>
        <v>——</v>
      </c>
      <c r="O56" s="1887" t="s">
        <v>1037</v>
      </c>
      <c r="P56" s="1888" t="s">
        <v>1524</v>
      </c>
      <c r="Q56" s="1889">
        <f ca="1">C40+J29</f>
        <v>23324</v>
      </c>
      <c r="R56" s="1889" t="s">
        <v>1525</v>
      </c>
    </row>
    <row r="57" spans="1:18" s="1845" customFormat="1" ht="24.75" thickBot="1">
      <c r="A57" s="1921"/>
      <c r="B57" s="1172" t="s">
        <v>1474</v>
      </c>
      <c r="C57" s="282">
        <f ca="1">C29</f>
        <v>8697</v>
      </c>
      <c r="D57" s="1922"/>
      <c r="E57" s="1923"/>
      <c r="F57" s="1924"/>
      <c r="I57" s="1925" t="s">
        <v>1552</v>
      </c>
      <c r="J57" s="1926" t="str">
        <f ca="1">IF(OR(M47="住宅",J51&lt;L48,J56="是"),"——",J51-L48)</f>
        <v>——</v>
      </c>
      <c r="K57" s="1890" t="s">
        <v>1553</v>
      </c>
      <c r="L57" s="1893" t="str">
        <f ca="1">IF(L48&lt;J51,"——",IF(L55="比较法",L49,IF(L55="基准地价",L50,L51)))</f>
        <v>——</v>
      </c>
      <c r="O57" s="1887" t="s">
        <v>1038</v>
      </c>
      <c r="P57" s="1888" t="s">
        <v>1554</v>
      </c>
      <c r="Q57" s="1889">
        <f ca="1">L60</f>
        <v>0</v>
      </c>
      <c r="R57" s="1889" t="s">
        <v>1555</v>
      </c>
    </row>
    <row r="58" spans="1:18" s="1845" customFormat="1" ht="24.75" thickBot="1">
      <c r="A58" s="360" t="s">
        <v>1027</v>
      </c>
      <c r="B58" s="1180" t="s">
        <v>1420</v>
      </c>
      <c r="C58" s="361">
        <f ca="1">ROUND(C59+C64+C65+C66,0)</f>
        <v>894</v>
      </c>
      <c r="D58" s="1182" t="s">
        <v>1421</v>
      </c>
      <c r="E58" s="1183"/>
      <c r="F58" s="1184"/>
      <c r="I58" s="1925" t="s">
        <v>1556</v>
      </c>
      <c r="J58" s="1927" t="e">
        <f ca="1">IF(J55&lt;0.4,0.4,J55)</f>
        <v>#VALUE!</v>
      </c>
      <c r="K58" s="1903" t="s">
        <v>1557</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ROUND(IF(项目基本情况!B11="自然人",C48*F59,C60+C61+C62),1)</f>
        <v>750.7</v>
      </c>
      <c r="D59" s="1185" t="s">
        <v>1426</v>
      </c>
      <c r="E59" s="1186" t="s">
        <v>1427</v>
      </c>
      <c r="F59" s="368" t="str">
        <f ca="1">IF(项目基本情况!B11="企业","",IF(INDIRECT("'数据-取费表'!c"&amp;$G$1)="住宅",5%,IF(F49*F50*F51/12/(1+'数据-取费表'!C42)&gt;20000,12%,7%)))</f>
        <v/>
      </c>
      <c r="I59" s="1925" t="s">
        <v>1559</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5.6000000000000001E-2</v>
      </c>
      <c r="I60" s="1928" t="s">
        <v>1561</v>
      </c>
      <c r="J60" s="1929" t="str">
        <f ca="1">IF(OR(M47="住宅",J51&lt;L48,J56="是"),"0",ROUND(J59/(1+J52)^J53,0))</f>
        <v>0</v>
      </c>
      <c r="K60" s="1930" t="s">
        <v>1562</v>
      </c>
      <c r="L60" s="1929">
        <f ca="1">IF(OR(M47="住宅",L48&lt;J51),0,ROUND(L57*(L58/L59-1),0))</f>
        <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IF(项目基本情况!B11="自然人","——",IF(D61="按租金收入计税",ROUND(C48*F61,2),IF(D61="按房产原值计税",ROUND(C57*F61*0.7,2),INDIRECT("'数据-取费表'!Aj"&amp;$G$1))))</f>
        <v>730.55</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1565</v>
      </c>
    </row>
    <row r="62" spans="1:18" s="1845" customFormat="1" ht="13.5" thickBot="1">
      <c r="A62" s="1204" t="s">
        <v>1491</v>
      </c>
      <c r="B62" s="1171" t="s">
        <v>1492</v>
      </c>
      <c r="C62" s="25">
        <f ca="1">IF(项目基本情况!B11="自然人","——",ROUND(F62*F63/10000,2))</f>
        <v>20.170000000000002</v>
      </c>
      <c r="D62" s="1187" t="s">
        <v>1493</v>
      </c>
      <c r="E62" s="1172" t="s">
        <v>1494</v>
      </c>
      <c r="F62" s="371">
        <f t="shared" si="0"/>
        <v>5</v>
      </c>
      <c r="I62" s="1932" t="s">
        <v>1566</v>
      </c>
      <c r="J62" s="1933" t="s">
        <v>1567</v>
      </c>
      <c r="K62" s="1933" t="s">
        <v>1568</v>
      </c>
      <c r="L62" s="1933" t="s">
        <v>1569</v>
      </c>
      <c r="M62" s="1934" t="s">
        <v>1570</v>
      </c>
      <c r="O62" s="1887" t="s">
        <v>1043</v>
      </c>
      <c r="P62" s="1888" t="s">
        <v>1571</v>
      </c>
      <c r="Q62" s="1889">
        <f ca="1">Q56+Q57</f>
        <v>23324</v>
      </c>
      <c r="R62" s="1889" t="s">
        <v>1044</v>
      </c>
    </row>
    <row r="63" spans="1:18" s="1845" customFormat="1" ht="13.5" thickBot="1">
      <c r="A63" s="372"/>
      <c r="B63" s="1178"/>
      <c r="C63" s="29"/>
      <c r="D63" s="1188"/>
      <c r="E63" s="1172" t="s">
        <v>1495</v>
      </c>
      <c r="F63" s="348">
        <f t="shared" ca="1" si="0"/>
        <v>40347.69</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ROUND(C57*F64,1)</f>
        <v>130.5</v>
      </c>
      <c r="D64" s="1186" t="s">
        <v>1498</v>
      </c>
      <c r="E64" s="1172" t="s">
        <v>1490</v>
      </c>
      <c r="F64" s="374">
        <f t="shared" ca="1" si="0"/>
        <v>1.4999999999999999E-2</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12.7</v>
      </c>
      <c r="D65" s="1186" t="s">
        <v>1450</v>
      </c>
      <c r="E65" s="1172" t="s">
        <v>1451</v>
      </c>
      <c r="F65" s="376">
        <f t="shared" ca="1" si="0"/>
        <v>1.5E-3</v>
      </c>
      <c r="I65" s="1932" t="s">
        <v>1575</v>
      </c>
      <c r="J65" s="1933">
        <v>40</v>
      </c>
      <c r="K65" s="1933">
        <v>30</v>
      </c>
      <c r="L65" s="1933">
        <v>50</v>
      </c>
      <c r="M65" s="1935">
        <v>0.02</v>
      </c>
      <c r="O65" s="1887" t="s">
        <v>1037</v>
      </c>
      <c r="P65" s="1888" t="s">
        <v>1576</v>
      </c>
      <c r="Q65" s="1889">
        <f ca="1">C40+J29</f>
        <v>23324</v>
      </c>
      <c r="R65" s="1889" t="s">
        <v>1525</v>
      </c>
    </row>
    <row r="66" spans="1:18" s="1845" customFormat="1" ht="16.5" thickBot="1">
      <c r="A66" s="1204" t="s">
        <v>1500</v>
      </c>
      <c r="B66" s="1172" t="s">
        <v>1435</v>
      </c>
      <c r="C66" s="24">
        <f ca="1">ROUND(C48*F66,1)</f>
        <v>0</v>
      </c>
      <c r="D66" s="1186" t="s">
        <v>1501</v>
      </c>
      <c r="E66" s="1172" t="s">
        <v>1418</v>
      </c>
      <c r="F66" s="357">
        <f t="shared" ca="1" si="0"/>
        <v>1.4999999999999999E-2</v>
      </c>
      <c r="O66" s="1887" t="s">
        <v>1038</v>
      </c>
      <c r="P66" s="1888" t="s">
        <v>1554</v>
      </c>
      <c r="Q66" s="1889">
        <f ca="1">L60</f>
        <v>0</v>
      </c>
      <c r="R66" s="1889" t="s">
        <v>1577</v>
      </c>
    </row>
    <row r="67" spans="1:18" s="1845" customFormat="1" ht="16.5" thickBot="1">
      <c r="A67" s="1179" t="s">
        <v>1028</v>
      </c>
      <c r="B67" s="1189" t="s">
        <v>1459</v>
      </c>
      <c r="C67" s="361">
        <f ca="1">C48-C58</f>
        <v>-894</v>
      </c>
      <c r="D67" s="1185" t="s">
        <v>1460</v>
      </c>
      <c r="E67" s="1190"/>
      <c r="F67" s="1191"/>
      <c r="O67" s="1897" t="s">
        <v>1039</v>
      </c>
      <c r="P67" s="1888" t="s">
        <v>1558</v>
      </c>
      <c r="Q67" s="1936">
        <f ca="1">L51</f>
        <v>5907</v>
      </c>
      <c r="R67" s="1889" t="s">
        <v>1578</v>
      </c>
    </row>
    <row r="68" spans="1:18" s="1845" customFormat="1" ht="16.5" thickBot="1">
      <c r="A68" s="1169" t="s">
        <v>1029</v>
      </c>
      <c r="B68" s="1170" t="s">
        <v>1481</v>
      </c>
      <c r="C68" s="346">
        <f ca="1">ROUND(C67*(1-((1+F70)/(1+F68))^F69)/(F68-F70),0)</f>
        <v>-13678</v>
      </c>
      <c r="D68" s="1187" t="s">
        <v>1465</v>
      </c>
      <c r="E68" s="1172" t="s">
        <v>1466</v>
      </c>
      <c r="F68" s="357">
        <f ca="1">F40</f>
        <v>5.5E-2</v>
      </c>
      <c r="O68" s="1897" t="s">
        <v>1040</v>
      </c>
      <c r="P68" s="1937" t="s">
        <v>1579</v>
      </c>
      <c r="Q68" s="1889">
        <f ca="1">ROUND(Q69-Q70*Q71,0)</f>
        <v>363</v>
      </c>
      <c r="R68" s="1889" t="s">
        <v>1048</v>
      </c>
    </row>
    <row r="69" spans="1:18" s="1845" customFormat="1" ht="13.5" thickBot="1">
      <c r="A69" s="1173"/>
      <c r="B69" s="1174"/>
      <c r="C69" s="351"/>
      <c r="D69" s="1192" t="s">
        <v>1469</v>
      </c>
      <c r="E69" s="1172" t="s">
        <v>1470</v>
      </c>
      <c r="F69" s="379">
        <f ca="1">F41</f>
        <v>34.4</v>
      </c>
      <c r="O69" s="1897" t="s">
        <v>1045</v>
      </c>
      <c r="P69" s="1937" t="s">
        <v>1580</v>
      </c>
      <c r="Q69" s="1889">
        <f ca="1">C39</f>
        <v>1038</v>
      </c>
      <c r="R69" s="1889" t="s">
        <v>1525</v>
      </c>
    </row>
    <row r="70" spans="1:18" s="1845" customFormat="1" ht="13.5" thickBot="1">
      <c r="A70" s="1176"/>
      <c r="B70" s="1177"/>
      <c r="C70" s="355"/>
      <c r="D70" s="1188"/>
      <c r="E70" s="1172" t="s">
        <v>1473</v>
      </c>
      <c r="F70" s="1278"/>
      <c r="O70" s="1897" t="s">
        <v>1046</v>
      </c>
      <c r="P70" s="1937" t="s">
        <v>1581</v>
      </c>
      <c r="Q70" s="1889">
        <f ca="1">C13</f>
        <v>8436</v>
      </c>
      <c r="R70" s="1889" t="s">
        <v>1525</v>
      </c>
    </row>
    <row r="71" spans="1:18" s="1845" customFormat="1" ht="13.5" thickBot="1">
      <c r="A71" s="1193" t="s">
        <v>1030</v>
      </c>
      <c r="B71" s="1194" t="s">
        <v>1483</v>
      </c>
      <c r="C71" s="382">
        <f ca="1">ROUND(C68*10000/F71,0)</f>
        <v>-6689</v>
      </c>
      <c r="D71" s="1195" t="s">
        <v>1484</v>
      </c>
      <c r="E71" s="1196" t="s">
        <v>1485</v>
      </c>
      <c r="F71" s="385">
        <f ca="1">F43</f>
        <v>20447.539999999997</v>
      </c>
      <c r="O71" s="1897" t="s">
        <v>1047</v>
      </c>
      <c r="P71" s="1937" t="s">
        <v>1582</v>
      </c>
      <c r="Q71" s="1900">
        <f ca="1">C76</f>
        <v>0.08</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#DIV/0!</v>
      </c>
      <c r="R74" s="1889" t="s">
        <v>1565</v>
      </c>
    </row>
    <row r="75" spans="1:18" ht="13.5" thickBot="1">
      <c r="A75" s="1845"/>
      <c r="B75" s="386" t="s">
        <v>1502</v>
      </c>
      <c r="C75" s="387">
        <f ca="1">ROUND(C13*C76,0)</f>
        <v>675</v>
      </c>
      <c r="D75" s="1845"/>
      <c r="E75" s="1845"/>
      <c r="F75" s="1845"/>
      <c r="K75" s="1871"/>
      <c r="L75" s="1845"/>
      <c r="O75" s="1887" t="s">
        <v>1043</v>
      </c>
      <c r="P75" s="1888" t="s">
        <v>1545</v>
      </c>
      <c r="Q75" s="1889">
        <f ca="1">Q65+Q66</f>
        <v>23324</v>
      </c>
      <c r="R75" s="1889" t="s">
        <v>1044</v>
      </c>
    </row>
    <row r="76" spans="1:18">
      <c r="B76" s="388" t="s">
        <v>1503</v>
      </c>
      <c r="C76" s="389">
        <f ca="1">INDIRECT("'数据-取费表'!j"&amp;$G$1)</f>
        <v>0.08</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0.35</v>
      </c>
    </row>
    <row r="80" spans="1:18">
      <c r="B80" s="386" t="s">
        <v>1507</v>
      </c>
      <c r="C80" s="318">
        <f ca="1">ROUND(C75/C39,3)</f>
        <v>0.65</v>
      </c>
    </row>
    <row r="81" spans="2:3">
      <c r="B81" s="314" t="s">
        <v>1508</v>
      </c>
      <c r="C81" s="282"/>
    </row>
    <row r="82" spans="2:3">
      <c r="B82" s="317" t="s">
        <v>1509</v>
      </c>
      <c r="C82" s="319">
        <f ca="1">1-C83</f>
        <v>0.63800000000000001</v>
      </c>
    </row>
    <row r="83" spans="2:3">
      <c r="B83" s="317" t="s">
        <v>1510</v>
      </c>
      <c r="C83" s="318">
        <f ca="1">ROUND(C13/C40,3)</f>
        <v>0.36199999999999999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1032</v>
      </c>
      <c r="B6" s="3239" t="s">
        <v>1399</v>
      </c>
      <c r="C6" s="1299">
        <f ca="1">ROUND(F6*F8*F7*(1-F9),0)</f>
        <v>0</v>
      </c>
      <c r="D6" s="164" t="s">
        <v>3029</v>
      </c>
      <c r="E6" s="347" t="s">
        <v>1401</v>
      </c>
      <c r="F6" s="348">
        <f ca="1">INDIRECT("'数据-取费表'!u"&amp;$G$1)</f>
        <v>0</v>
      </c>
      <c r="G6" s="1854"/>
      <c r="H6" s="1294" t="s">
        <v>1032</v>
      </c>
      <c r="I6" s="3239" t="s">
        <v>1399</v>
      </c>
      <c r="J6" s="346">
        <f ca="1">ROUND(M6*M8*M7*(1-M9),0)</f>
        <v>0</v>
      </c>
      <c r="K6" s="1837" t="s">
        <v>3030</v>
      </c>
      <c r="L6" s="347" t="s">
        <v>1401</v>
      </c>
      <c r="M6" s="348">
        <f ca="1">INDIRECT("'数据-取费表'!z"&amp;$G$1)</f>
        <v>0</v>
      </c>
    </row>
    <row r="7" spans="1:37" ht="18" customHeight="1">
      <c r="A7" s="1298"/>
      <c r="B7" s="3240"/>
      <c r="C7" s="1300"/>
      <c r="D7" s="352"/>
      <c r="E7" s="1301" t="s">
        <v>1402</v>
      </c>
      <c r="F7" s="348">
        <f ca="1">IF(INDIRECT("'数据-取费表'!ah"&amp;$G$1)="",INDIRECT("'数据-取费表'!k"&amp;$G$1),INDIRECT("'数据-取费表'!ah"&amp;$G$1))</f>
        <v>0</v>
      </c>
      <c r="G7" s="1854"/>
      <c r="H7" s="349"/>
      <c r="I7" s="3240"/>
      <c r="J7" s="351"/>
      <c r="K7" s="352"/>
      <c r="L7" s="347" t="s">
        <v>1402</v>
      </c>
      <c r="M7" s="348">
        <f ca="1">F7</f>
        <v>0</v>
      </c>
    </row>
    <row r="8" spans="1:37" ht="18" customHeight="1">
      <c r="A8" s="349"/>
      <c r="B8" s="3240"/>
      <c r="C8" s="351"/>
      <c r="D8" s="352"/>
      <c r="E8" s="347" t="s">
        <v>1403</v>
      </c>
      <c r="F8" s="348">
        <f ca="1">INDIRECT("'数据-取费表'!ai"&amp;$G$1)</f>
        <v>0</v>
      </c>
      <c r="G8" s="1854"/>
      <c r="H8" s="349"/>
      <c r="I8" s="3240"/>
      <c r="J8" s="351"/>
      <c r="K8" s="352"/>
      <c r="L8" s="347" t="s">
        <v>1403</v>
      </c>
      <c r="M8" s="348">
        <f ca="1">INDIRECT("'数据-取费表'!ai"&amp;$G$1)</f>
        <v>0</v>
      </c>
    </row>
    <row r="9" spans="1:37" ht="18" customHeight="1">
      <c r="A9" s="349"/>
      <c r="B9" s="3241"/>
      <c r="C9" s="351"/>
      <c r="D9" s="352"/>
      <c r="E9" s="347" t="s">
        <v>1404</v>
      </c>
      <c r="F9" s="357">
        <f ca="1">INDIRECT("'数据-取费表'!w"&amp;$G$1)</f>
        <v>0</v>
      </c>
      <c r="G9" s="1854"/>
      <c r="H9" s="349"/>
      <c r="I9" s="3241"/>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3040</v>
      </c>
      <c r="E10" s="358" t="s">
        <v>1406</v>
      </c>
      <c r="F10" s="1369"/>
      <c r="G10" s="1854"/>
      <c r="H10" s="1294" t="s">
        <v>1036</v>
      </c>
      <c r="I10" s="1826" t="s">
        <v>1405</v>
      </c>
      <c r="J10" s="346">
        <f ca="1">ROUND(IF(M10="押一",J6/12*M11,IF(M10="押二",J6/12*2*M11,IF(M10="押三",J6/12*3*M11,J11*M11))),0)</f>
        <v>0</v>
      </c>
      <c r="K10" s="1838" t="s">
        <v>3042</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0.05</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180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0.03</v>
      </c>
      <c r="G20" s="1857"/>
      <c r="H20" s="1204" t="s">
        <v>1385</v>
      </c>
      <c r="I20" s="164" t="s">
        <v>1437</v>
      </c>
      <c r="J20" s="25">
        <f ca="1">ROUND(M20*M21,0)</f>
        <v>0</v>
      </c>
      <c r="K20" s="370" t="s">
        <v>1438</v>
      </c>
      <c r="L20" s="347" t="s">
        <v>1439</v>
      </c>
      <c r="M20" s="371">
        <f>'数据-取费表'!B52</f>
        <v>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0.03</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3</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2.2000000000000001E-3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5.6000000000000001E-2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5</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3043</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237" t="s">
        <v>1544</v>
      </c>
      <c r="L53" s="3238"/>
      <c r="O53" s="1887" t="s">
        <v>1043</v>
      </c>
      <c r="P53" s="1888" t="s">
        <v>1545</v>
      </c>
      <c r="Q53" s="1889" t="e">
        <f ca="1">Q47+Q48</f>
        <v>#DIV/0!</v>
      </c>
      <c r="R53" s="1889" t="s">
        <v>1044</v>
      </c>
    </row>
    <row r="54" spans="1:18" s="1845" customFormat="1" ht="13.5"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1038</v>
      </c>
      <c r="P57" s="1888" t="s">
        <v>1602</v>
      </c>
      <c r="Q57" s="1889" t="e">
        <f ca="1">L60</f>
        <v>#DIV/0!</v>
      </c>
      <c r="R57" s="1889" t="s">
        <v>1603</v>
      </c>
    </row>
    <row r="58" spans="1:18" s="1845" customFormat="1" ht="24.75" thickBot="1">
      <c r="A58" s="360" t="s">
        <v>1027</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5.6000000000000001E-2</v>
      </c>
      <c r="I60" s="1928" t="s">
        <v>1561</v>
      </c>
      <c r="J60" s="1929" t="e">
        <f ca="1">IF(OR(M47="住宅",J51&lt;L48,J56="是"),"0",ROUND(J59/(1+J52)^J53,0))</f>
        <v>#DIV/0!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1565</v>
      </c>
    </row>
    <row r="62" spans="1:18" s="1845" customFormat="1" ht="13.5" thickBot="1">
      <c r="A62" s="1204" t="s">
        <v>1491</v>
      </c>
      <c r="B62" s="1171" t="s">
        <v>1492</v>
      </c>
      <c r="C62" s="25">
        <f ca="1">IF(项目基本情况!B11="自然人","——",ROUND(F62*F63,0))</f>
        <v>0</v>
      </c>
      <c r="D62" s="1187" t="s">
        <v>1493</v>
      </c>
      <c r="E62" s="1172" t="s">
        <v>1494</v>
      </c>
      <c r="F62" s="371">
        <f t="shared" si="0"/>
        <v>5</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1037</v>
      </c>
      <c r="P65" s="1888" t="s">
        <v>1576</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1554</v>
      </c>
      <c r="Q66" s="1889" t="e">
        <f ca="1">L60</f>
        <v>#DIV/0!</v>
      </c>
      <c r="R66" s="1889" t="s">
        <v>1577</v>
      </c>
    </row>
    <row r="67" spans="1:18" s="1845" customFormat="1" ht="16.5" thickBot="1">
      <c r="A67" s="1179" t="s">
        <v>1028</v>
      </c>
      <c r="B67" s="1189" t="s">
        <v>1459</v>
      </c>
      <c r="C67" s="361">
        <f ca="1">C48-C58</f>
        <v>0</v>
      </c>
      <c r="D67" s="1185" t="s">
        <v>1460</v>
      </c>
      <c r="E67" s="1190"/>
      <c r="F67" s="1191"/>
      <c r="O67" s="1897" t="s">
        <v>1039</v>
      </c>
      <c r="P67" s="1888" t="s">
        <v>1558</v>
      </c>
      <c r="Q67" s="1936">
        <f ca="1">L51</f>
        <v>0</v>
      </c>
      <c r="R67" s="1889" t="s">
        <v>1578</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1579</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1580</v>
      </c>
      <c r="Q69" s="1889">
        <f ca="1">C39</f>
        <v>0</v>
      </c>
      <c r="R69" s="1889" t="s">
        <v>1525</v>
      </c>
    </row>
    <row r="70" spans="1:18" s="1845" customFormat="1" ht="13.5" thickBot="1">
      <c r="A70" s="1176"/>
      <c r="B70" s="1177"/>
      <c r="C70" s="355"/>
      <c r="D70" s="1188"/>
      <c r="E70" s="1172" t="s">
        <v>1473</v>
      </c>
      <c r="F70" s="1278">
        <f ca="1">F42</f>
        <v>0</v>
      </c>
      <c r="O70" s="1897" t="s">
        <v>1046</v>
      </c>
      <c r="P70" s="1937" t="s">
        <v>1581</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1582</v>
      </c>
      <c r="Q71" s="1900">
        <f ca="1">C76</f>
        <v>0</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建设期及建筑物耐用年限下的土地年期修正系数Kn</v>
      </c>
      <c r="Q74" s="1889" t="e">
        <f ca="1">L59</f>
        <v>#DIV/0!</v>
      </c>
      <c r="R74" s="1889" t="s">
        <v>1565</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38" sqref="A38:D38"/>
    </sheetView>
  </sheetViews>
  <sheetFormatPr defaultRowHeight="13.5"/>
  <cols>
    <col min="1" max="1" width="10.5" customWidth="1"/>
    <col min="2" max="2" width="12.875" customWidth="1"/>
    <col min="3" max="3" width="8.75" customWidth="1"/>
  </cols>
  <sheetData>
    <row r="1" spans="1:9" ht="14.25">
      <c r="A1" s="3258" t="s">
        <v>1073</v>
      </c>
      <c r="B1" s="3259"/>
      <c r="C1" s="3260"/>
      <c r="D1" s="3261">
        <f>SUM(I10,I15,I20,I21,I23)</f>
        <v>0</v>
      </c>
      <c r="E1" s="3261"/>
      <c r="F1" s="3261"/>
      <c r="G1" s="3261"/>
      <c r="H1" s="3261"/>
      <c r="I1" s="3262"/>
    </row>
    <row r="2" spans="1:9">
      <c r="A2" s="3248" t="s">
        <v>1074</v>
      </c>
      <c r="B2" s="3249" t="s">
        <v>1075</v>
      </c>
      <c r="C2" s="3249"/>
      <c r="D2" s="1304" t="s">
        <v>1076</v>
      </c>
      <c r="E2" s="1304" t="s">
        <v>1077</v>
      </c>
      <c r="F2" s="1304" t="s">
        <v>1078</v>
      </c>
      <c r="G2" s="1304" t="s">
        <v>1079</v>
      </c>
      <c r="H2" s="1304" t="s">
        <v>1080</v>
      </c>
      <c r="I2" s="1305" t="s">
        <v>1081</v>
      </c>
    </row>
    <row r="3" spans="1:9">
      <c r="A3" s="3248"/>
      <c r="B3" s="3249" t="s">
        <v>1082</v>
      </c>
      <c r="C3" s="3249"/>
      <c r="D3" s="1306"/>
      <c r="E3" s="1304"/>
      <c r="F3" s="1307"/>
      <c r="G3" s="1307"/>
      <c r="H3" s="1308"/>
      <c r="I3" s="1309">
        <f>ROUND(D3*E3*F3*G3*H3/10000,0)</f>
        <v>0</v>
      </c>
    </row>
    <row r="4" spans="1:9">
      <c r="A4" s="3248"/>
      <c r="B4" s="3249" t="s">
        <v>1083</v>
      </c>
      <c r="C4" s="3249"/>
      <c r="D4" s="1306"/>
      <c r="E4" s="1304"/>
      <c r="F4" s="1307"/>
      <c r="G4" s="1307"/>
      <c r="H4" s="1308"/>
      <c r="I4" s="1309">
        <f t="shared" ref="I4:I9" si="0">ROUND(D4*E4*F4*G4*H4/10000,0)</f>
        <v>0</v>
      </c>
    </row>
    <row r="5" spans="1:9">
      <c r="A5" s="3248"/>
      <c r="B5" s="3249" t="s">
        <v>1084</v>
      </c>
      <c r="C5" s="3249"/>
      <c r="D5" s="1306"/>
      <c r="E5" s="1304"/>
      <c r="F5" s="1307"/>
      <c r="G5" s="1307"/>
      <c r="H5" s="1308"/>
      <c r="I5" s="1309">
        <f t="shared" si="0"/>
        <v>0</v>
      </c>
    </row>
    <row r="6" spans="1:9">
      <c r="A6" s="3248"/>
      <c r="B6" s="3249" t="s">
        <v>1085</v>
      </c>
      <c r="C6" s="3249"/>
      <c r="D6" s="1306"/>
      <c r="E6" s="1304"/>
      <c r="F6" s="1307"/>
      <c r="G6" s="1307"/>
      <c r="H6" s="1308"/>
      <c r="I6" s="1309">
        <f t="shared" si="0"/>
        <v>0</v>
      </c>
    </row>
    <row r="7" spans="1:9">
      <c r="A7" s="3248"/>
      <c r="B7" s="3249" t="s">
        <v>1086</v>
      </c>
      <c r="C7" s="3249"/>
      <c r="D7" s="1306"/>
      <c r="E7" s="1304"/>
      <c r="F7" s="1307"/>
      <c r="G7" s="1307"/>
      <c r="H7" s="1308"/>
      <c r="I7" s="1309">
        <f t="shared" si="0"/>
        <v>0</v>
      </c>
    </row>
    <row r="8" spans="1:9">
      <c r="A8" s="3248"/>
      <c r="B8" s="3249" t="s">
        <v>1087</v>
      </c>
      <c r="C8" s="3249"/>
      <c r="D8" s="1306"/>
      <c r="E8" s="1304"/>
      <c r="F8" s="1307"/>
      <c r="G8" s="1307"/>
      <c r="H8" s="1308"/>
      <c r="I8" s="1309">
        <f t="shared" si="0"/>
        <v>0</v>
      </c>
    </row>
    <row r="9" spans="1:9">
      <c r="A9" s="3248"/>
      <c r="B9" s="3249" t="s">
        <v>1088</v>
      </c>
      <c r="C9" s="3249"/>
      <c r="D9" s="1306"/>
      <c r="E9" s="1304"/>
      <c r="F9" s="1307"/>
      <c r="G9" s="1307"/>
      <c r="H9" s="1308"/>
      <c r="I9" s="1309">
        <f t="shared" si="0"/>
        <v>0</v>
      </c>
    </row>
    <row r="10" spans="1:9">
      <c r="A10" s="3248"/>
      <c r="B10" s="3250" t="s">
        <v>1089</v>
      </c>
      <c r="C10" s="3250"/>
      <c r="D10" s="1310"/>
      <c r="E10" s="1310" t="e">
        <f>ROUND(D1*10000/D10/H9,0)</f>
        <v>#DIV/0!</v>
      </c>
      <c r="F10" s="1311"/>
      <c r="G10" s="1311"/>
      <c r="H10" s="1312"/>
      <c r="I10" s="1313">
        <f>SUM(I3:I9)</f>
        <v>0</v>
      </c>
    </row>
    <row r="11" spans="1:9" ht="14.25">
      <c r="A11" s="3248" t="s">
        <v>1090</v>
      </c>
      <c r="B11" s="3249" t="s">
        <v>1091</v>
      </c>
      <c r="C11" s="3249"/>
      <c r="D11" s="1306" t="s">
        <v>1092</v>
      </c>
      <c r="E11" s="1306" t="s">
        <v>1093</v>
      </c>
      <c r="F11" s="1307" t="s">
        <v>1094</v>
      </c>
      <c r="G11" s="1307" t="s">
        <v>1080</v>
      </c>
      <c r="H11" s="1314" t="s">
        <v>1095</v>
      </c>
      <c r="I11" s="1305" t="s">
        <v>1081</v>
      </c>
    </row>
    <row r="12" spans="1:9">
      <c r="A12" s="3248"/>
      <c r="B12" s="3249" t="s">
        <v>1096</v>
      </c>
      <c r="C12" s="3249"/>
      <c r="D12" s="1306"/>
      <c r="E12" s="1306"/>
      <c r="F12" s="1307"/>
      <c r="G12" s="1308"/>
      <c r="H12" s="1315"/>
      <c r="I12" s="1305">
        <f>ROUND(D12*E12*F12*G12/10000,0)</f>
        <v>0</v>
      </c>
    </row>
    <row r="13" spans="1:9">
      <c r="A13" s="3248"/>
      <c r="B13" s="3249" t="s">
        <v>1097</v>
      </c>
      <c r="C13" s="3249"/>
      <c r="D13" s="1306"/>
      <c r="E13" s="1306"/>
      <c r="F13" s="1307"/>
      <c r="G13" s="1308"/>
      <c r="H13" s="1315"/>
      <c r="I13" s="1305">
        <f>ROUND(D13*E13*F13*G13/10000,0)</f>
        <v>0</v>
      </c>
    </row>
    <row r="14" spans="1:9">
      <c r="A14" s="3248"/>
      <c r="B14" s="3249" t="s">
        <v>1098</v>
      </c>
      <c r="C14" s="3249"/>
      <c r="D14" s="1306"/>
      <c r="E14" s="1306"/>
      <c r="F14" s="1307"/>
      <c r="G14" s="1308"/>
      <c r="H14" s="1315"/>
      <c r="I14" s="1305">
        <f>ROUND(D14*E14*F14*G14/10000,0)</f>
        <v>0</v>
      </c>
    </row>
    <row r="15" spans="1:9">
      <c r="A15" s="3248"/>
      <c r="B15" s="3250" t="s">
        <v>1089</v>
      </c>
      <c r="C15" s="3250"/>
      <c r="D15" s="1310"/>
      <c r="E15" s="1310">
        <f>SUM(E12:E14)</f>
        <v>0</v>
      </c>
      <c r="F15" s="1311"/>
      <c r="G15" s="1308"/>
      <c r="H15" s="1315"/>
      <c r="I15" s="1316">
        <f>SUM(I12:I14)</f>
        <v>0</v>
      </c>
    </row>
    <row r="16" spans="1:9" ht="24">
      <c r="A16" s="3248" t="s">
        <v>1099</v>
      </c>
      <c r="B16" s="3249" t="s">
        <v>1100</v>
      </c>
      <c r="C16" s="3249"/>
      <c r="D16" s="1306" t="s">
        <v>1076</v>
      </c>
      <c r="E16" s="1317" t="s">
        <v>1101</v>
      </c>
      <c r="F16" s="1307" t="s">
        <v>1102</v>
      </c>
      <c r="G16" s="1308" t="s">
        <v>1080</v>
      </c>
      <c r="H16" s="1314" t="s">
        <v>1095</v>
      </c>
      <c r="I16" s="1305" t="s">
        <v>1081</v>
      </c>
    </row>
    <row r="17" spans="1:9" ht="14.25">
      <c r="A17" s="3248"/>
      <c r="B17" s="3249" t="s">
        <v>1103</v>
      </c>
      <c r="C17" s="3249"/>
      <c r="D17" s="1306"/>
      <c r="E17" s="1306"/>
      <c r="F17" s="1307"/>
      <c r="G17" s="1308"/>
      <c r="H17" s="1318"/>
      <c r="I17" s="1319">
        <f>ROUND(D17*E17*F17*G17/10000,0)</f>
        <v>0</v>
      </c>
    </row>
    <row r="18" spans="1:9" ht="14.25">
      <c r="A18" s="3248"/>
      <c r="B18" s="3249" t="s">
        <v>1104</v>
      </c>
      <c r="C18" s="3249"/>
      <c r="D18" s="1306"/>
      <c r="E18" s="1306"/>
      <c r="F18" s="1307"/>
      <c r="G18" s="1308"/>
      <c r="H18" s="1318"/>
      <c r="I18" s="1319">
        <f>ROUND(D18*E18*F18*G18/10000,0)</f>
        <v>0</v>
      </c>
    </row>
    <row r="19" spans="1:9" ht="14.25">
      <c r="A19" s="3248"/>
      <c r="B19" s="3249" t="s">
        <v>1105</v>
      </c>
      <c r="C19" s="3249"/>
      <c r="D19" s="1306"/>
      <c r="E19" s="1306"/>
      <c r="F19" s="1307"/>
      <c r="G19" s="1308"/>
      <c r="H19" s="1318"/>
      <c r="I19" s="1319">
        <f>ROUND(D19*E19*F19*G19/10000,0)</f>
        <v>0</v>
      </c>
    </row>
    <row r="20" spans="1:9">
      <c r="A20" s="3248"/>
      <c r="B20" s="3250" t="s">
        <v>1089</v>
      </c>
      <c r="C20" s="3250"/>
      <c r="D20" s="1310">
        <f>SUM(D17:D19)</f>
        <v>0</v>
      </c>
      <c r="E20" s="1310"/>
      <c r="F20" s="1311"/>
      <c r="G20" s="1308"/>
      <c r="H20" s="1315"/>
      <c r="I20" s="1316">
        <f>SUM(I17:I19)</f>
        <v>0</v>
      </c>
    </row>
    <row r="21" spans="1:9">
      <c r="A21" s="3248" t="s">
        <v>1106</v>
      </c>
      <c r="B21" s="3251"/>
      <c r="C21" s="3251"/>
      <c r="D21" s="3251"/>
      <c r="E21" s="3251"/>
      <c r="F21" s="3251"/>
      <c r="G21" s="3251"/>
      <c r="H21" s="1768">
        <v>0.1</v>
      </c>
      <c r="I21" s="1313">
        <f>ROUND(I10*H21,0)</f>
        <v>0</v>
      </c>
    </row>
    <row r="22" spans="1:9" ht="14.25">
      <c r="A22" s="3252" t="s">
        <v>1107</v>
      </c>
      <c r="B22" s="3253"/>
      <c r="C22" s="3254"/>
      <c r="D22" s="1320" t="s">
        <v>1108</v>
      </c>
      <c r="E22" s="1320" t="s">
        <v>1109</v>
      </c>
      <c r="F22" s="1321" t="s">
        <v>1110</v>
      </c>
      <c r="G22" s="1321" t="s">
        <v>1111</v>
      </c>
      <c r="H22" s="1314" t="s">
        <v>1112</v>
      </c>
      <c r="I22" s="1305" t="s">
        <v>1113</v>
      </c>
    </row>
    <row r="23" spans="1:9" ht="14.25" thickBot="1">
      <c r="A23" s="3255"/>
      <c r="B23" s="3256"/>
      <c r="C23" s="3257"/>
      <c r="D23" s="1322"/>
      <c r="E23" s="1322"/>
      <c r="F23" s="1322"/>
      <c r="G23" s="1323"/>
      <c r="H23" s="1324"/>
      <c r="I23" s="1325">
        <f>ROUND(E23*D23*F23*(1-G23)/10000,0)</f>
        <v>0</v>
      </c>
    </row>
    <row r="26" spans="1:9">
      <c r="A26" s="1326" t="s">
        <v>1114</v>
      </c>
      <c r="B26" s="1326"/>
      <c r="C26" s="1326"/>
      <c r="D26" s="1326"/>
      <c r="E26" s="3245">
        <f>C27-C30-C31-C32</f>
        <v>0</v>
      </c>
      <c r="F26" s="3245"/>
      <c r="G26" s="3245"/>
      <c r="H26" s="1740" t="s">
        <v>1336</v>
      </c>
    </row>
    <row r="27" spans="1:9">
      <c r="A27" s="1327">
        <v>1</v>
      </c>
      <c r="B27" s="1328" t="s">
        <v>1115</v>
      </c>
      <c r="C27" s="1328">
        <f>C28+C29</f>
        <v>0</v>
      </c>
      <c r="D27" s="1328"/>
      <c r="E27" s="3246"/>
      <c r="F27" s="3246"/>
      <c r="G27" s="3246"/>
    </row>
    <row r="28" spans="1:9">
      <c r="A28" s="1329" t="s">
        <v>1116</v>
      </c>
      <c r="B28" s="1328" t="s">
        <v>1117</v>
      </c>
      <c r="C28" s="1328"/>
      <c r="D28" s="1328"/>
      <c r="E28" s="3246"/>
      <c r="F28" s="3246"/>
      <c r="G28" s="3246"/>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247"/>
      <c r="F32" s="3247"/>
      <c r="G32" s="3247"/>
    </row>
    <row r="33" spans="1:7" hidden="1">
      <c r="A33" s="3242" t="s">
        <v>1126</v>
      </c>
      <c r="B33" s="3243"/>
      <c r="C33" s="3243"/>
      <c r="D33" s="3244"/>
      <c r="E33" s="3245"/>
      <c r="F33" s="3245"/>
      <c r="G33" s="3245"/>
    </row>
    <row r="34" spans="1:7" hidden="1">
      <c r="A34" s="1331">
        <v>1</v>
      </c>
      <c r="B34" s="1328" t="s">
        <v>1127</v>
      </c>
      <c r="C34" s="1328"/>
      <c r="D34" s="1328"/>
      <c r="E34" s="3246"/>
      <c r="F34" s="3246"/>
      <c r="G34" s="3246"/>
    </row>
    <row r="35" spans="1:7" hidden="1">
      <c r="A35" s="1331">
        <v>2</v>
      </c>
      <c r="B35" s="1328" t="s">
        <v>1128</v>
      </c>
      <c r="C35" s="1328"/>
      <c r="D35" s="1328"/>
      <c r="E35" s="3246"/>
      <c r="F35" s="3246"/>
      <c r="G35" s="3246"/>
    </row>
    <row r="36" spans="1:7" hidden="1">
      <c r="A36" s="1331">
        <v>3</v>
      </c>
      <c r="B36" s="1328" t="s">
        <v>1129</v>
      </c>
      <c r="C36" s="1328"/>
      <c r="D36" s="1328"/>
      <c r="E36" s="3246"/>
      <c r="F36" s="3246"/>
      <c r="G36" s="3246"/>
    </row>
    <row r="37" spans="1:7" hidden="1">
      <c r="A37" s="1331">
        <v>4</v>
      </c>
      <c r="B37" s="1328" t="s">
        <v>1130</v>
      </c>
      <c r="C37" s="1328"/>
      <c r="D37" s="1328"/>
      <c r="E37" s="3246"/>
      <c r="F37" s="3246"/>
      <c r="G37" s="3246"/>
    </row>
    <row r="38" spans="1:7" hidden="1">
      <c r="A38" s="3242" t="s">
        <v>1131</v>
      </c>
      <c r="B38" s="3243"/>
      <c r="C38" s="3243"/>
      <c r="D38" s="3244"/>
      <c r="E38" s="3245"/>
      <c r="F38" s="3245"/>
      <c r="G38" s="324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2527</v>
      </c>
      <c r="B1" s="2587" t="s">
        <v>2528</v>
      </c>
      <c r="C1" s="1637" t="s">
        <v>2529</v>
      </c>
      <c r="D1" s="1624"/>
      <c r="E1" s="2588"/>
      <c r="F1" s="2589" t="s">
        <v>2530</v>
      </c>
      <c r="G1" s="1634" t="s">
        <v>2531</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91"/>
      <c r="D2" s="1368" t="e">
        <f ca="1">SUMIF(INDIRECT("'"&amp;F2&amp;"'"&amp;"!A:A"),"承租人权益价值",INDIRECT("'"&amp;F2&amp;"'"&amp;"!c:c"))</f>
        <v>#REF!</v>
      </c>
      <c r="E2" s="2592" t="s">
        <v>2532</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1391</v>
      </c>
      <c r="B3" s="399" t="e">
        <f ca="1">IF(C2="——",C49,ROUND(B2*10000/D3,0))</f>
        <v>#DIV/0!</v>
      </c>
      <c r="C3" s="400" t="s">
        <v>2533</v>
      </c>
      <c r="D3" s="399">
        <f>IF(D1="",'数据-汇总表'!E3,SUMIF('数据-汇总表'!$C19:$C33,D1,'数据-汇总表'!$E19:$E33))</f>
        <v>20447.539999999997</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2534</v>
      </c>
      <c r="B4" s="402"/>
      <c r="C4" s="3281" t="s">
        <v>2535</v>
      </c>
      <c r="D4" s="3282"/>
      <c r="E4" s="3283" t="s">
        <v>2536</v>
      </c>
      <c r="F4" s="3284"/>
      <c r="G4" s="3281" t="s">
        <v>2537</v>
      </c>
      <c r="H4" s="3282"/>
      <c r="I4" s="3281" t="s">
        <v>2538</v>
      </c>
      <c r="J4" s="3282"/>
      <c r="K4" s="2601" t="s">
        <v>2539</v>
      </c>
      <c r="L4" s="1133"/>
      <c r="M4" s="1134"/>
      <c r="N4" s="1134"/>
      <c r="O4" s="1134"/>
      <c r="P4" s="3285" t="s">
        <v>2540</v>
      </c>
      <c r="Q4" s="3286"/>
      <c r="R4" s="3291" t="s">
        <v>2536</v>
      </c>
      <c r="S4" s="3292"/>
      <c r="T4" s="3291" t="s">
        <v>2537</v>
      </c>
      <c r="U4" s="3292"/>
      <c r="V4" s="3297" t="s">
        <v>2538</v>
      </c>
      <c r="W4" s="3297"/>
      <c r="X4" s="1816"/>
      <c r="Y4" s="3291" t="s">
        <v>2540</v>
      </c>
      <c r="Z4" s="3292"/>
      <c r="AA4" s="3278" t="s">
        <v>2536</v>
      </c>
      <c r="AB4" s="3278" t="s">
        <v>2537</v>
      </c>
      <c r="AC4" s="3278" t="s">
        <v>2538</v>
      </c>
    </row>
    <row r="5" spans="1:29" ht="15">
      <c r="A5" s="404"/>
      <c r="B5" s="405"/>
      <c r="C5" s="3300" t="s">
        <v>2541</v>
      </c>
      <c r="D5" s="3301"/>
      <c r="E5" s="3307" t="s">
        <v>2542</v>
      </c>
      <c r="F5" s="3308"/>
      <c r="G5" s="3300" t="s">
        <v>2543</v>
      </c>
      <c r="H5" s="3301"/>
      <c r="I5" s="3300" t="s">
        <v>2544</v>
      </c>
      <c r="J5" s="3301"/>
      <c r="K5" s="2602"/>
      <c r="L5" s="1133"/>
      <c r="M5" s="1134"/>
      <c r="N5" s="1134"/>
      <c r="O5" s="1134"/>
      <c r="P5" s="3287"/>
      <c r="Q5" s="3288"/>
      <c r="R5" s="3293"/>
      <c r="S5" s="3294"/>
      <c r="T5" s="3293"/>
      <c r="U5" s="3294"/>
      <c r="V5" s="3297"/>
      <c r="W5" s="3297"/>
      <c r="X5" s="1816"/>
      <c r="Y5" s="3293"/>
      <c r="Z5" s="3294"/>
      <c r="AA5" s="3279"/>
      <c r="AB5" s="3279"/>
      <c r="AC5" s="3279"/>
    </row>
    <row r="6" spans="1:29" ht="15.75" thickBot="1">
      <c r="A6" s="406"/>
      <c r="B6" s="407"/>
      <c r="C6" s="3298" t="s">
        <v>2545</v>
      </c>
      <c r="D6" s="3299"/>
      <c r="E6" s="3305" t="s">
        <v>2545</v>
      </c>
      <c r="F6" s="3306"/>
      <c r="G6" s="3298" t="s">
        <v>2545</v>
      </c>
      <c r="H6" s="3299"/>
      <c r="I6" s="3298" t="s">
        <v>2545</v>
      </c>
      <c r="J6" s="3299"/>
      <c r="K6" s="2602" t="s">
        <v>2546</v>
      </c>
      <c r="L6" s="1133"/>
      <c r="M6" s="1134"/>
      <c r="N6" s="1134"/>
      <c r="O6" s="1134"/>
      <c r="P6" s="3289"/>
      <c r="Q6" s="3290"/>
      <c r="R6" s="3293"/>
      <c r="S6" s="3294"/>
      <c r="T6" s="3295"/>
      <c r="U6" s="3296"/>
      <c r="V6" s="3297"/>
      <c r="W6" s="3297"/>
      <c r="X6" s="1816"/>
      <c r="Y6" s="3295"/>
      <c r="Z6" s="3296"/>
      <c r="AA6" s="3280"/>
      <c r="AB6" s="3280"/>
      <c r="AC6" s="3280"/>
    </row>
    <row r="7" spans="1:29" s="117" customFormat="1" ht="15.75" thickBot="1">
      <c r="A7" s="408" t="s">
        <v>2547</v>
      </c>
      <c r="B7" s="409"/>
      <c r="C7" s="410">
        <f>'数据-取费表'!B2</f>
        <v>43598</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302" t="s">
        <v>2548</v>
      </c>
      <c r="Q7" s="3304"/>
      <c r="R7" s="770" t="s">
        <v>23</v>
      </c>
      <c r="S7" s="771">
        <f t="shared" ref="S7:S15" si="0">F7</f>
        <v>0</v>
      </c>
      <c r="T7" s="770" t="s">
        <v>23</v>
      </c>
      <c r="U7" s="771">
        <f t="shared" ref="U7:U15" si="1">H7</f>
        <v>0</v>
      </c>
      <c r="V7" s="770" t="s">
        <v>23</v>
      </c>
      <c r="W7" s="771">
        <f t="shared" ref="W7:W15" si="2">J7</f>
        <v>0</v>
      </c>
      <c r="X7" s="772"/>
      <c r="Y7" s="3302" t="s">
        <v>2548</v>
      </c>
      <c r="Z7" s="3303"/>
      <c r="AA7" s="773" t="e">
        <f>D7/F7</f>
        <v>#DIV/0!</v>
      </c>
      <c r="AB7" s="773" t="e">
        <f>D7/H7</f>
        <v>#DIV/0!</v>
      </c>
      <c r="AC7" s="773" t="e">
        <f>D7/J7</f>
        <v>#DIV/0!</v>
      </c>
    </row>
    <row r="8" spans="1:29" s="117" customFormat="1" ht="15.75" thickBot="1">
      <c r="A8" s="408" t="s">
        <v>2549</v>
      </c>
      <c r="B8" s="409"/>
      <c r="C8" s="414" t="s">
        <v>2550</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302" t="s">
        <v>2551</v>
      </c>
      <c r="Q8" s="3303"/>
      <c r="R8" s="770" t="s">
        <v>23</v>
      </c>
      <c r="S8" s="771">
        <f t="shared" si="0"/>
        <v>0</v>
      </c>
      <c r="T8" s="770" t="s">
        <v>23</v>
      </c>
      <c r="U8" s="771">
        <f t="shared" si="1"/>
        <v>0</v>
      </c>
      <c r="V8" s="770" t="s">
        <v>23</v>
      </c>
      <c r="W8" s="771">
        <f t="shared" si="2"/>
        <v>0</v>
      </c>
      <c r="X8" s="772"/>
      <c r="Y8" s="3302" t="s">
        <v>2551</v>
      </c>
      <c r="Z8" s="3303"/>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277" t="s">
        <v>2554</v>
      </c>
      <c r="Q9" s="1798" t="str">
        <f t="shared" ref="Q9:Q15" si="6">B9</f>
        <v>用途</v>
      </c>
      <c r="R9" s="770" t="s">
        <v>17</v>
      </c>
      <c r="S9" s="771">
        <f t="shared" si="0"/>
        <v>100</v>
      </c>
      <c r="T9" s="770" t="s">
        <v>17</v>
      </c>
      <c r="U9" s="771">
        <f t="shared" si="1"/>
        <v>100</v>
      </c>
      <c r="V9" s="770" t="s">
        <v>17</v>
      </c>
      <c r="W9" s="771">
        <f t="shared" si="2"/>
        <v>100</v>
      </c>
      <c r="X9" s="772"/>
      <c r="Y9" s="3080"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77"/>
      <c r="Q10" s="1798" t="str">
        <f t="shared" si="6"/>
        <v>土地使用年限（年）</v>
      </c>
      <c r="R10" s="770" t="s">
        <v>17</v>
      </c>
      <c r="S10" s="771">
        <f t="shared" si="0"/>
        <v>100</v>
      </c>
      <c r="T10" s="770" t="s">
        <v>17</v>
      </c>
      <c r="U10" s="771">
        <f t="shared" si="1"/>
        <v>100</v>
      </c>
      <c r="V10" s="770" t="s">
        <v>17</v>
      </c>
      <c r="W10" s="771">
        <f t="shared" si="2"/>
        <v>100</v>
      </c>
      <c r="X10" s="772"/>
      <c r="Y10" s="3080"/>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77"/>
      <c r="Q11" s="1798" t="str">
        <f t="shared" si="6"/>
        <v>容积率</v>
      </c>
      <c r="R11" s="770" t="s">
        <v>21</v>
      </c>
      <c r="S11" s="771" t="e">
        <f t="shared" si="0"/>
        <v>#N/A</v>
      </c>
      <c r="T11" s="770" t="s">
        <v>21</v>
      </c>
      <c r="U11" s="771" t="e">
        <f t="shared" si="1"/>
        <v>#N/A</v>
      </c>
      <c r="V11" s="770" t="s">
        <v>21</v>
      </c>
      <c r="W11" s="771" t="e">
        <f t="shared" si="2"/>
        <v>#N/A</v>
      </c>
      <c r="X11" s="772"/>
      <c r="Y11" s="3080"/>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277"/>
      <c r="Q12" s="1798">
        <f t="shared" si="6"/>
        <v>111</v>
      </c>
      <c r="R12" s="770" t="s">
        <v>21</v>
      </c>
      <c r="S12" s="771">
        <f t="shared" si="0"/>
        <v>100</v>
      </c>
      <c r="T12" s="770" t="s">
        <v>21</v>
      </c>
      <c r="U12" s="771">
        <f t="shared" si="1"/>
        <v>100</v>
      </c>
      <c r="V12" s="770" t="s">
        <v>21</v>
      </c>
      <c r="W12" s="771">
        <f t="shared" si="2"/>
        <v>100</v>
      </c>
      <c r="X12" s="772"/>
      <c r="Y12" s="3080"/>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277"/>
      <c r="Q13" s="1798">
        <f t="shared" si="6"/>
        <v>111</v>
      </c>
      <c r="R13" s="770" t="s">
        <v>21</v>
      </c>
      <c r="S13" s="771">
        <f t="shared" si="0"/>
        <v>100</v>
      </c>
      <c r="T13" s="770" t="s">
        <v>21</v>
      </c>
      <c r="U13" s="771">
        <f t="shared" si="1"/>
        <v>100</v>
      </c>
      <c r="V13" s="770" t="s">
        <v>21</v>
      </c>
      <c r="W13" s="771">
        <f t="shared" si="2"/>
        <v>100</v>
      </c>
      <c r="X13" s="772"/>
      <c r="Y13" s="3080"/>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277"/>
      <c r="Q14" s="1798">
        <f t="shared" si="6"/>
        <v>111</v>
      </c>
      <c r="R14" s="770" t="s">
        <v>21</v>
      </c>
      <c r="S14" s="771">
        <f t="shared" si="0"/>
        <v>100</v>
      </c>
      <c r="T14" s="770" t="s">
        <v>21</v>
      </c>
      <c r="U14" s="771">
        <f t="shared" si="1"/>
        <v>100</v>
      </c>
      <c r="V14" s="770" t="s">
        <v>21</v>
      </c>
      <c r="W14" s="771">
        <f t="shared" si="2"/>
        <v>100</v>
      </c>
      <c r="X14" s="772"/>
      <c r="Y14" s="3080"/>
      <c r="Z14" s="55">
        <f t="shared" si="7"/>
        <v>111</v>
      </c>
      <c r="AA14" s="773">
        <f t="shared" si="3"/>
        <v>1</v>
      </c>
      <c r="AB14" s="773">
        <f t="shared" si="4"/>
        <v>1</v>
      </c>
      <c r="AC14" s="773">
        <f t="shared" si="5"/>
        <v>1</v>
      </c>
    </row>
    <row r="15" spans="1:29" ht="99.75">
      <c r="A15" s="440" t="s">
        <v>2558</v>
      </c>
      <c r="B15" s="69" t="s">
        <v>2084</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75" t="s">
        <v>2559</v>
      </c>
      <c r="Q15" s="1813" t="str">
        <f t="shared" si="6"/>
        <v>居住社区成熟度</v>
      </c>
      <c r="R15" s="774" t="s">
        <v>21</v>
      </c>
      <c r="S15" s="775">
        <f t="shared" si="0"/>
        <v>100</v>
      </c>
      <c r="T15" s="774" t="s">
        <v>21</v>
      </c>
      <c r="U15" s="775">
        <f t="shared" si="1"/>
        <v>100</v>
      </c>
      <c r="V15" s="774" t="s">
        <v>21</v>
      </c>
      <c r="W15" s="775">
        <f t="shared" si="2"/>
        <v>100</v>
      </c>
      <c r="X15" s="1816"/>
      <c r="Y15" s="3268" t="s">
        <v>2559</v>
      </c>
      <c r="Z15" s="1817" t="str">
        <f t="shared" si="7"/>
        <v>居住社区成熟度</v>
      </c>
      <c r="AA15" s="1814">
        <f t="shared" si="3"/>
        <v>1</v>
      </c>
      <c r="AB15" s="1814">
        <f t="shared" si="4"/>
        <v>1</v>
      </c>
      <c r="AC15" s="1814">
        <f t="shared" si="5"/>
        <v>1</v>
      </c>
    </row>
    <row r="16" spans="1:29" ht="15">
      <c r="A16" s="428"/>
      <c r="B16" s="446"/>
      <c r="C16" s="447"/>
      <c r="D16" s="448"/>
      <c r="E16" s="2609"/>
      <c r="F16" s="448"/>
      <c r="G16" s="2610"/>
      <c r="H16" s="450"/>
      <c r="I16" s="2610"/>
      <c r="J16" s="448"/>
      <c r="K16" s="2611"/>
      <c r="L16" s="1143"/>
      <c r="M16" s="1134"/>
      <c r="N16" s="1134"/>
      <c r="O16" s="1134"/>
      <c r="P16" s="3276"/>
      <c r="Q16" s="1813"/>
      <c r="R16" s="774"/>
      <c r="S16" s="775"/>
      <c r="T16" s="774"/>
      <c r="U16" s="775"/>
      <c r="V16" s="774"/>
      <c r="W16" s="775"/>
      <c r="X16" s="1816"/>
      <c r="Y16" s="3269"/>
      <c r="Z16" s="1817"/>
      <c r="AA16" s="1814">
        <v>1</v>
      </c>
      <c r="AB16" s="1814">
        <v>1</v>
      </c>
      <c r="AC16" s="1814">
        <v>1</v>
      </c>
    </row>
    <row r="17" spans="1:29" ht="85.5">
      <c r="A17" s="428"/>
      <c r="B17" s="451" t="s">
        <v>2096</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76"/>
      <c r="Q17" s="1813" t="str">
        <f>B17</f>
        <v>交通便捷度</v>
      </c>
      <c r="R17" s="774" t="s">
        <v>21</v>
      </c>
      <c r="S17" s="775">
        <f>F17</f>
        <v>100</v>
      </c>
      <c r="T17" s="774" t="s">
        <v>21</v>
      </c>
      <c r="U17" s="775">
        <f>H17</f>
        <v>100</v>
      </c>
      <c r="V17" s="774" t="s">
        <v>21</v>
      </c>
      <c r="W17" s="775">
        <f>J17</f>
        <v>100</v>
      </c>
      <c r="X17" s="1816"/>
      <c r="Y17" s="3269"/>
      <c r="Z17" s="1817" t="str">
        <f>Q17</f>
        <v>交通便捷度</v>
      </c>
      <c r="AA17" s="1814">
        <f t="shared" si="3"/>
        <v>1</v>
      </c>
      <c r="AB17" s="1814">
        <f t="shared" si="4"/>
        <v>1</v>
      </c>
      <c r="AC17" s="1814">
        <f t="shared" si="5"/>
        <v>1</v>
      </c>
    </row>
    <row r="18" spans="1:29" ht="15">
      <c r="A18" s="428"/>
      <c r="B18" s="456"/>
      <c r="C18" s="2613"/>
      <c r="D18" s="450"/>
      <c r="E18" s="2614"/>
      <c r="F18" s="450"/>
      <c r="G18" s="2615"/>
      <c r="H18" s="448"/>
      <c r="I18" s="2615"/>
      <c r="J18" s="448"/>
      <c r="K18" s="2611"/>
      <c r="L18" s="1143"/>
      <c r="M18" s="1134"/>
      <c r="N18" s="1134"/>
      <c r="O18" s="1134"/>
      <c r="P18" s="3276"/>
      <c r="Q18" s="1813"/>
      <c r="R18" s="774"/>
      <c r="S18" s="775"/>
      <c r="T18" s="774"/>
      <c r="U18" s="775"/>
      <c r="V18" s="774"/>
      <c r="W18" s="775"/>
      <c r="X18" s="1816"/>
      <c r="Y18" s="3269"/>
      <c r="Z18" s="1817"/>
      <c r="AA18" s="1814">
        <v>1</v>
      </c>
      <c r="AB18" s="1814">
        <v>1</v>
      </c>
      <c r="AC18" s="1814">
        <v>1</v>
      </c>
    </row>
    <row r="19" spans="1:29" ht="42.75">
      <c r="A19" s="428"/>
      <c r="B19" s="451" t="s">
        <v>2094</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76"/>
      <c r="Q19" s="1813" t="str">
        <f>B19</f>
        <v>公共配套设施</v>
      </c>
      <c r="R19" s="774" t="s">
        <v>21</v>
      </c>
      <c r="S19" s="775">
        <f>F19</f>
        <v>100</v>
      </c>
      <c r="T19" s="774" t="s">
        <v>21</v>
      </c>
      <c r="U19" s="775">
        <f>H19</f>
        <v>100</v>
      </c>
      <c r="V19" s="774" t="s">
        <v>21</v>
      </c>
      <c r="W19" s="775">
        <f>J19</f>
        <v>100</v>
      </c>
      <c r="X19" s="1816"/>
      <c r="Y19" s="3269"/>
      <c r="Z19" s="1817" t="str">
        <f>Q19</f>
        <v>公共配套设施</v>
      </c>
      <c r="AA19" s="1814">
        <f t="shared" si="3"/>
        <v>1</v>
      </c>
      <c r="AB19" s="1814">
        <f t="shared" si="4"/>
        <v>1</v>
      </c>
      <c r="AC19" s="1814">
        <f t="shared" si="5"/>
        <v>1</v>
      </c>
    </row>
    <row r="20" spans="1:29" ht="15">
      <c r="A20" s="428"/>
      <c r="B20" s="456"/>
      <c r="C20" s="447"/>
      <c r="D20" s="448"/>
      <c r="E20" s="2609"/>
      <c r="F20" s="448"/>
      <c r="G20" s="2610"/>
      <c r="H20" s="448"/>
      <c r="I20" s="2610"/>
      <c r="J20" s="448"/>
      <c r="K20" s="2611"/>
      <c r="L20" s="1143"/>
      <c r="M20" s="1134"/>
      <c r="N20" s="1134"/>
      <c r="O20" s="1134"/>
      <c r="P20" s="3276"/>
      <c r="Q20" s="1813"/>
      <c r="R20" s="774"/>
      <c r="S20" s="775"/>
      <c r="T20" s="774"/>
      <c r="U20" s="775"/>
      <c r="V20" s="774"/>
      <c r="W20" s="775"/>
      <c r="X20" s="1816"/>
      <c r="Y20" s="3269"/>
      <c r="Z20" s="1817"/>
      <c r="AA20" s="1814">
        <v>1</v>
      </c>
      <c r="AB20" s="1814">
        <v>1</v>
      </c>
      <c r="AC20" s="1814">
        <v>1</v>
      </c>
    </row>
    <row r="21" spans="1:29" ht="28.5">
      <c r="A21" s="428"/>
      <c r="B21" s="1387" t="s">
        <v>2097</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76"/>
      <c r="Q21" s="1813" t="str">
        <f>B21</f>
        <v>基础设施水平</v>
      </c>
      <c r="R21" s="774" t="s">
        <v>17</v>
      </c>
      <c r="S21" s="775">
        <f>F21</f>
        <v>100</v>
      </c>
      <c r="T21" s="774" t="s">
        <v>17</v>
      </c>
      <c r="U21" s="775">
        <f>H21</f>
        <v>100</v>
      </c>
      <c r="V21" s="774" t="s">
        <v>17</v>
      </c>
      <c r="W21" s="775">
        <f>J21</f>
        <v>100</v>
      </c>
      <c r="X21" s="1816"/>
      <c r="Y21" s="3269"/>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8"/>
      <c r="G22" s="2616"/>
      <c r="H22" s="448"/>
      <c r="I22" s="447"/>
      <c r="J22" s="448"/>
      <c r="K22" s="2617"/>
      <c r="L22" s="1143"/>
      <c r="M22" s="1134"/>
      <c r="N22" s="1134"/>
      <c r="O22" s="1134"/>
      <c r="P22" s="3276"/>
      <c r="Q22" s="1813"/>
      <c r="R22" s="774"/>
      <c r="S22" s="775"/>
      <c r="T22" s="774"/>
      <c r="U22" s="775"/>
      <c r="V22" s="774"/>
      <c r="W22" s="775"/>
      <c r="X22" s="1816"/>
      <c r="Y22" s="3269"/>
      <c r="Z22" s="1817"/>
      <c r="AA22" s="1814">
        <v>1</v>
      </c>
      <c r="AB22" s="1814">
        <v>1</v>
      </c>
      <c r="AC22" s="1814">
        <v>1</v>
      </c>
    </row>
    <row r="23" spans="1:29" ht="57">
      <c r="A23" s="428"/>
      <c r="B23" s="451" t="s">
        <v>2101</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76"/>
      <c r="Q23" s="1813" t="str">
        <f>B23</f>
        <v>自然及人文环境</v>
      </c>
      <c r="R23" s="774" t="s">
        <v>21</v>
      </c>
      <c r="S23" s="775">
        <f>F23</f>
        <v>100</v>
      </c>
      <c r="T23" s="774" t="s">
        <v>21</v>
      </c>
      <c r="U23" s="775">
        <f>H23</f>
        <v>100</v>
      </c>
      <c r="V23" s="774" t="s">
        <v>21</v>
      </c>
      <c r="W23" s="775">
        <f>J23</f>
        <v>100</v>
      </c>
      <c r="X23" s="1816"/>
      <c r="Y23" s="3269"/>
      <c r="Z23" s="1817" t="str">
        <f>Q23</f>
        <v>自然及人文环境</v>
      </c>
      <c r="AA23" s="1814">
        <f>D23/F23</f>
        <v>1</v>
      </c>
      <c r="AB23" s="1814">
        <f>D23/H23</f>
        <v>1</v>
      </c>
      <c r="AC23" s="1814">
        <f>D23/J23</f>
        <v>1</v>
      </c>
    </row>
    <row r="24" spans="1:29" ht="15">
      <c r="A24" s="428"/>
      <c r="B24" s="456"/>
      <c r="C24" s="447"/>
      <c r="D24" s="448"/>
      <c r="E24" s="2609"/>
      <c r="F24" s="448"/>
      <c r="G24" s="2610"/>
      <c r="H24" s="448"/>
      <c r="I24" s="2610"/>
      <c r="J24" s="448"/>
      <c r="K24" s="2611"/>
      <c r="L24" s="1143"/>
      <c r="M24" s="1134"/>
      <c r="N24" s="1134"/>
      <c r="O24" s="1134"/>
      <c r="P24" s="3276"/>
      <c r="Q24" s="1813"/>
      <c r="R24" s="774"/>
      <c r="S24" s="775"/>
      <c r="T24" s="774"/>
      <c r="U24" s="775"/>
      <c r="V24" s="774"/>
      <c r="W24" s="775"/>
      <c r="X24" s="1816"/>
      <c r="Y24" s="3269"/>
      <c r="Z24" s="1817"/>
      <c r="AA24" s="1814">
        <v>1</v>
      </c>
      <c r="AB24" s="1814">
        <v>1</v>
      </c>
      <c r="AC24" s="1814">
        <v>1</v>
      </c>
    </row>
    <row r="25" spans="1:29" ht="15">
      <c r="A25" s="428"/>
      <c r="B25" s="422" t="s">
        <v>2560</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76"/>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69"/>
      <c r="Z25" s="1817" t="str">
        <f>Q25</f>
        <v>楼层-1</v>
      </c>
      <c r="AA25" s="1814">
        <f t="shared" ref="AA25:AA46" si="15">D25/F25</f>
        <v>1</v>
      </c>
      <c r="AB25" s="1814">
        <f t="shared" ref="AB25:AB46" si="16">D25/H25</f>
        <v>1</v>
      </c>
      <c r="AC25" s="1814">
        <f t="shared" ref="AC25:AC46" si="17">D25/J25</f>
        <v>1</v>
      </c>
    </row>
    <row r="26" spans="1:29" ht="15">
      <c r="A26" s="428"/>
      <c r="B26" s="422" t="s">
        <v>2561</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76"/>
      <c r="Q26" s="1813" t="str">
        <f t="shared" si="11"/>
        <v>朝向</v>
      </c>
      <c r="R26" s="774" t="s">
        <v>21</v>
      </c>
      <c r="S26" s="775">
        <f t="shared" si="12"/>
        <v>100</v>
      </c>
      <c r="T26" s="774" t="s">
        <v>21</v>
      </c>
      <c r="U26" s="775">
        <f t="shared" si="13"/>
        <v>100</v>
      </c>
      <c r="V26" s="774" t="s">
        <v>21</v>
      </c>
      <c r="W26" s="775">
        <f t="shared" si="14"/>
        <v>100</v>
      </c>
      <c r="X26" s="1816"/>
      <c r="Y26" s="3269"/>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76"/>
      <c r="Q27" s="1798">
        <f t="shared" si="11"/>
        <v>111</v>
      </c>
      <c r="R27" s="770" t="s">
        <v>21</v>
      </c>
      <c r="S27" s="771">
        <f t="shared" si="12"/>
        <v>100</v>
      </c>
      <c r="T27" s="770" t="s">
        <v>21</v>
      </c>
      <c r="U27" s="771">
        <f t="shared" si="13"/>
        <v>100</v>
      </c>
      <c r="V27" s="770" t="s">
        <v>21</v>
      </c>
      <c r="W27" s="771">
        <f t="shared" si="14"/>
        <v>100</v>
      </c>
      <c r="X27" s="772"/>
      <c r="Y27" s="3269"/>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76"/>
      <c r="Q28" s="1813">
        <f t="shared" si="11"/>
        <v>111</v>
      </c>
      <c r="R28" s="774" t="s">
        <v>21</v>
      </c>
      <c r="S28" s="775">
        <f t="shared" si="12"/>
        <v>100</v>
      </c>
      <c r="T28" s="774" t="s">
        <v>21</v>
      </c>
      <c r="U28" s="775">
        <f t="shared" si="13"/>
        <v>100</v>
      </c>
      <c r="V28" s="774" t="s">
        <v>21</v>
      </c>
      <c r="W28" s="775">
        <f t="shared" si="14"/>
        <v>100</v>
      </c>
      <c r="X28" s="1816"/>
      <c r="Y28" s="3269"/>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76"/>
      <c r="Q29" s="1813">
        <f t="shared" si="11"/>
        <v>111</v>
      </c>
      <c r="R29" s="774" t="s">
        <v>21</v>
      </c>
      <c r="S29" s="775">
        <f t="shared" si="12"/>
        <v>100</v>
      </c>
      <c r="T29" s="774" t="s">
        <v>21</v>
      </c>
      <c r="U29" s="775">
        <f t="shared" si="13"/>
        <v>100</v>
      </c>
      <c r="V29" s="774" t="s">
        <v>21</v>
      </c>
      <c r="W29" s="775">
        <f t="shared" si="14"/>
        <v>100</v>
      </c>
      <c r="X29" s="1816"/>
      <c r="Y29" s="3269"/>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76"/>
      <c r="Q30" s="1813">
        <f t="shared" si="11"/>
        <v>111</v>
      </c>
      <c r="R30" s="774" t="s">
        <v>21</v>
      </c>
      <c r="S30" s="775">
        <f t="shared" si="12"/>
        <v>100</v>
      </c>
      <c r="T30" s="774" t="s">
        <v>21</v>
      </c>
      <c r="U30" s="775">
        <f t="shared" si="13"/>
        <v>100</v>
      </c>
      <c r="V30" s="774" t="s">
        <v>21</v>
      </c>
      <c r="W30" s="775">
        <f t="shared" si="14"/>
        <v>100</v>
      </c>
      <c r="X30" s="1816"/>
      <c r="Y30" s="3269"/>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76"/>
      <c r="Q31" s="1813">
        <f t="shared" si="11"/>
        <v>111</v>
      </c>
      <c r="R31" s="774" t="s">
        <v>21</v>
      </c>
      <c r="S31" s="775">
        <f t="shared" si="12"/>
        <v>100</v>
      </c>
      <c r="T31" s="774" t="s">
        <v>21</v>
      </c>
      <c r="U31" s="775">
        <f t="shared" si="13"/>
        <v>100</v>
      </c>
      <c r="V31" s="774" t="s">
        <v>21</v>
      </c>
      <c r="W31" s="775">
        <f t="shared" si="14"/>
        <v>100</v>
      </c>
      <c r="X31" s="1816"/>
      <c r="Y31" s="3269"/>
      <c r="Z31" s="1817">
        <f t="shared" si="18"/>
        <v>111</v>
      </c>
      <c r="AA31" s="1814">
        <f t="shared" si="15"/>
        <v>1</v>
      </c>
      <c r="AB31" s="1814">
        <f t="shared" si="16"/>
        <v>1</v>
      </c>
      <c r="AC31" s="1814">
        <f t="shared" si="17"/>
        <v>1</v>
      </c>
    </row>
    <row r="32" spans="1:29" ht="15">
      <c r="A32" s="440" t="s">
        <v>2562</v>
      </c>
      <c r="B32" s="71" t="s">
        <v>2563</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70" t="s">
        <v>2564</v>
      </c>
      <c r="Q32" s="1813" t="str">
        <f t="shared" si="11"/>
        <v>建筑类型</v>
      </c>
      <c r="R32" s="774" t="s">
        <v>21</v>
      </c>
      <c r="S32" s="775">
        <f t="shared" si="12"/>
        <v>100</v>
      </c>
      <c r="T32" s="774" t="s">
        <v>21</v>
      </c>
      <c r="U32" s="775">
        <f t="shared" si="13"/>
        <v>100</v>
      </c>
      <c r="V32" s="774" t="s">
        <v>21</v>
      </c>
      <c r="W32" s="775">
        <f t="shared" si="14"/>
        <v>100</v>
      </c>
      <c r="X32" s="1816"/>
      <c r="Y32" s="3273" t="s">
        <v>2564</v>
      </c>
      <c r="Z32" s="1817" t="str">
        <f t="shared" si="18"/>
        <v>建筑类型</v>
      </c>
      <c r="AA32" s="1814">
        <f t="shared" si="15"/>
        <v>1</v>
      </c>
      <c r="AB32" s="1814">
        <f t="shared" si="16"/>
        <v>1</v>
      </c>
      <c r="AC32" s="1814">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271"/>
      <c r="Q33" s="776" t="str">
        <f t="shared" si="11"/>
        <v>项目建筑规模</v>
      </c>
      <c r="R33" s="777" t="s">
        <v>21</v>
      </c>
      <c r="S33" s="778" t="e">
        <f t="shared" si="12"/>
        <v>#N/A</v>
      </c>
      <c r="T33" s="777" t="s">
        <v>21</v>
      </c>
      <c r="U33" s="778" t="e">
        <f t="shared" si="13"/>
        <v>#N/A</v>
      </c>
      <c r="V33" s="777" t="s">
        <v>21</v>
      </c>
      <c r="W33" s="778" t="e">
        <f t="shared" si="14"/>
        <v>#N/A</v>
      </c>
      <c r="X33" s="779"/>
      <c r="Y33" s="3273"/>
      <c r="Z33" s="780" t="str">
        <f t="shared" si="18"/>
        <v>项目建筑规模</v>
      </c>
      <c r="AA33" s="1814" t="e">
        <f t="shared" si="15"/>
        <v>#N/A</v>
      </c>
      <c r="AB33" s="1814" t="e">
        <f t="shared" si="16"/>
        <v>#N/A</v>
      </c>
      <c r="AC33" s="1814" t="e">
        <f t="shared" si="17"/>
        <v>#N/A</v>
      </c>
    </row>
    <row r="34" spans="1:29" ht="15">
      <c r="A34" s="472"/>
      <c r="B34" s="422" t="s">
        <v>2566</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71"/>
      <c r="Q34" s="1813" t="str">
        <f t="shared" si="11"/>
        <v>建筑结构</v>
      </c>
      <c r="R34" s="774" t="s">
        <v>21</v>
      </c>
      <c r="S34" s="775">
        <f t="shared" si="12"/>
        <v>100</v>
      </c>
      <c r="T34" s="774" t="s">
        <v>21</v>
      </c>
      <c r="U34" s="775">
        <f t="shared" si="13"/>
        <v>100</v>
      </c>
      <c r="V34" s="774" t="s">
        <v>21</v>
      </c>
      <c r="W34" s="775">
        <f t="shared" si="14"/>
        <v>100</v>
      </c>
      <c r="X34" s="1816"/>
      <c r="Y34" s="3273"/>
      <c r="Z34" s="1817" t="str">
        <f t="shared" si="18"/>
        <v>建筑结构</v>
      </c>
      <c r="AA34" s="1814">
        <f t="shared" si="15"/>
        <v>1</v>
      </c>
      <c r="AB34" s="1814">
        <f t="shared" si="16"/>
        <v>1</v>
      </c>
      <c r="AC34" s="1814">
        <f t="shared" si="17"/>
        <v>1</v>
      </c>
    </row>
    <row r="35" spans="1:29" ht="15">
      <c r="A35" s="472"/>
      <c r="B35" s="422" t="s">
        <v>2567</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71"/>
      <c r="Q35" s="1813" t="str">
        <f t="shared" si="11"/>
        <v>建筑品质</v>
      </c>
      <c r="R35" s="774" t="s">
        <v>21</v>
      </c>
      <c r="S35" s="775">
        <f t="shared" si="12"/>
        <v>100</v>
      </c>
      <c r="T35" s="774" t="s">
        <v>21</v>
      </c>
      <c r="U35" s="775">
        <f t="shared" si="13"/>
        <v>100</v>
      </c>
      <c r="V35" s="774" t="s">
        <v>21</v>
      </c>
      <c r="W35" s="775">
        <f t="shared" si="14"/>
        <v>100</v>
      </c>
      <c r="X35" s="1816"/>
      <c r="Y35" s="3273"/>
      <c r="Z35" s="1817" t="str">
        <f t="shared" si="18"/>
        <v>建筑品质</v>
      </c>
      <c r="AA35" s="1814">
        <f t="shared" si="15"/>
        <v>1</v>
      </c>
      <c r="AB35" s="1814">
        <f t="shared" si="16"/>
        <v>1</v>
      </c>
      <c r="AC35" s="1814">
        <f t="shared" si="17"/>
        <v>1</v>
      </c>
    </row>
    <row r="36" spans="1:29" ht="15">
      <c r="A36" s="472"/>
      <c r="B36" s="422" t="s">
        <v>2568</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71"/>
      <c r="Q36" s="1813" t="str">
        <f t="shared" si="11"/>
        <v>公共部分装修</v>
      </c>
      <c r="R36" s="774" t="s">
        <v>21</v>
      </c>
      <c r="S36" s="775">
        <f t="shared" si="12"/>
        <v>100</v>
      </c>
      <c r="T36" s="774" t="s">
        <v>21</v>
      </c>
      <c r="U36" s="775">
        <f t="shared" si="13"/>
        <v>100</v>
      </c>
      <c r="V36" s="774" t="s">
        <v>21</v>
      </c>
      <c r="W36" s="775">
        <f t="shared" si="14"/>
        <v>100</v>
      </c>
      <c r="X36" s="1816"/>
      <c r="Y36" s="3273"/>
      <c r="Z36" s="1817" t="str">
        <f t="shared" si="18"/>
        <v>公共部分装修</v>
      </c>
      <c r="AA36" s="1814">
        <f t="shared" si="15"/>
        <v>1</v>
      </c>
      <c r="AB36" s="1814">
        <f t="shared" si="16"/>
        <v>1</v>
      </c>
      <c r="AC36" s="1814">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71"/>
      <c r="Q37" s="1798" t="str">
        <f t="shared" si="11"/>
        <v>成新度</v>
      </c>
      <c r="R37" s="770" t="s">
        <v>21</v>
      </c>
      <c r="S37" s="771" t="e">
        <f t="shared" si="12"/>
        <v>#N/A</v>
      </c>
      <c r="T37" s="770" t="s">
        <v>21</v>
      </c>
      <c r="U37" s="771" t="e">
        <f t="shared" si="13"/>
        <v>#N/A</v>
      </c>
      <c r="V37" s="770" t="s">
        <v>21</v>
      </c>
      <c r="W37" s="771" t="e">
        <f t="shared" si="14"/>
        <v>#N/A</v>
      </c>
      <c r="X37" s="772"/>
      <c r="Y37" s="3273"/>
      <c r="Z37" s="55" t="str">
        <f t="shared" si="18"/>
        <v>成新度</v>
      </c>
      <c r="AA37" s="773" t="e">
        <f t="shared" si="15"/>
        <v>#N/A</v>
      </c>
      <c r="AB37" s="773" t="e">
        <f t="shared" si="16"/>
        <v>#N/A</v>
      </c>
      <c r="AC37" s="773" t="e">
        <f t="shared" si="17"/>
        <v>#N/A</v>
      </c>
    </row>
    <row r="38" spans="1:29" ht="15">
      <c r="A38" s="472"/>
      <c r="B38" s="422" t="s">
        <v>2570</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71" t="s">
        <v>2564</v>
      </c>
      <c r="Q38" s="1813" t="str">
        <f t="shared" si="11"/>
        <v>物业管理</v>
      </c>
      <c r="R38" s="774" t="s">
        <v>21</v>
      </c>
      <c r="S38" s="775">
        <f t="shared" si="12"/>
        <v>100</v>
      </c>
      <c r="T38" s="774" t="s">
        <v>21</v>
      </c>
      <c r="U38" s="775">
        <f t="shared" si="13"/>
        <v>100</v>
      </c>
      <c r="V38" s="774" t="s">
        <v>21</v>
      </c>
      <c r="W38" s="775">
        <f t="shared" si="14"/>
        <v>100</v>
      </c>
      <c r="X38" s="1816"/>
      <c r="Y38" s="3273" t="s">
        <v>2564</v>
      </c>
      <c r="Z38" s="1817" t="str">
        <f t="shared" si="18"/>
        <v>物业管理</v>
      </c>
      <c r="AA38" s="1814">
        <f t="shared" si="15"/>
        <v>1</v>
      </c>
      <c r="AB38" s="1814">
        <f t="shared" si="16"/>
        <v>1</v>
      </c>
      <c r="AC38" s="1814">
        <f t="shared" si="17"/>
        <v>1</v>
      </c>
    </row>
    <row r="39" spans="1:29" ht="15">
      <c r="A39" s="472"/>
      <c r="B39" s="422" t="s">
        <v>2571</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71"/>
      <c r="Q39" s="1813" t="str">
        <f t="shared" si="11"/>
        <v>市政基础设施</v>
      </c>
      <c r="R39" s="774" t="s">
        <v>21</v>
      </c>
      <c r="S39" s="775">
        <f t="shared" si="12"/>
        <v>100</v>
      </c>
      <c r="T39" s="774" t="s">
        <v>21</v>
      </c>
      <c r="U39" s="775">
        <f t="shared" si="13"/>
        <v>100</v>
      </c>
      <c r="V39" s="774" t="s">
        <v>21</v>
      </c>
      <c r="W39" s="775">
        <f t="shared" si="14"/>
        <v>100</v>
      </c>
      <c r="X39" s="1816"/>
      <c r="Y39" s="3273"/>
      <c r="Z39" s="1817" t="str">
        <f t="shared" si="18"/>
        <v>市政基础设施</v>
      </c>
      <c r="AA39" s="1814">
        <f t="shared" si="15"/>
        <v>1</v>
      </c>
      <c r="AB39" s="1814">
        <f t="shared" si="16"/>
        <v>1</v>
      </c>
      <c r="AC39" s="1814">
        <f t="shared" si="17"/>
        <v>1</v>
      </c>
    </row>
    <row r="40" spans="1:29" ht="15">
      <c r="A40" s="472"/>
      <c r="B40" s="422" t="s">
        <v>2572</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71"/>
      <c r="Q40" s="1813" t="str">
        <f t="shared" si="11"/>
        <v>房型</v>
      </c>
      <c r="R40" s="774" t="s">
        <v>21</v>
      </c>
      <c r="S40" s="775">
        <f t="shared" si="12"/>
        <v>100</v>
      </c>
      <c r="T40" s="774" t="s">
        <v>21</v>
      </c>
      <c r="U40" s="775">
        <f t="shared" si="13"/>
        <v>100</v>
      </c>
      <c r="V40" s="774" t="s">
        <v>21</v>
      </c>
      <c r="W40" s="775">
        <f t="shared" si="14"/>
        <v>100</v>
      </c>
      <c r="X40" s="1816"/>
      <c r="Y40" s="3273"/>
      <c r="Z40" s="1817" t="str">
        <f t="shared" si="18"/>
        <v>房型</v>
      </c>
      <c r="AA40" s="1814">
        <f t="shared" si="15"/>
        <v>1</v>
      </c>
      <c r="AB40" s="1814">
        <f t="shared" si="16"/>
        <v>1</v>
      </c>
      <c r="AC40" s="1814">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271"/>
      <c r="Q41" s="776" t="str">
        <f t="shared" si="11"/>
        <v>单套/主力户型建筑面积</v>
      </c>
      <c r="R41" s="777" t="s">
        <v>21</v>
      </c>
      <c r="S41" s="778">
        <f t="shared" si="12"/>
        <v>100</v>
      </c>
      <c r="T41" s="777" t="s">
        <v>21</v>
      </c>
      <c r="U41" s="778">
        <f t="shared" si="13"/>
        <v>100</v>
      </c>
      <c r="V41" s="777" t="s">
        <v>21</v>
      </c>
      <c r="W41" s="778">
        <f t="shared" si="14"/>
        <v>100</v>
      </c>
      <c r="X41" s="779"/>
      <c r="Y41" s="3273"/>
      <c r="Z41" s="780" t="str">
        <f t="shared" si="18"/>
        <v>单套/主力户型建筑面积</v>
      </c>
      <c r="AA41" s="1814">
        <f t="shared" si="15"/>
        <v>1</v>
      </c>
      <c r="AB41" s="1814">
        <f t="shared" si="16"/>
        <v>1</v>
      </c>
      <c r="AC41" s="1814">
        <f t="shared" si="17"/>
        <v>1</v>
      </c>
    </row>
    <row r="42" spans="1:29" ht="15">
      <c r="A42" s="472"/>
      <c r="B42" s="422" t="s">
        <v>2574</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71"/>
      <c r="Q42" s="1813" t="str">
        <f t="shared" si="11"/>
        <v>内部装修</v>
      </c>
      <c r="R42" s="774" t="s">
        <v>21</v>
      </c>
      <c r="S42" s="775">
        <f t="shared" si="12"/>
        <v>100</v>
      </c>
      <c r="T42" s="774" t="s">
        <v>21</v>
      </c>
      <c r="U42" s="775">
        <f t="shared" si="13"/>
        <v>100</v>
      </c>
      <c r="V42" s="774" t="s">
        <v>21</v>
      </c>
      <c r="W42" s="775">
        <f t="shared" si="14"/>
        <v>100</v>
      </c>
      <c r="X42" s="1816"/>
      <c r="Y42" s="3273"/>
      <c r="Z42" s="1817" t="str">
        <f t="shared" si="18"/>
        <v>内部装修</v>
      </c>
      <c r="AA42" s="1814">
        <f t="shared" si="15"/>
        <v>1</v>
      </c>
      <c r="AB42" s="1814">
        <f t="shared" si="16"/>
        <v>1</v>
      </c>
      <c r="AC42" s="1814">
        <f t="shared" si="17"/>
        <v>1</v>
      </c>
    </row>
    <row r="43" spans="1:29" ht="15">
      <c r="A43" s="472"/>
      <c r="B43" s="422" t="s">
        <v>2575</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71"/>
      <c r="Q43" s="1813" t="str">
        <f t="shared" si="11"/>
        <v>内部装修维护情况</v>
      </c>
      <c r="R43" s="774" t="s">
        <v>21</v>
      </c>
      <c r="S43" s="775">
        <f t="shared" si="12"/>
        <v>100</v>
      </c>
      <c r="T43" s="774" t="s">
        <v>21</v>
      </c>
      <c r="U43" s="775">
        <f t="shared" si="13"/>
        <v>100</v>
      </c>
      <c r="V43" s="774" t="s">
        <v>21</v>
      </c>
      <c r="W43" s="775">
        <f t="shared" si="14"/>
        <v>100</v>
      </c>
      <c r="X43" s="1816"/>
      <c r="Y43" s="3273"/>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271"/>
      <c r="Q44" s="1798">
        <f t="shared" si="11"/>
        <v>111</v>
      </c>
      <c r="R44" s="770" t="s">
        <v>21</v>
      </c>
      <c r="S44" s="771">
        <f t="shared" si="12"/>
        <v>100</v>
      </c>
      <c r="T44" s="770" t="s">
        <v>21</v>
      </c>
      <c r="U44" s="771">
        <f t="shared" si="13"/>
        <v>100</v>
      </c>
      <c r="V44" s="770" t="s">
        <v>21</v>
      </c>
      <c r="W44" s="771">
        <f t="shared" si="14"/>
        <v>100</v>
      </c>
      <c r="X44" s="772"/>
      <c r="Y44" s="3273"/>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71"/>
      <c r="Q45" s="1813">
        <f t="shared" si="11"/>
        <v>111</v>
      </c>
      <c r="R45" s="774" t="s">
        <v>21</v>
      </c>
      <c r="S45" s="775">
        <f t="shared" si="12"/>
        <v>100</v>
      </c>
      <c r="T45" s="774" t="s">
        <v>21</v>
      </c>
      <c r="U45" s="775">
        <f t="shared" si="13"/>
        <v>100</v>
      </c>
      <c r="V45" s="774" t="s">
        <v>21</v>
      </c>
      <c r="W45" s="775">
        <f t="shared" si="14"/>
        <v>100</v>
      </c>
      <c r="X45" s="1816"/>
      <c r="Y45" s="3273"/>
      <c r="Z45" s="1817">
        <f t="shared" si="18"/>
        <v>111</v>
      </c>
      <c r="AA45" s="1814">
        <f t="shared" si="15"/>
        <v>1</v>
      </c>
      <c r="AB45" s="1814">
        <f t="shared" si="16"/>
        <v>1</v>
      </c>
      <c r="AC45" s="1814">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72"/>
      <c r="Q46" s="1813">
        <f t="shared" si="11"/>
        <v>111</v>
      </c>
      <c r="R46" s="774" t="s">
        <v>20</v>
      </c>
      <c r="S46" s="775">
        <f t="shared" si="12"/>
        <v>100</v>
      </c>
      <c r="T46" s="774" t="s">
        <v>20</v>
      </c>
      <c r="U46" s="775">
        <f t="shared" si="13"/>
        <v>100</v>
      </c>
      <c r="V46" s="774" t="s">
        <v>20</v>
      </c>
      <c r="W46" s="775">
        <f t="shared" si="14"/>
        <v>100</v>
      </c>
      <c r="X46" s="1816"/>
      <c r="Y46" s="3274"/>
      <c r="Z46" s="1817">
        <f t="shared" si="18"/>
        <v>111</v>
      </c>
      <c r="AA46" s="1814">
        <f t="shared" si="15"/>
        <v>1</v>
      </c>
      <c r="AB46" s="1814">
        <f t="shared" si="16"/>
        <v>1</v>
      </c>
      <c r="AC46" s="1814">
        <f t="shared" si="17"/>
        <v>1</v>
      </c>
    </row>
    <row r="47" spans="1:29" ht="15">
      <c r="A47" s="479" t="s">
        <v>2576</v>
      </c>
      <c r="B47" s="480"/>
      <c r="C47" s="1410" t="s">
        <v>19</v>
      </c>
      <c r="D47" s="1411"/>
      <c r="E47" s="1412"/>
      <c r="F47" s="1413"/>
      <c r="G47" s="1414"/>
      <c r="H47" s="1415"/>
      <c r="I47" s="1412"/>
      <c r="J47" s="1415"/>
      <c r="K47" s="2626"/>
      <c r="L47" s="1146"/>
      <c r="M47" s="1147"/>
      <c r="N47" s="1134"/>
      <c r="O47" s="1147"/>
      <c r="P47" s="3266" t="str">
        <f>A47</f>
        <v>成交单价（元/平方米）</v>
      </c>
      <c r="Q47" s="3266"/>
      <c r="R47" s="3267">
        <f>E47</f>
        <v>0</v>
      </c>
      <c r="S47" s="3267"/>
      <c r="T47" s="3267">
        <f>G47</f>
        <v>0</v>
      </c>
      <c r="U47" s="3267"/>
      <c r="V47" s="3267">
        <f>I47</f>
        <v>0</v>
      </c>
      <c r="W47" s="3267"/>
      <c r="X47" s="759"/>
      <c r="Y47" s="781"/>
      <c r="Z47" s="759"/>
      <c r="AA47" s="759"/>
      <c r="AB47" s="759"/>
      <c r="AC47" s="759"/>
    </row>
    <row r="48" spans="1:29" ht="15.75" thickBot="1">
      <c r="A48" s="486" t="s">
        <v>2577</v>
      </c>
      <c r="B48" s="487"/>
      <c r="C48" s="1416" t="e">
        <f>R49</f>
        <v>#DIV/0!</v>
      </c>
      <c r="D48" s="1417"/>
      <c r="E48" s="1418" t="e">
        <f>R48</f>
        <v>#DIV/0!</v>
      </c>
      <c r="F48" s="1418"/>
      <c r="G48" s="1416" t="e">
        <f>T48</f>
        <v>#DIV/0!</v>
      </c>
      <c r="H48" s="1417"/>
      <c r="I48" s="1418" t="e">
        <f>V48</f>
        <v>#DIV/0!</v>
      </c>
      <c r="J48" s="1417"/>
      <c r="K48" s="2627"/>
      <c r="L48" s="1146"/>
      <c r="M48" s="1147"/>
      <c r="N48" s="1147"/>
      <c r="O48" s="1147"/>
      <c r="P48" s="3266" t="str">
        <f>A48</f>
        <v>比较价值（元/平方米）</v>
      </c>
      <c r="Q48" s="3266"/>
      <c r="R48" s="3267" t="e">
        <f>IF(F1="售价",ROUND(PRODUCT(R47,AA7:AA46),0),ROUND(PRODUCT(R47,AA7:AA46),1))</f>
        <v>#DIV/0!</v>
      </c>
      <c r="S48" s="3267"/>
      <c r="T48" s="3267" t="e">
        <f>IF(F1="售价",ROUND(PRODUCT(T47,AB7:AB46),0),ROUND(PRODUCT(T47,AB7:AB46),1))</f>
        <v>#DIV/0!</v>
      </c>
      <c r="U48" s="3267"/>
      <c r="V48" s="3267" t="e">
        <f>IF(F1="售价",ROUND(PRODUCT(V47,AC7:AC46),0),ROUND(PRODUCT(V47,AC7:AC46),1))</f>
        <v>#DIV/0!</v>
      </c>
      <c r="W48" s="3267"/>
      <c r="X48" s="759"/>
      <c r="Y48" s="759"/>
      <c r="Z48" s="759"/>
      <c r="AA48" s="759"/>
      <c r="AB48" s="759"/>
      <c r="AC48" s="759"/>
    </row>
    <row r="49" spans="1:29" ht="15.75" thickBot="1">
      <c r="A49" s="492" t="s">
        <v>2578</v>
      </c>
      <c r="B49" s="493"/>
      <c r="C49" s="1419" t="e">
        <f>R49</f>
        <v>#DIV/0!</v>
      </c>
      <c r="D49" s="1420"/>
      <c r="E49" s="1420"/>
      <c r="F49" s="1420"/>
      <c r="G49" s="1420"/>
      <c r="H49" s="1420"/>
      <c r="I49" s="1420"/>
      <c r="J49" s="1420"/>
      <c r="K49" s="2628"/>
      <c r="L49" s="1146"/>
      <c r="M49" s="1147"/>
      <c r="N49" s="1147"/>
      <c r="O49" s="1147"/>
      <c r="P49" s="3263" t="str">
        <f>A49</f>
        <v>估价对象XX用房的比较价值（楼面单价，元/平方米）</v>
      </c>
      <c r="Q49" s="3264"/>
      <c r="R49" s="3265" t="e">
        <f>IF(F1="售价",ROUND(AVERAGE(R48:V48),0),ROUND(AVERAGE(R48:V48),1))</f>
        <v>#DIV/0!</v>
      </c>
      <c r="S49" s="3265"/>
      <c r="T49" s="3265"/>
      <c r="U49" s="3265"/>
      <c r="V49" s="3265"/>
      <c r="W49" s="326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2582</v>
      </c>
      <c r="B57" s="759"/>
      <c r="C57" s="764"/>
      <c r="D57" s="764"/>
      <c r="E57" s="764"/>
      <c r="F57" s="765"/>
      <c r="G57" s="765"/>
      <c r="H57" s="764"/>
      <c r="I57" s="764"/>
      <c r="J57" s="764"/>
      <c r="K57" s="1163"/>
      <c r="L57" s="1164"/>
      <c r="M57" s="1162"/>
      <c r="N57" s="1162"/>
      <c r="O57" s="1162"/>
      <c r="P57" s="2631"/>
      <c r="Q57" s="504"/>
    </row>
    <row r="58" spans="1:29" s="508" customFormat="1" ht="15">
      <c r="A58" s="505" t="s">
        <v>2583</v>
      </c>
      <c r="B58" s="506"/>
      <c r="C58" s="1579" t="str">
        <f>YEAR(C7)&amp;"-"&amp;MONTH(C7)</f>
        <v>2019-5</v>
      </c>
      <c r="D58" s="1578">
        <f>EDATE(C58,-1)</f>
        <v>43556</v>
      </c>
      <c r="E58" s="1578">
        <f>EDATE(D58,-1)</f>
        <v>43525</v>
      </c>
      <c r="F58" s="1578">
        <f t="shared" ref="F58:O58" si="19">EDATE(E58,-1)</f>
        <v>43497</v>
      </c>
      <c r="G58" s="1578">
        <f t="shared" si="19"/>
        <v>43466</v>
      </c>
      <c r="H58" s="1578">
        <f t="shared" si="19"/>
        <v>43435</v>
      </c>
      <c r="I58" s="1578">
        <f t="shared" si="19"/>
        <v>43405</v>
      </c>
      <c r="J58" s="1578">
        <f t="shared" si="19"/>
        <v>43374</v>
      </c>
      <c r="K58" s="1578">
        <f t="shared" si="19"/>
        <v>43344</v>
      </c>
      <c r="L58" s="1578">
        <f t="shared" si="19"/>
        <v>43313</v>
      </c>
      <c r="M58" s="1578">
        <f t="shared" si="19"/>
        <v>43282</v>
      </c>
      <c r="N58" s="1578">
        <f t="shared" si="19"/>
        <v>43252</v>
      </c>
      <c r="O58" s="1578">
        <f t="shared" si="19"/>
        <v>43221</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2584</v>
      </c>
      <c r="B60" s="516"/>
      <c r="C60" s="517"/>
      <c r="D60" s="518"/>
      <c r="E60" s="518"/>
      <c r="F60" s="518"/>
      <c r="G60" s="518"/>
      <c r="H60" s="518"/>
      <c r="I60" s="518"/>
      <c r="J60" s="518"/>
      <c r="K60" s="518"/>
      <c r="L60" s="518"/>
      <c r="M60" s="519"/>
      <c r="N60" s="518"/>
      <c r="O60" s="519"/>
      <c r="P60" s="2633"/>
      <c r="Q60" s="504"/>
    </row>
    <row r="61" spans="1:29" s="117" customFormat="1" ht="15">
      <c r="A61" s="521" t="s">
        <v>2585</v>
      </c>
      <c r="B61" s="510"/>
      <c r="C61" s="522" t="s">
        <v>2586</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2587</v>
      </c>
      <c r="B63" s="528" t="s">
        <v>2553</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2097</v>
      </c>
      <c r="C82" s="539" t="s">
        <v>2603</v>
      </c>
      <c r="D82" s="539" t="s">
        <v>2604</v>
      </c>
      <c r="E82" s="539" t="s">
        <v>2605</v>
      </c>
      <c r="F82" s="539" t="s">
        <v>2606</v>
      </c>
      <c r="G82" s="539" t="s">
        <v>2607</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2609</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2610</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2562</v>
      </c>
      <c r="B100" s="528" t="s">
        <v>2611</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2613</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2614</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2615</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2616</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2617</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2618</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2573</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2619</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2621</v>
      </c>
    </row>
    <row r="137" spans="1:17" ht="15">
      <c r="B137" s="2643" t="s">
        <v>2622</v>
      </c>
      <c r="C137" s="2644"/>
      <c r="D137" s="2644"/>
      <c r="E137" s="2644"/>
      <c r="F137" s="2644"/>
      <c r="G137" s="2645"/>
      <c r="H137" s="2646"/>
      <c r="I137" s="2647" t="s">
        <v>2623</v>
      </c>
      <c r="J137" s="2644"/>
      <c r="K137" s="2648"/>
    </row>
    <row r="138" spans="1:17" ht="15">
      <c r="B138" s="2649"/>
      <c r="C138" s="146" t="s">
        <v>2624</v>
      </c>
      <c r="D138" s="146" t="s">
        <v>2625</v>
      </c>
      <c r="E138" s="2650" t="s">
        <v>2626</v>
      </c>
      <c r="F138" s="2651" t="s">
        <v>2627</v>
      </c>
      <c r="G138" s="146" t="s">
        <v>2625</v>
      </c>
      <c r="H138" s="147" t="s">
        <v>2626</v>
      </c>
      <c r="I138" s="2652"/>
      <c r="J138" s="146" t="s">
        <v>2628</v>
      </c>
      <c r="K138" s="147" t="s">
        <v>2629</v>
      </c>
    </row>
    <row r="139" spans="1:17" ht="15">
      <c r="B139" s="1087">
        <v>6</v>
      </c>
      <c r="C139" s="1088">
        <v>96</v>
      </c>
      <c r="D139" s="2653" t="s">
        <v>2630</v>
      </c>
      <c r="E139" s="1089">
        <v>100</v>
      </c>
      <c r="F139" s="1090">
        <v>102.5</v>
      </c>
      <c r="G139" s="2653" t="s">
        <v>2630</v>
      </c>
      <c r="H139" s="1091">
        <v>105</v>
      </c>
      <c r="I139" s="2654" t="s">
        <v>2631</v>
      </c>
      <c r="J139" s="1088">
        <v>20</v>
      </c>
      <c r="K139" s="1092">
        <f>C145/(J139-2)</f>
        <v>4.0555555555555553E-3</v>
      </c>
    </row>
    <row r="140" spans="1:17" ht="15">
      <c r="B140" s="1093">
        <v>5</v>
      </c>
      <c r="C140" s="1094">
        <v>100</v>
      </c>
      <c r="D140" s="1094"/>
      <c r="E140" s="1095"/>
      <c r="F140" s="1096">
        <v>102</v>
      </c>
      <c r="G140" s="1094"/>
      <c r="H140" s="1097"/>
      <c r="I140" s="2655" t="s">
        <v>2632</v>
      </c>
      <c r="J140" s="315">
        <f>ROUNDUP((J139-1)/2,0)</f>
        <v>10</v>
      </c>
      <c r="K140" s="1098">
        <v>100</v>
      </c>
    </row>
    <row r="141" spans="1:17" ht="15">
      <c r="B141" s="1093">
        <v>4</v>
      </c>
      <c r="C141" s="1094">
        <v>102</v>
      </c>
      <c r="D141" s="1094"/>
      <c r="E141" s="1095"/>
      <c r="F141" s="1096">
        <v>101.5</v>
      </c>
      <c r="G141" s="1094"/>
      <c r="H141" s="1097"/>
      <c r="I141" s="2655" t="s">
        <v>2633</v>
      </c>
      <c r="J141" s="315">
        <v>1</v>
      </c>
      <c r="K141" s="1099">
        <f>ROUND(100+(J141-J140)*K139*100,1)</f>
        <v>96.4</v>
      </c>
    </row>
    <row r="142" spans="1:17" ht="15">
      <c r="B142" s="1093">
        <v>3</v>
      </c>
      <c r="C142" s="1094">
        <v>103</v>
      </c>
      <c r="D142" s="1094"/>
      <c r="E142" s="1095"/>
      <c r="F142" s="1096">
        <v>101</v>
      </c>
      <c r="G142" s="1094"/>
      <c r="H142" s="1097"/>
      <c r="I142" s="2655" t="s">
        <v>2634</v>
      </c>
      <c r="J142" s="315">
        <f>J139</f>
        <v>20</v>
      </c>
      <c r="K142" s="1100">
        <v>95</v>
      </c>
    </row>
    <row r="143" spans="1:17" ht="15">
      <c r="B143" s="1093">
        <v>2</v>
      </c>
      <c r="C143" s="1094">
        <v>100</v>
      </c>
      <c r="D143" s="1094"/>
      <c r="E143" s="1095"/>
      <c r="F143" s="1096">
        <v>100.5</v>
      </c>
      <c r="G143" s="1094"/>
      <c r="H143" s="1097"/>
      <c r="I143" s="2655" t="s">
        <v>2635</v>
      </c>
      <c r="J143" s="1094">
        <v>15</v>
      </c>
      <c r="K143" s="1099">
        <f>ROUND(100+(J143-J140)*K139*100,1)</f>
        <v>102</v>
      </c>
    </row>
    <row r="144" spans="1:17" ht="15">
      <c r="B144" s="1093">
        <v>1</v>
      </c>
      <c r="C144" s="1094">
        <v>98</v>
      </c>
      <c r="D144" s="2656" t="s">
        <v>2636</v>
      </c>
      <c r="E144" s="1095">
        <v>102</v>
      </c>
      <c r="F144" s="1101">
        <v>100</v>
      </c>
      <c r="G144" s="2656" t="s">
        <v>2636</v>
      </c>
      <c r="H144" s="1097">
        <v>105</v>
      </c>
      <c r="I144" s="2655" t="s">
        <v>2635</v>
      </c>
      <c r="J144" s="1094">
        <v>18</v>
      </c>
      <c r="K144" s="1099">
        <f>ROUND(100+(J144-J140)*K139*100,1)</f>
        <v>103.2</v>
      </c>
    </row>
    <row r="145" spans="2:11" ht="15.75" thickBot="1">
      <c r="B145" s="2657" t="s">
        <v>2637</v>
      </c>
      <c r="C145" s="1102">
        <f>ROUND(MAX(C139:C144)/MIN(C139:C144)-1,3)</f>
        <v>7.2999999999999995E-2</v>
      </c>
      <c r="D145" s="1103"/>
      <c r="E145" s="1103"/>
      <c r="F145" s="2658" t="s">
        <v>2638</v>
      </c>
      <c r="G145" s="2659"/>
      <c r="H145" s="2660"/>
      <c r="I145" s="2661" t="s">
        <v>2635</v>
      </c>
      <c r="J145" s="1104">
        <v>8</v>
      </c>
      <c r="K145" s="1105">
        <f>ROUND(100+(J145-J140)*K139*100,1)</f>
        <v>99.2</v>
      </c>
    </row>
    <row r="147" spans="2:11">
      <c r="B147" s="2642" t="s">
        <v>2639</v>
      </c>
    </row>
    <row r="148" spans="2:11">
      <c r="B148" s="2642"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2527</v>
      </c>
      <c r="B1" s="2587" t="s">
        <v>2641</v>
      </c>
      <c r="C1" s="1637" t="s">
        <v>2529</v>
      </c>
      <c r="D1" s="1624"/>
      <c r="E1" s="2662"/>
      <c r="F1" s="2589"/>
      <c r="G1" s="1634" t="s">
        <v>2642</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2326</v>
      </c>
      <c r="B2" s="1421" t="e">
        <f ca="1">IF(C2="——",ROUND(C49*D3/10000,0),ROUND(C49*D3/10000,0)-D2)</f>
        <v>#DIV/0!</v>
      </c>
      <c r="C2" s="2591"/>
      <c r="D2" s="1368" t="e">
        <f ca="1">SUMIF(INDIRECT("'"&amp;F2&amp;"'"&amp;"!A:A"),"承租人权益价值",INDIRECT("'"&amp;F2&amp;"'"&amp;"!c:c"))</f>
        <v>#REF!</v>
      </c>
      <c r="E2" s="2592" t="s">
        <v>2327</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2328</v>
      </c>
      <c r="B3" s="609" t="e">
        <f ca="1">IF(C2="——",C49,ROUND(B2*10000/D3,0))</f>
        <v>#DIV/0!</v>
      </c>
      <c r="C3" s="400" t="s">
        <v>2643</v>
      </c>
      <c r="D3" s="399">
        <f>IF(D1="",'数据-汇总表'!E3,SUMIF('数据-汇总表'!$C19:$C33,D1,'数据-汇总表'!$E19:$E33))</f>
        <v>20447.539999999997</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91" t="s">
        <v>2646</v>
      </c>
      <c r="S4" s="3292"/>
      <c r="T4" s="3291" t="s">
        <v>2647</v>
      </c>
      <c r="U4" s="3292"/>
      <c r="V4" s="3297" t="s">
        <v>2648</v>
      </c>
      <c r="W4" s="3297"/>
      <c r="X4" s="1816"/>
      <c r="Y4" s="3291" t="s">
        <v>2650</v>
      </c>
      <c r="Z4" s="3292"/>
      <c r="AA4" s="3278" t="s">
        <v>2646</v>
      </c>
      <c r="AB4" s="3297" t="s">
        <v>2647</v>
      </c>
      <c r="AC4" s="3278" t="s">
        <v>2648</v>
      </c>
    </row>
    <row r="5" spans="1:29" ht="15">
      <c r="A5" s="404"/>
      <c r="B5" s="405"/>
      <c r="C5" s="3300" t="s">
        <v>2541</v>
      </c>
      <c r="D5" s="3301"/>
      <c r="E5" s="3307" t="s">
        <v>2542</v>
      </c>
      <c r="F5" s="3308"/>
      <c r="G5" s="3300" t="s">
        <v>2543</v>
      </c>
      <c r="H5" s="3301"/>
      <c r="I5" s="3300" t="s">
        <v>2544</v>
      </c>
      <c r="J5" s="3301"/>
      <c r="K5" s="610"/>
      <c r="L5" s="1133"/>
      <c r="M5" s="1134"/>
      <c r="N5" s="1134"/>
      <c r="O5" s="1134"/>
      <c r="P5" s="3287"/>
      <c r="Q5" s="3288"/>
      <c r="R5" s="3293"/>
      <c r="S5" s="3294"/>
      <c r="T5" s="3293"/>
      <c r="U5" s="3294"/>
      <c r="V5" s="3297"/>
      <c r="W5" s="3297"/>
      <c r="X5" s="1816"/>
      <c r="Y5" s="3293"/>
      <c r="Z5" s="3294"/>
      <c r="AA5" s="3279"/>
      <c r="AB5" s="3297"/>
      <c r="AC5" s="3279"/>
    </row>
    <row r="6" spans="1:29" ht="15.75" thickBot="1">
      <c r="A6" s="406"/>
      <c r="B6" s="407"/>
      <c r="C6" s="3298" t="s">
        <v>2545</v>
      </c>
      <c r="D6" s="3299"/>
      <c r="E6" s="3305" t="s">
        <v>2545</v>
      </c>
      <c r="F6" s="3306"/>
      <c r="G6" s="3298" t="s">
        <v>2545</v>
      </c>
      <c r="H6" s="3299"/>
      <c r="I6" s="3298" t="s">
        <v>2545</v>
      </c>
      <c r="J6" s="3299"/>
      <c r="K6" s="610" t="s">
        <v>2546</v>
      </c>
      <c r="L6" s="1133"/>
      <c r="M6" s="1134"/>
      <c r="N6" s="1134"/>
      <c r="O6" s="1134"/>
      <c r="P6" s="3289"/>
      <c r="Q6" s="3290"/>
      <c r="R6" s="3293"/>
      <c r="S6" s="3294"/>
      <c r="T6" s="3295"/>
      <c r="U6" s="3296"/>
      <c r="V6" s="3297"/>
      <c r="W6" s="3297"/>
      <c r="X6" s="1816"/>
      <c r="Y6" s="3295"/>
      <c r="Z6" s="3296"/>
      <c r="AA6" s="3280"/>
      <c r="AB6" s="3297"/>
      <c r="AC6" s="3280"/>
    </row>
    <row r="7" spans="1:29" s="117" customFormat="1" ht="15.75" thickBot="1">
      <c r="A7" s="408" t="s">
        <v>2547</v>
      </c>
      <c r="B7" s="409"/>
      <c r="C7" s="410">
        <f>'数据-取费表'!B2</f>
        <v>43598</v>
      </c>
      <c r="D7" s="411">
        <v>100</v>
      </c>
      <c r="E7" s="412"/>
      <c r="F7" s="413">
        <f>SUMIF(58:58,YEAR(E7)&amp;"-"&amp;MONTH(E7),59:59)</f>
        <v>0</v>
      </c>
      <c r="G7" s="412"/>
      <c r="H7" s="411">
        <f>SUMIF(58:58,YEAR(G7)&amp;"-"&amp;MONTH(G7),59:59)</f>
        <v>0</v>
      </c>
      <c r="I7" s="412"/>
      <c r="J7" s="411">
        <f>SUMIF(58:58,YEAR(I7)&amp;"-"&amp;MONTH(I7),59:59)</f>
        <v>0</v>
      </c>
      <c r="K7" s="611"/>
      <c r="L7" s="1135"/>
      <c r="M7" s="1136"/>
      <c r="N7" s="1136"/>
      <c r="O7" s="1136"/>
      <c r="P7" s="3302" t="s">
        <v>2548</v>
      </c>
      <c r="Q7" s="3304"/>
      <c r="R7" s="770" t="s">
        <v>17</v>
      </c>
      <c r="S7" s="771">
        <f t="shared" ref="S7:S15" si="0">F7</f>
        <v>0</v>
      </c>
      <c r="T7" s="770" t="s">
        <v>17</v>
      </c>
      <c r="U7" s="771">
        <f t="shared" ref="U7:U15" si="1">H7</f>
        <v>0</v>
      </c>
      <c r="V7" s="770" t="s">
        <v>17</v>
      </c>
      <c r="W7" s="771">
        <f t="shared" ref="W7:W15" si="2">J7</f>
        <v>0</v>
      </c>
      <c r="X7" s="772"/>
      <c r="Y7" s="3302" t="s">
        <v>2548</v>
      </c>
      <c r="Z7" s="3303"/>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302" t="s">
        <v>2551</v>
      </c>
      <c r="Q8" s="3303"/>
      <c r="R8" s="770" t="s">
        <v>17</v>
      </c>
      <c r="S8" s="771">
        <f t="shared" si="0"/>
        <v>0</v>
      </c>
      <c r="T8" s="770" t="s">
        <v>17</v>
      </c>
      <c r="U8" s="771">
        <f t="shared" si="1"/>
        <v>0</v>
      </c>
      <c r="V8" s="770" t="s">
        <v>17</v>
      </c>
      <c r="W8" s="771">
        <f t="shared" si="2"/>
        <v>0</v>
      </c>
      <c r="X8" s="772"/>
      <c r="Y8" s="3302" t="s">
        <v>2551</v>
      </c>
      <c r="Z8" s="3303"/>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77" t="s">
        <v>2554</v>
      </c>
      <c r="Q9" s="1798" t="str">
        <f t="shared" ref="Q9:Q15" si="6">B9</f>
        <v>用途</v>
      </c>
      <c r="R9" s="770" t="s">
        <v>17</v>
      </c>
      <c r="S9" s="771">
        <f t="shared" si="0"/>
        <v>100</v>
      </c>
      <c r="T9" s="770" t="s">
        <v>17</v>
      </c>
      <c r="U9" s="771">
        <f t="shared" si="1"/>
        <v>100</v>
      </c>
      <c r="V9" s="770" t="s">
        <v>17</v>
      </c>
      <c r="W9" s="771">
        <f t="shared" si="2"/>
        <v>100</v>
      </c>
      <c r="X9" s="772"/>
      <c r="Y9" s="3080"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77"/>
      <c r="Q10" s="1798" t="str">
        <f t="shared" si="6"/>
        <v>土地使用年限（年）</v>
      </c>
      <c r="R10" s="770" t="s">
        <v>17</v>
      </c>
      <c r="S10" s="771">
        <f t="shared" si="0"/>
        <v>100</v>
      </c>
      <c r="T10" s="770" t="s">
        <v>17</v>
      </c>
      <c r="U10" s="771">
        <f t="shared" si="1"/>
        <v>100</v>
      </c>
      <c r="V10" s="770" t="s">
        <v>17</v>
      </c>
      <c r="W10" s="771">
        <f t="shared" si="2"/>
        <v>100</v>
      </c>
      <c r="X10" s="772"/>
      <c r="Y10" s="3080"/>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77"/>
      <c r="Q11" s="1798" t="str">
        <f t="shared" si="6"/>
        <v>容积率</v>
      </c>
      <c r="R11" s="770" t="s">
        <v>17</v>
      </c>
      <c r="S11" s="771" t="e">
        <f t="shared" si="0"/>
        <v>#N/A</v>
      </c>
      <c r="T11" s="770" t="s">
        <v>17</v>
      </c>
      <c r="U11" s="771" t="e">
        <f t="shared" si="1"/>
        <v>#N/A</v>
      </c>
      <c r="V11" s="770" t="s">
        <v>17</v>
      </c>
      <c r="W11" s="771" t="e">
        <f t="shared" si="2"/>
        <v>#N/A</v>
      </c>
      <c r="X11" s="772"/>
      <c r="Y11" s="3080"/>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77"/>
      <c r="Q12" s="1798">
        <f t="shared" si="6"/>
        <v>111</v>
      </c>
      <c r="R12" s="770" t="s">
        <v>17</v>
      </c>
      <c r="S12" s="771">
        <f t="shared" si="0"/>
        <v>100</v>
      </c>
      <c r="T12" s="770" t="s">
        <v>17</v>
      </c>
      <c r="U12" s="771">
        <f t="shared" si="1"/>
        <v>100</v>
      </c>
      <c r="V12" s="770" t="s">
        <v>17</v>
      </c>
      <c r="W12" s="771">
        <f t="shared" si="2"/>
        <v>100</v>
      </c>
      <c r="X12" s="772"/>
      <c r="Y12" s="3080"/>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77"/>
      <c r="Q13" s="1798">
        <f t="shared" si="6"/>
        <v>111</v>
      </c>
      <c r="R13" s="770" t="s">
        <v>17</v>
      </c>
      <c r="S13" s="771">
        <f t="shared" si="0"/>
        <v>100</v>
      </c>
      <c r="T13" s="770" t="s">
        <v>17</v>
      </c>
      <c r="U13" s="771">
        <f t="shared" si="1"/>
        <v>100</v>
      </c>
      <c r="V13" s="770" t="s">
        <v>17</v>
      </c>
      <c r="W13" s="771">
        <f t="shared" si="2"/>
        <v>100</v>
      </c>
      <c r="X13" s="772"/>
      <c r="Y13" s="3080"/>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77"/>
      <c r="Q14" s="1798">
        <f t="shared" si="6"/>
        <v>111</v>
      </c>
      <c r="R14" s="770" t="s">
        <v>17</v>
      </c>
      <c r="S14" s="771">
        <f t="shared" si="0"/>
        <v>100</v>
      </c>
      <c r="T14" s="770" t="s">
        <v>17</v>
      </c>
      <c r="U14" s="771">
        <f t="shared" si="1"/>
        <v>100</v>
      </c>
      <c r="V14" s="770" t="s">
        <v>17</v>
      </c>
      <c r="W14" s="771">
        <f t="shared" si="2"/>
        <v>100</v>
      </c>
      <c r="X14" s="772"/>
      <c r="Y14" s="3080"/>
      <c r="Z14" s="55">
        <f t="shared" si="7"/>
        <v>111</v>
      </c>
      <c r="AA14" s="773">
        <f t="shared" si="3"/>
        <v>1</v>
      </c>
      <c r="AB14" s="773">
        <f t="shared" si="4"/>
        <v>1</v>
      </c>
      <c r="AC14" s="773">
        <f t="shared" si="5"/>
        <v>1</v>
      </c>
    </row>
    <row r="15" spans="1:29" ht="71.25">
      <c r="A15" s="440" t="s">
        <v>2558</v>
      </c>
      <c r="B15" s="69" t="s">
        <v>2652</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75" t="s">
        <v>2559</v>
      </c>
      <c r="Q15" s="1813" t="str">
        <f t="shared" si="6"/>
        <v>商业繁华度</v>
      </c>
      <c r="R15" s="774" t="s">
        <v>17</v>
      </c>
      <c r="S15" s="775">
        <f t="shared" si="0"/>
        <v>100</v>
      </c>
      <c r="T15" s="774" t="s">
        <v>17</v>
      </c>
      <c r="U15" s="775">
        <f t="shared" si="1"/>
        <v>100</v>
      </c>
      <c r="V15" s="774" t="s">
        <v>17</v>
      </c>
      <c r="W15" s="775">
        <f t="shared" si="2"/>
        <v>100</v>
      </c>
      <c r="X15" s="1816"/>
      <c r="Y15" s="3268" t="s">
        <v>2559</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76"/>
      <c r="Q16" s="1813"/>
      <c r="R16" s="774"/>
      <c r="S16" s="775"/>
      <c r="T16" s="774"/>
      <c r="U16" s="775"/>
      <c r="V16" s="774"/>
      <c r="W16" s="775"/>
      <c r="X16" s="1816"/>
      <c r="Y16" s="3269"/>
      <c r="Z16" s="1817"/>
      <c r="AA16" s="1814">
        <v>1</v>
      </c>
      <c r="AB16" s="1814">
        <v>1</v>
      </c>
      <c r="AC16" s="1814">
        <v>1</v>
      </c>
    </row>
    <row r="17" spans="1:29" ht="85.5">
      <c r="A17" s="428"/>
      <c r="B17" s="451" t="s">
        <v>2096</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76"/>
      <c r="Q17" s="1813" t="str">
        <f>B17</f>
        <v>交通便捷度</v>
      </c>
      <c r="R17" s="774" t="s">
        <v>17</v>
      </c>
      <c r="S17" s="775">
        <f>F17</f>
        <v>100</v>
      </c>
      <c r="T17" s="774" t="s">
        <v>17</v>
      </c>
      <c r="U17" s="775">
        <f>H17</f>
        <v>100</v>
      </c>
      <c r="V17" s="774" t="s">
        <v>17</v>
      </c>
      <c r="W17" s="775">
        <f>J17</f>
        <v>100</v>
      </c>
      <c r="X17" s="1816"/>
      <c r="Y17" s="3269"/>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34"/>
      <c r="P18" s="3276"/>
      <c r="Q18" s="1813"/>
      <c r="R18" s="774"/>
      <c r="S18" s="775"/>
      <c r="T18" s="774"/>
      <c r="U18" s="775"/>
      <c r="V18" s="774"/>
      <c r="W18" s="775"/>
      <c r="X18" s="1816"/>
      <c r="Y18" s="3269"/>
      <c r="Z18" s="1817"/>
      <c r="AA18" s="1814">
        <v>1</v>
      </c>
      <c r="AB18" s="1814">
        <v>1</v>
      </c>
      <c r="AC18" s="1814">
        <v>1</v>
      </c>
    </row>
    <row r="19" spans="1:29" ht="42.75">
      <c r="A19" s="428"/>
      <c r="B19" s="451" t="s">
        <v>2653</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76"/>
      <c r="Q19" s="1813" t="str">
        <f>B19</f>
        <v>公共配套设施</v>
      </c>
      <c r="R19" s="774" t="s">
        <v>17</v>
      </c>
      <c r="S19" s="775">
        <f>F19</f>
        <v>100</v>
      </c>
      <c r="T19" s="774" t="s">
        <v>17</v>
      </c>
      <c r="U19" s="775">
        <f>H19</f>
        <v>100</v>
      </c>
      <c r="V19" s="774" t="s">
        <v>17</v>
      </c>
      <c r="W19" s="775">
        <f>J19</f>
        <v>100</v>
      </c>
      <c r="X19" s="1816"/>
      <c r="Y19" s="3269"/>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34"/>
      <c r="P20" s="3276"/>
      <c r="Q20" s="1813"/>
      <c r="R20" s="774"/>
      <c r="S20" s="775"/>
      <c r="T20" s="774"/>
      <c r="U20" s="775"/>
      <c r="V20" s="774"/>
      <c r="W20" s="775"/>
      <c r="X20" s="1816"/>
      <c r="Y20" s="3269"/>
      <c r="Z20" s="1817"/>
      <c r="AA20" s="1814">
        <v>1</v>
      </c>
      <c r="AB20" s="1814">
        <v>1</v>
      </c>
      <c r="AC20" s="1814">
        <v>1</v>
      </c>
    </row>
    <row r="21" spans="1:29" ht="28.5">
      <c r="A21" s="428"/>
      <c r="B21" s="1387" t="s">
        <v>2654</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76"/>
      <c r="Q21" s="1813" t="str">
        <f>B21</f>
        <v>基础设施水平</v>
      </c>
      <c r="R21" s="774" t="s">
        <v>17</v>
      </c>
      <c r="S21" s="775">
        <f>F21</f>
        <v>100</v>
      </c>
      <c r="T21" s="774" t="s">
        <v>17</v>
      </c>
      <c r="U21" s="775">
        <f>H21</f>
        <v>100</v>
      </c>
      <c r="V21" s="774" t="s">
        <v>17</v>
      </c>
      <c r="W21" s="775">
        <f>J21</f>
        <v>100</v>
      </c>
      <c r="X21" s="1816"/>
      <c r="Y21" s="3269"/>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34"/>
      <c r="P22" s="3276"/>
      <c r="Q22" s="1813"/>
      <c r="R22" s="774"/>
      <c r="S22" s="775"/>
      <c r="T22" s="774"/>
      <c r="U22" s="775"/>
      <c r="V22" s="774"/>
      <c r="W22" s="775"/>
      <c r="X22" s="1816"/>
      <c r="Y22" s="3269"/>
      <c r="Z22" s="1817"/>
      <c r="AA22" s="1814">
        <v>1</v>
      </c>
      <c r="AB22" s="1814">
        <v>1</v>
      </c>
      <c r="AC22" s="1814">
        <v>1</v>
      </c>
    </row>
    <row r="23" spans="1:29" ht="57">
      <c r="A23" s="428"/>
      <c r="B23" s="451" t="s">
        <v>2101</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76"/>
      <c r="Q23" s="1813" t="str">
        <f>B23</f>
        <v>自然及人文环境</v>
      </c>
      <c r="R23" s="774" t="s">
        <v>17</v>
      </c>
      <c r="S23" s="775">
        <f>F23</f>
        <v>100</v>
      </c>
      <c r="T23" s="774" t="s">
        <v>17</v>
      </c>
      <c r="U23" s="775">
        <f>H23</f>
        <v>100</v>
      </c>
      <c r="V23" s="774" t="s">
        <v>17</v>
      </c>
      <c r="W23" s="775">
        <f>J23</f>
        <v>100</v>
      </c>
      <c r="X23" s="1816"/>
      <c r="Y23" s="3269"/>
      <c r="Z23" s="1817" t="str">
        <f>Q23</f>
        <v>自然及人文环境</v>
      </c>
      <c r="AA23" s="1814">
        <f t="shared" si="3"/>
        <v>1</v>
      </c>
      <c r="AB23" s="1814">
        <f t="shared" si="4"/>
        <v>1</v>
      </c>
      <c r="AC23" s="1814">
        <f t="shared" si="5"/>
        <v>1</v>
      </c>
    </row>
    <row r="24" spans="1:29" ht="15">
      <c r="A24" s="428"/>
      <c r="B24" s="456"/>
      <c r="C24" s="447"/>
      <c r="D24" s="448"/>
      <c r="E24" s="2610"/>
      <c r="F24" s="449"/>
      <c r="G24" s="2609"/>
      <c r="H24" s="448"/>
      <c r="I24" s="2610"/>
      <c r="J24" s="448"/>
      <c r="K24" s="615"/>
      <c r="L24" s="1143"/>
      <c r="M24" s="1134"/>
      <c r="N24" s="1134"/>
      <c r="O24" s="1134"/>
      <c r="P24" s="3276"/>
      <c r="Q24" s="1813"/>
      <c r="R24" s="774"/>
      <c r="S24" s="775"/>
      <c r="T24" s="774"/>
      <c r="U24" s="775"/>
      <c r="V24" s="774"/>
      <c r="W24" s="775"/>
      <c r="X24" s="1816"/>
      <c r="Y24" s="3269"/>
      <c r="Z24" s="1817"/>
      <c r="AA24" s="1814">
        <v>1</v>
      </c>
      <c r="AB24" s="1814">
        <v>1</v>
      </c>
      <c r="AC24" s="1814">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76"/>
      <c r="Q25" s="1813" t="str">
        <f t="shared" ref="Q25:Q46" si="11">B25</f>
        <v>临街状况</v>
      </c>
      <c r="R25" s="774" t="s">
        <v>17</v>
      </c>
      <c r="S25" s="775">
        <f>F25</f>
        <v>100</v>
      </c>
      <c r="T25" s="774" t="s">
        <v>17</v>
      </c>
      <c r="U25" s="775">
        <f>H25</f>
        <v>100</v>
      </c>
      <c r="V25" s="774" t="s">
        <v>17</v>
      </c>
      <c r="W25" s="775">
        <f>J25</f>
        <v>100</v>
      </c>
      <c r="X25" s="1816"/>
      <c r="Y25" s="3269"/>
      <c r="Z25" s="1817" t="str">
        <f>Q25</f>
        <v>临街状况</v>
      </c>
      <c r="AA25" s="1814">
        <f t="shared" si="3"/>
        <v>1</v>
      </c>
      <c r="AB25" s="1814">
        <f t="shared" si="4"/>
        <v>1</v>
      </c>
      <c r="AC25" s="1814">
        <f t="shared" si="5"/>
        <v>1</v>
      </c>
    </row>
    <row r="26" spans="1:29" ht="15">
      <c r="A26" s="428"/>
      <c r="B26" s="1389" t="s">
        <v>2656</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76"/>
      <c r="Q26" s="1813" t="str">
        <f t="shared" si="11"/>
        <v>平面位置/可视性</v>
      </c>
      <c r="R26" s="774" t="s">
        <v>17</v>
      </c>
      <c r="S26" s="775">
        <f>F26</f>
        <v>100</v>
      </c>
      <c r="T26" s="774" t="s">
        <v>17</v>
      </c>
      <c r="U26" s="775">
        <f>H26</f>
        <v>100</v>
      </c>
      <c r="V26" s="774" t="s">
        <v>17</v>
      </c>
      <c r="W26" s="775">
        <f>J26</f>
        <v>100</v>
      </c>
      <c r="X26" s="1816"/>
      <c r="Y26" s="3269"/>
      <c r="Z26" s="1817" t="str">
        <f>Q26</f>
        <v>平面位置/可视性</v>
      </c>
      <c r="AA26" s="1814">
        <f t="shared" si="3"/>
        <v>1</v>
      </c>
      <c r="AB26" s="1814">
        <f t="shared" si="4"/>
        <v>1</v>
      </c>
      <c r="AC26" s="1814">
        <f t="shared" si="5"/>
        <v>1</v>
      </c>
    </row>
    <row r="27" spans="1:29" s="117" customFormat="1" ht="15">
      <c r="A27" s="431"/>
      <c r="B27" s="451" t="s">
        <v>2657</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76"/>
      <c r="Q27" s="1798" t="str">
        <f t="shared" si="11"/>
        <v>人流量</v>
      </c>
      <c r="R27" s="770" t="s">
        <v>17</v>
      </c>
      <c r="S27" s="771">
        <f>F27</f>
        <v>100</v>
      </c>
      <c r="T27" s="770" t="s">
        <v>17</v>
      </c>
      <c r="U27" s="771">
        <f>H27</f>
        <v>100</v>
      </c>
      <c r="V27" s="770" t="s">
        <v>17</v>
      </c>
      <c r="W27" s="771">
        <f>J27</f>
        <v>100</v>
      </c>
      <c r="X27" s="772"/>
      <c r="Y27" s="3269"/>
      <c r="Z27" s="55" t="str">
        <f>Q27</f>
        <v>人流量</v>
      </c>
      <c r="AA27" s="1814">
        <f>D27/F27</f>
        <v>1</v>
      </c>
      <c r="AB27" s="1814">
        <f>D27/H27</f>
        <v>1</v>
      </c>
      <c r="AC27" s="1814">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76"/>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69"/>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76"/>
      <c r="Q29" s="1813">
        <f t="shared" si="11"/>
        <v>111</v>
      </c>
      <c r="R29" s="774" t="s">
        <v>17</v>
      </c>
      <c r="S29" s="775">
        <f t="shared" si="12"/>
        <v>100</v>
      </c>
      <c r="T29" s="774" t="s">
        <v>17</v>
      </c>
      <c r="U29" s="775">
        <f t="shared" si="13"/>
        <v>100</v>
      </c>
      <c r="V29" s="774" t="s">
        <v>17</v>
      </c>
      <c r="W29" s="775">
        <f t="shared" si="14"/>
        <v>100</v>
      </c>
      <c r="X29" s="1816"/>
      <c r="Y29" s="3269"/>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76"/>
      <c r="Q30" s="1813">
        <f t="shared" si="11"/>
        <v>111</v>
      </c>
      <c r="R30" s="774" t="s">
        <v>17</v>
      </c>
      <c r="S30" s="775">
        <f t="shared" si="12"/>
        <v>100</v>
      </c>
      <c r="T30" s="774" t="s">
        <v>17</v>
      </c>
      <c r="U30" s="775">
        <f t="shared" si="13"/>
        <v>100</v>
      </c>
      <c r="V30" s="774" t="s">
        <v>17</v>
      </c>
      <c r="W30" s="775">
        <f t="shared" si="14"/>
        <v>100</v>
      </c>
      <c r="X30" s="1816"/>
      <c r="Y30" s="3269"/>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76"/>
      <c r="Q31" s="1813">
        <f t="shared" si="11"/>
        <v>111</v>
      </c>
      <c r="R31" s="774" t="s">
        <v>17</v>
      </c>
      <c r="S31" s="775">
        <f t="shared" si="12"/>
        <v>100</v>
      </c>
      <c r="T31" s="774" t="s">
        <v>17</v>
      </c>
      <c r="U31" s="775">
        <f t="shared" si="13"/>
        <v>100</v>
      </c>
      <c r="V31" s="774" t="s">
        <v>17</v>
      </c>
      <c r="W31" s="775">
        <f t="shared" si="14"/>
        <v>100</v>
      </c>
      <c r="X31" s="1816"/>
      <c r="Y31" s="3269"/>
      <c r="Z31" s="1817">
        <f t="shared" si="15"/>
        <v>111</v>
      </c>
      <c r="AA31" s="1814">
        <f t="shared" si="3"/>
        <v>1</v>
      </c>
      <c r="AB31" s="1814">
        <f t="shared" si="4"/>
        <v>1</v>
      </c>
      <c r="AC31" s="1814">
        <f t="shared" si="5"/>
        <v>1</v>
      </c>
    </row>
    <row r="32" spans="1:29" ht="15">
      <c r="A32" s="440" t="s">
        <v>2562</v>
      </c>
      <c r="B32" s="71" t="s">
        <v>2659</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70" t="s">
        <v>2564</v>
      </c>
      <c r="Q32" s="1813" t="str">
        <f t="shared" si="11"/>
        <v>商业类型</v>
      </c>
      <c r="R32" s="774" t="s">
        <v>17</v>
      </c>
      <c r="S32" s="775">
        <f t="shared" si="12"/>
        <v>100</v>
      </c>
      <c r="T32" s="774" t="s">
        <v>17</v>
      </c>
      <c r="U32" s="775">
        <f t="shared" si="13"/>
        <v>100</v>
      </c>
      <c r="V32" s="774" t="s">
        <v>17</v>
      </c>
      <c r="W32" s="775">
        <f t="shared" si="14"/>
        <v>100</v>
      </c>
      <c r="X32" s="1816"/>
      <c r="Y32" s="3273" t="s">
        <v>2564</v>
      </c>
      <c r="Z32" s="1817" t="str">
        <f t="shared" si="15"/>
        <v>商业类型</v>
      </c>
      <c r="AA32" s="1814">
        <f t="shared" si="3"/>
        <v>1</v>
      </c>
      <c r="AB32" s="1814">
        <f t="shared" si="4"/>
        <v>1</v>
      </c>
      <c r="AC32" s="1814">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71"/>
      <c r="Q33" s="776" t="str">
        <f t="shared" si="11"/>
        <v>项目建筑规模</v>
      </c>
      <c r="R33" s="777" t="s">
        <v>17</v>
      </c>
      <c r="S33" s="778" t="e">
        <f t="shared" si="12"/>
        <v>#N/A</v>
      </c>
      <c r="T33" s="777" t="s">
        <v>17</v>
      </c>
      <c r="U33" s="778" t="e">
        <f t="shared" si="13"/>
        <v>#N/A</v>
      </c>
      <c r="V33" s="777" t="s">
        <v>17</v>
      </c>
      <c r="W33" s="778" t="e">
        <f t="shared" si="14"/>
        <v>#N/A</v>
      </c>
      <c r="X33" s="779"/>
      <c r="Y33" s="3273"/>
      <c r="Z33" s="780" t="str">
        <f t="shared" si="15"/>
        <v>项目建筑规模</v>
      </c>
      <c r="AA33" s="1814" t="e">
        <f t="shared" si="3"/>
        <v>#N/A</v>
      </c>
      <c r="AB33" s="1814" t="e">
        <f t="shared" si="4"/>
        <v>#N/A</v>
      </c>
      <c r="AC33" s="1814" t="e">
        <f t="shared" si="5"/>
        <v>#N/A</v>
      </c>
    </row>
    <row r="34" spans="1:29" ht="15">
      <c r="A34" s="472"/>
      <c r="B34" s="422" t="s">
        <v>2566</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71"/>
      <c r="Q34" s="1813" t="str">
        <f t="shared" si="11"/>
        <v>建筑结构</v>
      </c>
      <c r="R34" s="774" t="s">
        <v>17</v>
      </c>
      <c r="S34" s="775">
        <f t="shared" si="12"/>
        <v>100</v>
      </c>
      <c r="T34" s="774" t="s">
        <v>17</v>
      </c>
      <c r="U34" s="775">
        <f t="shared" si="13"/>
        <v>100</v>
      </c>
      <c r="V34" s="774" t="s">
        <v>17</v>
      </c>
      <c r="W34" s="775">
        <f t="shared" si="14"/>
        <v>100</v>
      </c>
      <c r="X34" s="1816"/>
      <c r="Y34" s="3273"/>
      <c r="Z34" s="1817" t="str">
        <f t="shared" si="15"/>
        <v>建筑结构</v>
      </c>
      <c r="AA34" s="1814">
        <f t="shared" si="3"/>
        <v>1</v>
      </c>
      <c r="AB34" s="1814">
        <f t="shared" si="4"/>
        <v>1</v>
      </c>
      <c r="AC34" s="1814">
        <f t="shared" si="5"/>
        <v>1</v>
      </c>
    </row>
    <row r="35" spans="1:29" ht="15">
      <c r="A35" s="472"/>
      <c r="B35" s="422" t="s">
        <v>2660</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71"/>
      <c r="Q35" s="1813" t="str">
        <f t="shared" si="11"/>
        <v>公共部分装修</v>
      </c>
      <c r="R35" s="774" t="s">
        <v>17</v>
      </c>
      <c r="S35" s="775">
        <f t="shared" si="12"/>
        <v>100</v>
      </c>
      <c r="T35" s="774" t="s">
        <v>17</v>
      </c>
      <c r="U35" s="775">
        <f t="shared" si="13"/>
        <v>100</v>
      </c>
      <c r="V35" s="774" t="s">
        <v>17</v>
      </c>
      <c r="W35" s="775">
        <f t="shared" si="14"/>
        <v>100</v>
      </c>
      <c r="X35" s="1816"/>
      <c r="Y35" s="3273"/>
      <c r="Z35" s="1817" t="str">
        <f t="shared" si="15"/>
        <v>公共部分装修</v>
      </c>
      <c r="AA35" s="1814">
        <f t="shared" si="3"/>
        <v>1</v>
      </c>
      <c r="AB35" s="1814">
        <f t="shared" si="4"/>
        <v>1</v>
      </c>
      <c r="AC35" s="1814">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71"/>
      <c r="Q36" s="1813" t="str">
        <f t="shared" si="11"/>
        <v>成新度</v>
      </c>
      <c r="R36" s="774" t="s">
        <v>17</v>
      </c>
      <c r="S36" s="775" t="e">
        <f t="shared" si="12"/>
        <v>#N/A</v>
      </c>
      <c r="T36" s="774" t="s">
        <v>17</v>
      </c>
      <c r="U36" s="775" t="e">
        <f t="shared" si="13"/>
        <v>#N/A</v>
      </c>
      <c r="V36" s="774" t="s">
        <v>17</v>
      </c>
      <c r="W36" s="775" t="e">
        <f t="shared" si="14"/>
        <v>#N/A</v>
      </c>
      <c r="X36" s="1816"/>
      <c r="Y36" s="3273"/>
      <c r="Z36" s="1817" t="str">
        <f t="shared" si="15"/>
        <v>成新度</v>
      </c>
      <c r="AA36" s="1814" t="e">
        <f t="shared" si="3"/>
        <v>#N/A</v>
      </c>
      <c r="AB36" s="1814" t="e">
        <f t="shared" si="4"/>
        <v>#N/A</v>
      </c>
      <c r="AC36" s="1814" t="e">
        <f t="shared" si="5"/>
        <v>#N/A</v>
      </c>
    </row>
    <row r="37" spans="1:29" s="117" customFormat="1" ht="15">
      <c r="A37" s="473"/>
      <c r="B37" s="422" t="s">
        <v>2662</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71"/>
      <c r="Q37" s="1798" t="str">
        <f t="shared" si="11"/>
        <v>市政基础设施</v>
      </c>
      <c r="R37" s="770" t="s">
        <v>17</v>
      </c>
      <c r="S37" s="771">
        <f t="shared" si="12"/>
        <v>100</v>
      </c>
      <c r="T37" s="770" t="s">
        <v>17</v>
      </c>
      <c r="U37" s="771">
        <f t="shared" si="13"/>
        <v>100</v>
      </c>
      <c r="V37" s="770" t="s">
        <v>17</v>
      </c>
      <c r="W37" s="771">
        <f t="shared" si="14"/>
        <v>100</v>
      </c>
      <c r="X37" s="772"/>
      <c r="Y37" s="3273"/>
      <c r="Z37" s="55" t="str">
        <f t="shared" si="15"/>
        <v>市政基础设施</v>
      </c>
      <c r="AA37" s="773">
        <f t="shared" si="3"/>
        <v>1</v>
      </c>
      <c r="AB37" s="773">
        <f t="shared" si="4"/>
        <v>1</v>
      </c>
      <c r="AC37" s="773">
        <f t="shared" si="5"/>
        <v>1</v>
      </c>
    </row>
    <row r="38" spans="1:29" ht="15">
      <c r="A38" s="472"/>
      <c r="B38" s="422" t="s">
        <v>2663</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71" t="s">
        <v>2564</v>
      </c>
      <c r="Q38" s="1813" t="str">
        <f t="shared" si="11"/>
        <v>业态</v>
      </c>
      <c r="R38" s="774" t="s">
        <v>17</v>
      </c>
      <c r="S38" s="775">
        <f t="shared" si="12"/>
        <v>100</v>
      </c>
      <c r="T38" s="774" t="s">
        <v>17</v>
      </c>
      <c r="U38" s="775">
        <f t="shared" si="13"/>
        <v>100</v>
      </c>
      <c r="V38" s="774" t="s">
        <v>17</v>
      </c>
      <c r="W38" s="775">
        <f t="shared" si="14"/>
        <v>100</v>
      </c>
      <c r="X38" s="1816"/>
      <c r="Y38" s="3273" t="s">
        <v>2564</v>
      </c>
      <c r="Z38" s="1817" t="str">
        <f t="shared" si="15"/>
        <v>业态</v>
      </c>
      <c r="AA38" s="1814">
        <f t="shared" si="3"/>
        <v>1</v>
      </c>
      <c r="AB38" s="1814">
        <f t="shared" si="4"/>
        <v>1</v>
      </c>
      <c r="AC38" s="1814">
        <f t="shared" si="5"/>
        <v>1</v>
      </c>
    </row>
    <row r="39" spans="1:29" ht="15">
      <c r="A39" s="472"/>
      <c r="B39" s="422" t="s">
        <v>2664</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71"/>
      <c r="Q39" s="1813" t="str">
        <f t="shared" si="11"/>
        <v>层高</v>
      </c>
      <c r="R39" s="774" t="s">
        <v>17</v>
      </c>
      <c r="S39" s="775">
        <f t="shared" si="12"/>
        <v>100</v>
      </c>
      <c r="T39" s="774" t="s">
        <v>17</v>
      </c>
      <c r="U39" s="775">
        <f t="shared" si="13"/>
        <v>100</v>
      </c>
      <c r="V39" s="774" t="s">
        <v>17</v>
      </c>
      <c r="W39" s="775">
        <f t="shared" si="14"/>
        <v>100</v>
      </c>
      <c r="X39" s="1816"/>
      <c r="Y39" s="3273"/>
      <c r="Z39" s="1817" t="str">
        <f t="shared" si="15"/>
        <v>层高</v>
      </c>
      <c r="AA39" s="1814">
        <f t="shared" si="3"/>
        <v>1</v>
      </c>
      <c r="AB39" s="1814">
        <f t="shared" si="4"/>
        <v>1</v>
      </c>
      <c r="AC39" s="1814">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71"/>
      <c r="Q40" s="1813" t="str">
        <f t="shared" si="11"/>
        <v>单套建筑面积</v>
      </c>
      <c r="R40" s="774" t="s">
        <v>17</v>
      </c>
      <c r="S40" s="775">
        <f t="shared" si="12"/>
        <v>100</v>
      </c>
      <c r="T40" s="774" t="s">
        <v>17</v>
      </c>
      <c r="U40" s="775">
        <f t="shared" si="13"/>
        <v>100</v>
      </c>
      <c r="V40" s="774" t="s">
        <v>17</v>
      </c>
      <c r="W40" s="775">
        <f t="shared" si="14"/>
        <v>100</v>
      </c>
      <c r="X40" s="1816"/>
      <c r="Y40" s="3273"/>
      <c r="Z40" s="1817" t="str">
        <f t="shared" si="15"/>
        <v>单套建筑面积</v>
      </c>
      <c r="AA40" s="1814">
        <f t="shared" si="3"/>
        <v>1</v>
      </c>
      <c r="AB40" s="1814">
        <f t="shared" si="4"/>
        <v>1</v>
      </c>
      <c r="AC40" s="1814">
        <f t="shared" si="5"/>
        <v>1</v>
      </c>
    </row>
    <row r="41" spans="1:29" s="471" customFormat="1" ht="15">
      <c r="A41" s="468"/>
      <c r="B41" s="1815"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71"/>
      <c r="Q41" s="776" t="str">
        <f t="shared" si="11"/>
        <v>进深比</v>
      </c>
      <c r="R41" s="777" t="s">
        <v>17</v>
      </c>
      <c r="S41" s="778">
        <f t="shared" si="12"/>
        <v>100</v>
      </c>
      <c r="T41" s="777" t="s">
        <v>17</v>
      </c>
      <c r="U41" s="778">
        <f t="shared" si="13"/>
        <v>100</v>
      </c>
      <c r="V41" s="777" t="s">
        <v>17</v>
      </c>
      <c r="W41" s="778">
        <f t="shared" si="14"/>
        <v>100</v>
      </c>
      <c r="X41" s="779"/>
      <c r="Y41" s="3273"/>
      <c r="Z41" s="780" t="str">
        <f t="shared" si="15"/>
        <v>进深比</v>
      </c>
      <c r="AA41" s="1814">
        <f t="shared" si="3"/>
        <v>1</v>
      </c>
      <c r="AB41" s="1814">
        <f t="shared" si="4"/>
        <v>1</v>
      </c>
      <c r="AC41" s="1814">
        <f t="shared" si="5"/>
        <v>1</v>
      </c>
    </row>
    <row r="42" spans="1:29" ht="15">
      <c r="A42" s="472"/>
      <c r="B42" s="422" t="s">
        <v>2667</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71"/>
      <c r="Q42" s="1813" t="str">
        <f t="shared" si="11"/>
        <v>内部装修</v>
      </c>
      <c r="R42" s="774" t="s">
        <v>17</v>
      </c>
      <c r="S42" s="775">
        <f t="shared" si="12"/>
        <v>100</v>
      </c>
      <c r="T42" s="774" t="s">
        <v>17</v>
      </c>
      <c r="U42" s="775">
        <f t="shared" si="13"/>
        <v>100</v>
      </c>
      <c r="V42" s="774" t="s">
        <v>17</v>
      </c>
      <c r="W42" s="775">
        <f t="shared" si="14"/>
        <v>100</v>
      </c>
      <c r="X42" s="1816"/>
      <c r="Y42" s="3273"/>
      <c r="Z42" s="1817" t="str">
        <f t="shared" si="15"/>
        <v>内部装修</v>
      </c>
      <c r="AA42" s="1814">
        <f t="shared" si="3"/>
        <v>1</v>
      </c>
      <c r="AB42" s="1814">
        <f t="shared" si="4"/>
        <v>1</v>
      </c>
      <c r="AC42" s="1814">
        <f t="shared" si="5"/>
        <v>1</v>
      </c>
    </row>
    <row r="43" spans="1:29" ht="15">
      <c r="A43" s="472"/>
      <c r="B43" s="422" t="s">
        <v>2575</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71"/>
      <c r="Q43" s="1813" t="str">
        <f t="shared" si="11"/>
        <v>内部装修维护情况</v>
      </c>
      <c r="R43" s="774" t="s">
        <v>17</v>
      </c>
      <c r="S43" s="775">
        <f t="shared" si="12"/>
        <v>100</v>
      </c>
      <c r="T43" s="774" t="s">
        <v>17</v>
      </c>
      <c r="U43" s="775">
        <f t="shared" si="13"/>
        <v>100</v>
      </c>
      <c r="V43" s="774" t="s">
        <v>17</v>
      </c>
      <c r="W43" s="775">
        <f t="shared" si="14"/>
        <v>100</v>
      </c>
      <c r="X43" s="1816"/>
      <c r="Y43" s="3273"/>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71"/>
      <c r="Q44" s="1798">
        <f t="shared" si="11"/>
        <v>111</v>
      </c>
      <c r="R44" s="770" t="s">
        <v>17</v>
      </c>
      <c r="S44" s="771">
        <f t="shared" si="12"/>
        <v>100</v>
      </c>
      <c r="T44" s="770" t="s">
        <v>17</v>
      </c>
      <c r="U44" s="771">
        <f t="shared" si="13"/>
        <v>100</v>
      </c>
      <c r="V44" s="770" t="s">
        <v>17</v>
      </c>
      <c r="W44" s="771">
        <f t="shared" si="14"/>
        <v>100</v>
      </c>
      <c r="X44" s="772"/>
      <c r="Y44" s="3273"/>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71"/>
      <c r="Q45" s="1813">
        <f t="shared" si="11"/>
        <v>111</v>
      </c>
      <c r="R45" s="774" t="s">
        <v>17</v>
      </c>
      <c r="S45" s="775">
        <f t="shared" si="12"/>
        <v>100</v>
      </c>
      <c r="T45" s="774" t="s">
        <v>17</v>
      </c>
      <c r="U45" s="775">
        <f t="shared" si="13"/>
        <v>100</v>
      </c>
      <c r="V45" s="774" t="s">
        <v>17</v>
      </c>
      <c r="W45" s="775">
        <f t="shared" si="14"/>
        <v>100</v>
      </c>
      <c r="X45" s="1816"/>
      <c r="Y45" s="3273"/>
      <c r="Z45" s="1817">
        <f t="shared" si="15"/>
        <v>111</v>
      </c>
      <c r="AA45" s="1814">
        <f t="shared" si="3"/>
        <v>1</v>
      </c>
      <c r="AB45" s="1814">
        <f t="shared" si="4"/>
        <v>1</v>
      </c>
      <c r="AC45" s="1814">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72"/>
      <c r="Q46" s="1813">
        <f t="shared" si="11"/>
        <v>111</v>
      </c>
      <c r="R46" s="774" t="s">
        <v>17</v>
      </c>
      <c r="S46" s="775">
        <f t="shared" si="12"/>
        <v>100</v>
      </c>
      <c r="T46" s="774" t="s">
        <v>17</v>
      </c>
      <c r="U46" s="775">
        <f t="shared" si="13"/>
        <v>100</v>
      </c>
      <c r="V46" s="774" t="s">
        <v>17</v>
      </c>
      <c r="W46" s="775">
        <f t="shared" si="14"/>
        <v>100</v>
      </c>
      <c r="X46" s="1816"/>
      <c r="Y46" s="3274"/>
      <c r="Z46" s="1817">
        <f t="shared" si="15"/>
        <v>111</v>
      </c>
      <c r="AA46" s="1814">
        <f t="shared" si="3"/>
        <v>1</v>
      </c>
      <c r="AB46" s="1814">
        <f t="shared" si="4"/>
        <v>1</v>
      </c>
      <c r="AC46" s="1814">
        <f t="shared" si="5"/>
        <v>1</v>
      </c>
    </row>
    <row r="47" spans="1:29" ht="15">
      <c r="A47" s="479" t="s">
        <v>2576</v>
      </c>
      <c r="B47" s="480"/>
      <c r="C47" s="1410" t="s">
        <v>1</v>
      </c>
      <c r="D47" s="1411"/>
      <c r="E47" s="1412"/>
      <c r="F47" s="1413"/>
      <c r="G47" s="1414"/>
      <c r="H47" s="1415"/>
      <c r="I47" s="1412"/>
      <c r="J47" s="1415"/>
      <c r="K47" s="783"/>
      <c r="L47" s="1146"/>
      <c r="M47" s="1147"/>
      <c r="N47" s="1134"/>
      <c r="O47" s="1147"/>
      <c r="P47" s="3266" t="str">
        <f>A47</f>
        <v>成交单价（元/平方米）</v>
      </c>
      <c r="Q47" s="3266"/>
      <c r="R47" s="3297">
        <f>E47</f>
        <v>0</v>
      </c>
      <c r="S47" s="3297"/>
      <c r="T47" s="3297">
        <f>G47</f>
        <v>0</v>
      </c>
      <c r="U47" s="3297"/>
      <c r="V47" s="3297">
        <f>I47</f>
        <v>0</v>
      </c>
      <c r="W47" s="3297"/>
      <c r="X47" s="759"/>
      <c r="Y47" s="781"/>
      <c r="Z47" s="759"/>
      <c r="AA47" s="759"/>
      <c r="AB47" s="759"/>
      <c r="AC47" s="759"/>
    </row>
    <row r="48" spans="1:29" ht="15.75" thickBot="1">
      <c r="A48" s="486" t="s">
        <v>2668</v>
      </c>
      <c r="B48" s="487"/>
      <c r="C48" s="1416" t="e">
        <f>R49</f>
        <v>#DIV/0!</v>
      </c>
      <c r="D48" s="1417"/>
      <c r="E48" s="1418" t="e">
        <f>R48</f>
        <v>#DIV/0!</v>
      </c>
      <c r="F48" s="1418"/>
      <c r="G48" s="1416" t="e">
        <f>T48</f>
        <v>#DIV/0!</v>
      </c>
      <c r="H48" s="1417"/>
      <c r="I48" s="1418" t="e">
        <f>V48</f>
        <v>#DIV/0!</v>
      </c>
      <c r="J48" s="1417"/>
      <c r="K48" s="784"/>
      <c r="L48" s="1146"/>
      <c r="M48" s="1147"/>
      <c r="N48" s="1134"/>
      <c r="O48" s="1147"/>
      <c r="P48" s="3266" t="str">
        <f>A48</f>
        <v>比较价值（元/平方米）</v>
      </c>
      <c r="Q48" s="3266"/>
      <c r="R48" s="3267" t="e">
        <f>IF(F1="售价",ROUND(PRODUCT(R47,AA7:AA46),0),ROUND(PRODUCT(R47,AA7:AA46),1))</f>
        <v>#DIV/0!</v>
      </c>
      <c r="S48" s="3267"/>
      <c r="T48" s="3267" t="e">
        <f>IF(F1="售价",ROUND(PRODUCT(T47,AB7:AB46),0),ROUND(PRODUCT(T47,AB7:AB46),1))</f>
        <v>#DIV/0!</v>
      </c>
      <c r="U48" s="3267"/>
      <c r="V48" s="3267" t="e">
        <f>IF(F1="售价",ROUND(PRODUCT(V47,AC7:AC46),0),ROUND(PRODUCT(V47,AC7:AC46),1))</f>
        <v>#DIV/0!</v>
      </c>
      <c r="W48" s="3267"/>
      <c r="X48" s="759"/>
      <c r="Y48" s="759"/>
      <c r="Z48" s="759"/>
      <c r="AA48" s="759"/>
      <c r="AB48" s="759"/>
      <c r="AC48" s="759"/>
    </row>
    <row r="49" spans="1:29" ht="15.75" thickBot="1">
      <c r="A49" s="492" t="s">
        <v>2669</v>
      </c>
      <c r="B49" s="493"/>
      <c r="C49" s="1420" t="e">
        <f>R49</f>
        <v>#DIV/0!</v>
      </c>
      <c r="D49" s="1420"/>
      <c r="E49" s="1420"/>
      <c r="F49" s="1420"/>
      <c r="G49" s="1420"/>
      <c r="H49" s="1420"/>
      <c r="I49" s="1420"/>
      <c r="J49" s="1420"/>
      <c r="K49" s="785"/>
      <c r="L49" s="1146"/>
      <c r="M49" s="1147"/>
      <c r="N49" s="1134"/>
      <c r="O49" s="1147"/>
      <c r="P49" s="3263" t="str">
        <f>A49</f>
        <v>估价对象XX用房的比较价值（楼面单价，元/平方米）</v>
      </c>
      <c r="Q49" s="3264"/>
      <c r="R49" s="3265" t="e">
        <f>IF(F1="售价",ROUND(AVERAGE(R48:V48),0),ROUND(AVERAGE(R48:V48),1))</f>
        <v>#DIV/0!</v>
      </c>
      <c r="S49" s="3265"/>
      <c r="T49" s="3265"/>
      <c r="U49" s="3265"/>
      <c r="V49" s="3265"/>
      <c r="W49" s="326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2547</v>
      </c>
      <c r="B58" s="506"/>
      <c r="C58" s="1577" t="str">
        <f>YEAR(C7)&amp;"-"&amp;MONTH(C7)</f>
        <v>2019-5</v>
      </c>
      <c r="D58" s="1578">
        <f>EDATE(C58,-1)</f>
        <v>43556</v>
      </c>
      <c r="E58" s="1578">
        <f t="shared" ref="E58:N58" si="16">EDATE(D58,-1)</f>
        <v>43525</v>
      </c>
      <c r="F58" s="1578">
        <f t="shared" si="16"/>
        <v>43497</v>
      </c>
      <c r="G58" s="1578">
        <f t="shared" si="16"/>
        <v>43466</v>
      </c>
      <c r="H58" s="1578">
        <f t="shared" si="16"/>
        <v>43435</v>
      </c>
      <c r="I58" s="1578">
        <f t="shared" si="16"/>
        <v>43405</v>
      </c>
      <c r="J58" s="1578">
        <f t="shared" si="16"/>
        <v>43374</v>
      </c>
      <c r="K58" s="1578">
        <f t="shared" si="16"/>
        <v>43344</v>
      </c>
      <c r="L58" s="1578">
        <f t="shared" si="16"/>
        <v>43313</v>
      </c>
      <c r="M58" s="1578">
        <f t="shared" si="16"/>
        <v>43282</v>
      </c>
      <c r="N58" s="1578">
        <f t="shared" si="16"/>
        <v>43252</v>
      </c>
      <c r="O58" s="1578">
        <f>EDATE(N58,-1)</f>
        <v>43221</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2584</v>
      </c>
      <c r="B60" s="516"/>
      <c r="C60" s="517"/>
      <c r="D60" s="518"/>
      <c r="E60" s="518"/>
      <c r="F60" s="518"/>
      <c r="G60" s="518"/>
      <c r="H60" s="518"/>
      <c r="I60" s="518"/>
      <c r="J60" s="518"/>
      <c r="K60" s="518"/>
      <c r="L60" s="518"/>
      <c r="M60" s="519"/>
      <c r="N60" s="518"/>
      <c r="O60" s="519"/>
      <c r="P60" s="2633"/>
      <c r="Q60" s="504"/>
    </row>
    <row r="61" spans="1:29" s="117" customFormat="1" ht="15">
      <c r="A61" s="521" t="s">
        <v>2549</v>
      </c>
      <c r="B61" s="510"/>
      <c r="C61" s="522" t="s">
        <v>2651</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2587</v>
      </c>
      <c r="B63" s="528" t="s">
        <v>2553</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2654</v>
      </c>
      <c r="C82" s="660" t="s">
        <v>2674</v>
      </c>
      <c r="D82" s="660" t="s">
        <v>2675</v>
      </c>
      <c r="E82" s="660" t="s">
        <v>2676</v>
      </c>
      <c r="F82" s="660" t="s">
        <v>2677</v>
      </c>
      <c r="G82" s="660" t="s">
        <v>2678</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2679</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2562</v>
      </c>
      <c r="B100" s="528" t="s">
        <v>2680</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2613</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2615</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2617</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2681</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2682</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2683</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2684</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2619</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2527</v>
      </c>
      <c r="B1" s="2674" t="s">
        <v>2685</v>
      </c>
      <c r="C1" s="1623" t="s">
        <v>2529</v>
      </c>
      <c r="D1" s="1624"/>
      <c r="E1" s="1633"/>
      <c r="F1" s="2589"/>
      <c r="G1" s="1634" t="s">
        <v>2642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IF(C2="——",ROUND(C50*D3/10000,0),ROUND(C50*D3/10000,0)-D2)</f>
        <v>#DIV/0!</v>
      </c>
      <c r="C2" s="2591"/>
      <c r="D2" s="1368" t="e">
        <f ca="1">SUMIF(INDIRECT("'"&amp;F2&amp;"'"&amp;"!A:A"),"承租人权益价值",INDIRECT("'"&amp;F2&amp;"'"&amp;"!c:c"))</f>
        <v>#REF!</v>
      </c>
      <c r="E2" s="2592" t="s">
        <v>2327</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2643</v>
      </c>
      <c r="D3" s="399">
        <f>IF(D1="",'数据-汇总表'!E3,SUMIF('数据-汇总表'!$C19:$C33,D1,'数据-汇总表'!$E19:$E33))</f>
        <v>20447.539999999997</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315" t="s">
        <v>2650</v>
      </c>
      <c r="Q4" s="3316"/>
      <c r="R4" s="3319" t="s">
        <v>2646</v>
      </c>
      <c r="S4" s="3320"/>
      <c r="T4" s="3319" t="s">
        <v>2647</v>
      </c>
      <c r="U4" s="3320"/>
      <c r="V4" s="3321" t="s">
        <v>2648</v>
      </c>
      <c r="W4" s="3321"/>
      <c r="X4" s="2675"/>
      <c r="Y4" s="3319" t="s">
        <v>2650</v>
      </c>
      <c r="Z4" s="3320"/>
      <c r="AA4" s="3323" t="s">
        <v>2646</v>
      </c>
      <c r="AB4" s="3323" t="s">
        <v>2647</v>
      </c>
      <c r="AC4" s="3312" t="s">
        <v>2648</v>
      </c>
    </row>
    <row r="5" spans="1:29" ht="15">
      <c r="A5" s="404"/>
      <c r="B5" s="405"/>
      <c r="C5" s="3300" t="s">
        <v>2541</v>
      </c>
      <c r="D5" s="3301"/>
      <c r="E5" s="3307" t="s">
        <v>2542</v>
      </c>
      <c r="F5" s="3308"/>
      <c r="G5" s="3300" t="s">
        <v>2543</v>
      </c>
      <c r="H5" s="3301"/>
      <c r="I5" s="3300" t="s">
        <v>2544</v>
      </c>
      <c r="J5" s="3301"/>
      <c r="K5" s="610"/>
      <c r="L5" s="1133"/>
      <c r="M5" s="1134"/>
      <c r="N5" s="1134"/>
      <c r="O5" s="1134"/>
      <c r="P5" s="3317"/>
      <c r="Q5" s="3288"/>
      <c r="R5" s="3293"/>
      <c r="S5" s="3294"/>
      <c r="T5" s="3293"/>
      <c r="U5" s="3294"/>
      <c r="V5" s="3297"/>
      <c r="W5" s="3297"/>
      <c r="X5" s="1816"/>
      <c r="Y5" s="3293"/>
      <c r="Z5" s="3294"/>
      <c r="AA5" s="3279"/>
      <c r="AB5" s="3279"/>
      <c r="AC5" s="3313"/>
    </row>
    <row r="6" spans="1:29" ht="15.75" thickBot="1">
      <c r="A6" s="406"/>
      <c r="B6" s="407"/>
      <c r="C6" s="3298" t="s">
        <v>2545</v>
      </c>
      <c r="D6" s="3299"/>
      <c r="E6" s="3305" t="s">
        <v>2545</v>
      </c>
      <c r="F6" s="3306"/>
      <c r="G6" s="3298" t="s">
        <v>2545</v>
      </c>
      <c r="H6" s="3299"/>
      <c r="I6" s="3298" t="s">
        <v>2545</v>
      </c>
      <c r="J6" s="3299"/>
      <c r="K6" s="610" t="s">
        <v>2546</v>
      </c>
      <c r="L6" s="1133"/>
      <c r="M6" s="1134"/>
      <c r="N6" s="1134"/>
      <c r="O6" s="1134"/>
      <c r="P6" s="3318"/>
      <c r="Q6" s="3290"/>
      <c r="R6" s="3293"/>
      <c r="S6" s="3294"/>
      <c r="T6" s="3295"/>
      <c r="U6" s="3296"/>
      <c r="V6" s="3297"/>
      <c r="W6" s="3297"/>
      <c r="X6" s="1816"/>
      <c r="Y6" s="3295"/>
      <c r="Z6" s="3296"/>
      <c r="AA6" s="3280"/>
      <c r="AB6" s="3280"/>
      <c r="AC6" s="3314"/>
    </row>
    <row r="7" spans="1:29" s="117" customFormat="1" ht="15.75" thickBot="1">
      <c r="A7" s="408" t="s">
        <v>2547</v>
      </c>
      <c r="B7" s="409"/>
      <c r="C7" s="410">
        <f>'数据-取费表'!B2</f>
        <v>43598</v>
      </c>
      <c r="D7" s="411">
        <v>100</v>
      </c>
      <c r="E7" s="412"/>
      <c r="F7" s="413">
        <f>SUMIF(59:59,YEAR(E7)&amp;"-"&amp;MONTH(E7),60:60)</f>
        <v>0</v>
      </c>
      <c r="G7" s="412"/>
      <c r="H7" s="411">
        <f>SUMIF(59:59,YEAR(G7)&amp;"-"&amp;MONTH(G7),60:60)</f>
        <v>0</v>
      </c>
      <c r="I7" s="412"/>
      <c r="J7" s="411">
        <f>SUMIF(59:59,YEAR(I7)&amp;"-"&amp;MONTH(I7),60:60)</f>
        <v>0</v>
      </c>
      <c r="K7" s="611"/>
      <c r="L7" s="1135"/>
      <c r="M7" s="1136"/>
      <c r="N7" s="1136"/>
      <c r="O7" s="1136"/>
      <c r="P7" s="3322" t="s">
        <v>2548</v>
      </c>
      <c r="Q7" s="3304"/>
      <c r="R7" s="770" t="s">
        <v>17</v>
      </c>
      <c r="S7" s="771">
        <f t="shared" ref="S7:S15" si="0">F7</f>
        <v>0</v>
      </c>
      <c r="T7" s="770" t="s">
        <v>17</v>
      </c>
      <c r="U7" s="771">
        <f t="shared" ref="U7:U15" si="1">H7</f>
        <v>0</v>
      </c>
      <c r="V7" s="770" t="s">
        <v>17</v>
      </c>
      <c r="W7" s="771">
        <f t="shared" ref="W7:W15" si="2">J7</f>
        <v>0</v>
      </c>
      <c r="X7" s="772"/>
      <c r="Y7" s="3302" t="s">
        <v>2548</v>
      </c>
      <c r="Z7" s="3303"/>
      <c r="AA7" s="773" t="e">
        <f>D7/F7</f>
        <v>#DIV/0!</v>
      </c>
      <c r="AB7" s="773" t="e">
        <f>D7/H7</f>
        <v>#DIV/0!</v>
      </c>
      <c r="AC7" s="2676"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322" t="s">
        <v>2551</v>
      </c>
      <c r="Q8" s="3303"/>
      <c r="R8" s="770" t="s">
        <v>17</v>
      </c>
      <c r="S8" s="771">
        <f t="shared" si="0"/>
        <v>0</v>
      </c>
      <c r="T8" s="770" t="s">
        <v>17</v>
      </c>
      <c r="U8" s="771">
        <f t="shared" si="1"/>
        <v>0</v>
      </c>
      <c r="V8" s="770" t="s">
        <v>17</v>
      </c>
      <c r="W8" s="771">
        <f t="shared" si="2"/>
        <v>0</v>
      </c>
      <c r="X8" s="772"/>
      <c r="Y8" s="3302" t="s">
        <v>2551</v>
      </c>
      <c r="Z8" s="3303"/>
      <c r="AA8" s="773" t="e">
        <f t="shared" ref="AA8:AA47" si="3">D8/F8</f>
        <v>#DIV/0!</v>
      </c>
      <c r="AB8" s="773" t="e">
        <f t="shared" ref="AB8:AB47" si="4">D8/H8</f>
        <v>#DIV/0!</v>
      </c>
      <c r="AC8" s="2676"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77" t="s">
        <v>2554</v>
      </c>
      <c r="Q9" s="1798" t="str">
        <f t="shared" ref="Q9:Q15" si="6">B9</f>
        <v>用途</v>
      </c>
      <c r="R9" s="770" t="s">
        <v>17</v>
      </c>
      <c r="S9" s="771">
        <f t="shared" si="0"/>
        <v>100</v>
      </c>
      <c r="T9" s="770" t="s">
        <v>17</v>
      </c>
      <c r="U9" s="771">
        <f t="shared" si="1"/>
        <v>100</v>
      </c>
      <c r="V9" s="770" t="s">
        <v>17</v>
      </c>
      <c r="W9" s="771">
        <f t="shared" si="2"/>
        <v>100</v>
      </c>
      <c r="X9" s="772"/>
      <c r="Y9" s="3080" t="s">
        <v>2555</v>
      </c>
      <c r="Z9" s="55" t="str">
        <f t="shared" ref="Z9:Z15" si="7">Q9</f>
        <v>用途</v>
      </c>
      <c r="AA9" s="773">
        <f t="shared" si="3"/>
        <v>1</v>
      </c>
      <c r="AB9" s="773">
        <f t="shared" si="4"/>
        <v>1</v>
      </c>
      <c r="AC9" s="2676">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77"/>
      <c r="Q10" s="1798" t="str">
        <f t="shared" si="6"/>
        <v>土地使用年限（年）</v>
      </c>
      <c r="R10" s="770" t="s">
        <v>17</v>
      </c>
      <c r="S10" s="771">
        <f t="shared" si="0"/>
        <v>100</v>
      </c>
      <c r="T10" s="770" t="s">
        <v>17</v>
      </c>
      <c r="U10" s="771">
        <f t="shared" si="1"/>
        <v>100</v>
      </c>
      <c r="V10" s="770" t="s">
        <v>17</v>
      </c>
      <c r="W10" s="771">
        <f t="shared" si="2"/>
        <v>100</v>
      </c>
      <c r="X10" s="772"/>
      <c r="Y10" s="3080"/>
      <c r="Z10" s="55" t="str">
        <f t="shared" si="7"/>
        <v>土地使用年限（年）</v>
      </c>
      <c r="AA10" s="773">
        <f t="shared" si="3"/>
        <v>1</v>
      </c>
      <c r="AB10" s="773">
        <f t="shared" si="4"/>
        <v>1</v>
      </c>
      <c r="AC10" s="2676">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77"/>
      <c r="Q11" s="1798" t="str">
        <f t="shared" si="6"/>
        <v>容积率</v>
      </c>
      <c r="R11" s="770" t="s">
        <v>17</v>
      </c>
      <c r="S11" s="771" t="e">
        <f t="shared" si="0"/>
        <v>#N/A</v>
      </c>
      <c r="T11" s="770" t="s">
        <v>17</v>
      </c>
      <c r="U11" s="771" t="e">
        <f t="shared" si="1"/>
        <v>#N/A</v>
      </c>
      <c r="V11" s="770" t="s">
        <v>17</v>
      </c>
      <c r="W11" s="771" t="e">
        <f t="shared" si="2"/>
        <v>#N/A</v>
      </c>
      <c r="X11" s="772"/>
      <c r="Y11" s="3080"/>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277"/>
      <c r="Q12" s="1798">
        <f t="shared" si="6"/>
        <v>111</v>
      </c>
      <c r="R12" s="770" t="s">
        <v>17</v>
      </c>
      <c r="S12" s="771">
        <f t="shared" si="0"/>
        <v>100</v>
      </c>
      <c r="T12" s="770" t="s">
        <v>17</v>
      </c>
      <c r="U12" s="771">
        <f t="shared" si="1"/>
        <v>100</v>
      </c>
      <c r="V12" s="770" t="s">
        <v>17</v>
      </c>
      <c r="W12" s="771">
        <f t="shared" si="2"/>
        <v>100</v>
      </c>
      <c r="X12" s="772"/>
      <c r="Y12" s="3080"/>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277"/>
      <c r="Q13" s="1798">
        <f t="shared" si="6"/>
        <v>111</v>
      </c>
      <c r="R13" s="770" t="s">
        <v>17</v>
      </c>
      <c r="S13" s="771">
        <f t="shared" si="0"/>
        <v>100</v>
      </c>
      <c r="T13" s="770" t="s">
        <v>17</v>
      </c>
      <c r="U13" s="771">
        <f t="shared" si="1"/>
        <v>100</v>
      </c>
      <c r="V13" s="770" t="s">
        <v>17</v>
      </c>
      <c r="W13" s="771">
        <f t="shared" si="2"/>
        <v>100</v>
      </c>
      <c r="X13" s="772"/>
      <c r="Y13" s="3080"/>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277"/>
      <c r="Q14" s="1798">
        <f t="shared" si="6"/>
        <v>111</v>
      </c>
      <c r="R14" s="770" t="s">
        <v>17</v>
      </c>
      <c r="S14" s="771">
        <f t="shared" si="0"/>
        <v>100</v>
      </c>
      <c r="T14" s="770" t="s">
        <v>17</v>
      </c>
      <c r="U14" s="771">
        <f t="shared" si="1"/>
        <v>100</v>
      </c>
      <c r="V14" s="770" t="s">
        <v>17</v>
      </c>
      <c r="W14" s="771">
        <f t="shared" si="2"/>
        <v>100</v>
      </c>
      <c r="X14" s="772"/>
      <c r="Y14" s="3080"/>
      <c r="Z14" s="55">
        <f t="shared" si="7"/>
        <v>111</v>
      </c>
      <c r="AA14" s="773">
        <f t="shared" si="3"/>
        <v>1</v>
      </c>
      <c r="AB14" s="773">
        <f t="shared" si="4"/>
        <v>1</v>
      </c>
      <c r="AC14" s="2676">
        <f t="shared" si="5"/>
        <v>1</v>
      </c>
    </row>
    <row r="15" spans="1:29" ht="71.25">
      <c r="A15" s="440" t="s">
        <v>2558</v>
      </c>
      <c r="B15" s="629" t="s">
        <v>2686</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75" t="s">
        <v>2559</v>
      </c>
      <c r="Q15" s="1813" t="str">
        <f t="shared" si="6"/>
        <v>办公集聚程度</v>
      </c>
      <c r="R15" s="774" t="s">
        <v>17</v>
      </c>
      <c r="S15" s="775">
        <f t="shared" si="0"/>
        <v>100</v>
      </c>
      <c r="T15" s="774" t="s">
        <v>17</v>
      </c>
      <c r="U15" s="775">
        <f t="shared" si="1"/>
        <v>100</v>
      </c>
      <c r="V15" s="774" t="s">
        <v>17</v>
      </c>
      <c r="W15" s="775">
        <f t="shared" si="2"/>
        <v>100</v>
      </c>
      <c r="X15" s="1816"/>
      <c r="Y15" s="3268" t="s">
        <v>2559</v>
      </c>
      <c r="Z15" s="1817" t="str">
        <f t="shared" si="7"/>
        <v>办公集聚程度</v>
      </c>
      <c r="AA15" s="1814">
        <f t="shared" si="3"/>
        <v>1</v>
      </c>
      <c r="AB15" s="1814">
        <f t="shared" si="4"/>
        <v>1</v>
      </c>
      <c r="AC15" s="2679">
        <f t="shared" si="5"/>
        <v>1</v>
      </c>
    </row>
    <row r="16" spans="1:29" ht="15">
      <c r="A16" s="428"/>
      <c r="B16" s="630"/>
      <c r="C16" s="2616"/>
      <c r="D16" s="448"/>
      <c r="E16" s="447"/>
      <c r="F16" s="448"/>
      <c r="G16" s="2616"/>
      <c r="H16" s="450"/>
      <c r="I16" s="447"/>
      <c r="J16" s="448"/>
      <c r="K16" s="615"/>
      <c r="L16" s="1143"/>
      <c r="M16" s="1134"/>
      <c r="N16" s="1134"/>
      <c r="O16" s="1134"/>
      <c r="P16" s="3276"/>
      <c r="Q16" s="1813"/>
      <c r="R16" s="774"/>
      <c r="S16" s="775"/>
      <c r="T16" s="774"/>
      <c r="U16" s="775"/>
      <c r="V16" s="774"/>
      <c r="W16" s="775"/>
      <c r="X16" s="1816"/>
      <c r="Y16" s="3269"/>
      <c r="Z16" s="1817"/>
      <c r="AA16" s="1814">
        <v>1</v>
      </c>
      <c r="AB16" s="1814">
        <v>1</v>
      </c>
      <c r="AC16" s="2679">
        <v>1</v>
      </c>
    </row>
    <row r="17" spans="1:29" ht="71.25">
      <c r="A17" s="428"/>
      <c r="B17" s="631" t="s">
        <v>2096</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76"/>
      <c r="Q17" s="1813" t="str">
        <f>B17</f>
        <v>交通便捷度</v>
      </c>
      <c r="R17" s="774" t="s">
        <v>17</v>
      </c>
      <c r="S17" s="775">
        <f>F17</f>
        <v>100</v>
      </c>
      <c r="T17" s="774" t="s">
        <v>17</v>
      </c>
      <c r="U17" s="775">
        <f>H17</f>
        <v>100</v>
      </c>
      <c r="V17" s="774" t="s">
        <v>17</v>
      </c>
      <c r="W17" s="775">
        <f>J17</f>
        <v>100</v>
      </c>
      <c r="X17" s="1816"/>
      <c r="Y17" s="3269"/>
      <c r="Z17" s="1817" t="str">
        <f>Q17</f>
        <v>交通便捷度</v>
      </c>
      <c r="AA17" s="1814">
        <f t="shared" si="3"/>
        <v>1</v>
      </c>
      <c r="AB17" s="1814">
        <f t="shared" si="4"/>
        <v>1</v>
      </c>
      <c r="AC17" s="2679">
        <f t="shared" si="5"/>
        <v>1</v>
      </c>
    </row>
    <row r="18" spans="1:29" ht="15">
      <c r="A18" s="428"/>
      <c r="B18" s="632"/>
      <c r="C18" s="2681"/>
      <c r="D18" s="450"/>
      <c r="E18" s="2614"/>
      <c r="F18" s="450"/>
      <c r="G18" s="2615"/>
      <c r="H18" s="448"/>
      <c r="I18" s="2615"/>
      <c r="J18" s="448"/>
      <c r="K18" s="615"/>
      <c r="L18" s="1143"/>
      <c r="M18" s="1134"/>
      <c r="N18" s="1134"/>
      <c r="O18" s="1134"/>
      <c r="P18" s="3276"/>
      <c r="Q18" s="1813"/>
      <c r="R18" s="774"/>
      <c r="S18" s="775"/>
      <c r="T18" s="774"/>
      <c r="U18" s="775"/>
      <c r="V18" s="774"/>
      <c r="W18" s="775"/>
      <c r="X18" s="1816"/>
      <c r="Y18" s="3269"/>
      <c r="Z18" s="1817"/>
      <c r="AA18" s="1814">
        <v>1</v>
      </c>
      <c r="AB18" s="1814">
        <v>1</v>
      </c>
      <c r="AC18" s="2679">
        <v>1</v>
      </c>
    </row>
    <row r="19" spans="1:29" ht="42.75">
      <c r="A19" s="428"/>
      <c r="B19" s="631" t="s">
        <v>2687</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76"/>
      <c r="Q19" s="1813" t="str">
        <f>B19</f>
        <v>公共配套设施</v>
      </c>
      <c r="R19" s="774" t="s">
        <v>17</v>
      </c>
      <c r="S19" s="775">
        <f>F19</f>
        <v>100</v>
      </c>
      <c r="T19" s="774" t="s">
        <v>17</v>
      </c>
      <c r="U19" s="775">
        <f>H19</f>
        <v>100</v>
      </c>
      <c r="V19" s="774" t="s">
        <v>17</v>
      </c>
      <c r="W19" s="775">
        <f>J19</f>
        <v>100</v>
      </c>
      <c r="X19" s="1816"/>
      <c r="Y19" s="3269"/>
      <c r="Z19" s="1817" t="str">
        <f>Q19</f>
        <v>公共配套设施</v>
      </c>
      <c r="AA19" s="1814">
        <f t="shared" si="3"/>
        <v>1</v>
      </c>
      <c r="AB19" s="1814">
        <f t="shared" si="4"/>
        <v>1</v>
      </c>
      <c r="AC19" s="2679">
        <f t="shared" si="5"/>
        <v>1</v>
      </c>
    </row>
    <row r="20" spans="1:29" ht="15">
      <c r="A20" s="428"/>
      <c r="B20" s="632"/>
      <c r="C20" s="2616"/>
      <c r="D20" s="448"/>
      <c r="E20" s="2609"/>
      <c r="F20" s="448"/>
      <c r="G20" s="2610"/>
      <c r="H20" s="448"/>
      <c r="I20" s="2610"/>
      <c r="J20" s="448"/>
      <c r="K20" s="615"/>
      <c r="L20" s="1143"/>
      <c r="M20" s="1134"/>
      <c r="N20" s="1134"/>
      <c r="O20" s="1134"/>
      <c r="P20" s="3276"/>
      <c r="Q20" s="1813"/>
      <c r="R20" s="774"/>
      <c r="S20" s="775"/>
      <c r="T20" s="774"/>
      <c r="U20" s="775"/>
      <c r="V20" s="774"/>
      <c r="W20" s="775"/>
      <c r="X20" s="1816"/>
      <c r="Y20" s="3269"/>
      <c r="Z20" s="1817"/>
      <c r="AA20" s="1814">
        <v>1</v>
      </c>
      <c r="AB20" s="1814">
        <v>1</v>
      </c>
      <c r="AC20" s="2679">
        <v>1</v>
      </c>
    </row>
    <row r="21" spans="1:29" ht="28.5">
      <c r="A21" s="428"/>
      <c r="B21" s="633" t="s">
        <v>2688</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76"/>
      <c r="Q21" s="1813" t="str">
        <f>B21</f>
        <v>基础设施水平</v>
      </c>
      <c r="R21" s="774" t="s">
        <v>17</v>
      </c>
      <c r="S21" s="775">
        <f>F21</f>
        <v>100</v>
      </c>
      <c r="T21" s="774" t="s">
        <v>17</v>
      </c>
      <c r="U21" s="775">
        <f>H21</f>
        <v>100</v>
      </c>
      <c r="V21" s="774" t="s">
        <v>17</v>
      </c>
      <c r="W21" s="775">
        <f>J21</f>
        <v>100</v>
      </c>
      <c r="X21" s="1816"/>
      <c r="Y21" s="3269"/>
      <c r="Z21" s="1817" t="str">
        <f>Q21</f>
        <v>基础设施水平</v>
      </c>
      <c r="AA21" s="1814">
        <f t="shared" ref="AA21" si="8">D21/F21</f>
        <v>1</v>
      </c>
      <c r="AB21" s="1814">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76"/>
      <c r="Q22" s="1813"/>
      <c r="R22" s="774"/>
      <c r="S22" s="775"/>
      <c r="T22" s="774"/>
      <c r="U22" s="775"/>
      <c r="V22" s="774"/>
      <c r="W22" s="775"/>
      <c r="X22" s="1816"/>
      <c r="Y22" s="3269"/>
      <c r="Z22" s="1817"/>
      <c r="AA22" s="1814">
        <v>1</v>
      </c>
      <c r="AB22" s="1814">
        <v>1</v>
      </c>
      <c r="AC22" s="2679">
        <v>1</v>
      </c>
    </row>
    <row r="23" spans="1:29" ht="42.75">
      <c r="A23" s="428"/>
      <c r="B23" s="631" t="s">
        <v>2689</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76"/>
      <c r="Q23" s="1813" t="str">
        <f>B23</f>
        <v>环境质量</v>
      </c>
      <c r="R23" s="774" t="s">
        <v>17</v>
      </c>
      <c r="S23" s="775">
        <f>F23</f>
        <v>100</v>
      </c>
      <c r="T23" s="774" t="s">
        <v>17</v>
      </c>
      <c r="U23" s="775">
        <f>H23</f>
        <v>100</v>
      </c>
      <c r="V23" s="774" t="s">
        <v>17</v>
      </c>
      <c r="W23" s="775">
        <f>J23</f>
        <v>100</v>
      </c>
      <c r="X23" s="1816"/>
      <c r="Y23" s="3269"/>
      <c r="Z23" s="1817" t="str">
        <f>Q23</f>
        <v>环境质量</v>
      </c>
      <c r="AA23" s="1814">
        <f t="shared" si="3"/>
        <v>1</v>
      </c>
      <c r="AB23" s="1814">
        <f t="shared" si="4"/>
        <v>1</v>
      </c>
      <c r="AC23" s="2679">
        <f t="shared" si="5"/>
        <v>1</v>
      </c>
    </row>
    <row r="24" spans="1:29" ht="15">
      <c r="A24" s="428"/>
      <c r="B24" s="633"/>
      <c r="C24" s="2616"/>
      <c r="D24" s="448"/>
      <c r="E24" s="2609"/>
      <c r="F24" s="448"/>
      <c r="G24" s="2610"/>
      <c r="H24" s="448"/>
      <c r="I24" s="2610"/>
      <c r="J24" s="448"/>
      <c r="K24" s="615"/>
      <c r="L24" s="1143"/>
      <c r="M24" s="1134"/>
      <c r="N24" s="1134"/>
      <c r="O24" s="1134"/>
      <c r="P24" s="3276"/>
      <c r="Q24" s="1813"/>
      <c r="R24" s="774"/>
      <c r="S24" s="775"/>
      <c r="T24" s="774"/>
      <c r="U24" s="775"/>
      <c r="V24" s="774"/>
      <c r="W24" s="775"/>
      <c r="X24" s="1816"/>
      <c r="Y24" s="3269"/>
      <c r="Z24" s="1817"/>
      <c r="AA24" s="1814">
        <v>1</v>
      </c>
      <c r="AB24" s="1814">
        <v>1</v>
      </c>
      <c r="AC24" s="2679">
        <v>1</v>
      </c>
    </row>
    <row r="25" spans="1:29" ht="27">
      <c r="A25" s="404"/>
      <c r="B25" s="631" t="s">
        <v>2690</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76"/>
      <c r="Q25" s="1813" t="str">
        <f>B25</f>
        <v>毗邻道路的类型与等级</v>
      </c>
      <c r="R25" s="774" t="s">
        <v>17</v>
      </c>
      <c r="S25" s="775">
        <f>F25</f>
        <v>100</v>
      </c>
      <c r="T25" s="774" t="s">
        <v>17</v>
      </c>
      <c r="U25" s="775">
        <f>H25</f>
        <v>100</v>
      </c>
      <c r="V25" s="774" t="s">
        <v>17</v>
      </c>
      <c r="W25" s="775">
        <f>J25</f>
        <v>100</v>
      </c>
      <c r="X25" s="1816"/>
      <c r="Y25" s="3269"/>
      <c r="Z25" s="1817" t="str">
        <f>Q25</f>
        <v>毗邻道路的类型与等级</v>
      </c>
      <c r="AA25" s="1814">
        <f t="shared" si="3"/>
        <v>1</v>
      </c>
      <c r="AB25" s="1814">
        <f t="shared" si="4"/>
        <v>1</v>
      </c>
      <c r="AC25" s="2679">
        <f t="shared" si="5"/>
        <v>1</v>
      </c>
    </row>
    <row r="26" spans="1:29" ht="15">
      <c r="A26" s="404"/>
      <c r="B26" s="632"/>
      <c r="C26" s="634"/>
      <c r="D26" s="435"/>
      <c r="E26" s="616"/>
      <c r="F26" s="435"/>
      <c r="G26" s="634"/>
      <c r="H26" s="435"/>
      <c r="I26" s="616"/>
      <c r="J26" s="435"/>
      <c r="K26" s="615"/>
      <c r="L26" s="1143"/>
      <c r="M26" s="1134"/>
      <c r="N26" s="1134"/>
      <c r="O26" s="1134"/>
      <c r="P26" s="3276"/>
      <c r="Q26" s="1813"/>
      <c r="R26" s="774"/>
      <c r="S26" s="775"/>
      <c r="T26" s="774"/>
      <c r="U26" s="775"/>
      <c r="V26" s="774"/>
      <c r="W26" s="775"/>
      <c r="X26" s="1816"/>
      <c r="Y26" s="3269"/>
      <c r="Z26" s="1817"/>
      <c r="AA26" s="1814">
        <v>1</v>
      </c>
      <c r="AB26" s="1814">
        <v>1</v>
      </c>
      <c r="AC26" s="2679">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76"/>
      <c r="Q27" s="1813" t="str">
        <f t="shared" ref="Q27:Q47" si="11">B27</f>
        <v>楼层</v>
      </c>
      <c r="R27" s="774" t="s">
        <v>17</v>
      </c>
      <c r="S27" s="775">
        <f>F27</f>
        <v>100</v>
      </c>
      <c r="T27" s="774" t="s">
        <v>17</v>
      </c>
      <c r="U27" s="775">
        <f>H27</f>
        <v>100</v>
      </c>
      <c r="V27" s="774" t="s">
        <v>17</v>
      </c>
      <c r="W27" s="775">
        <f>J27</f>
        <v>100</v>
      </c>
      <c r="X27" s="1816"/>
      <c r="Y27" s="3269"/>
      <c r="Z27" s="1817" t="str">
        <f>Q27</f>
        <v>楼层</v>
      </c>
      <c r="AA27" s="1814">
        <f t="shared" si="3"/>
        <v>1</v>
      </c>
      <c r="AB27" s="1814">
        <f t="shared" si="4"/>
        <v>1</v>
      </c>
      <c r="AC27" s="2679">
        <f t="shared" si="5"/>
        <v>1</v>
      </c>
    </row>
    <row r="28" spans="1:29" s="117" customFormat="1" ht="15">
      <c r="A28" s="431"/>
      <c r="B28" s="631" t="s">
        <v>2691</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76"/>
      <c r="Q28" s="1798" t="str">
        <f t="shared" si="11"/>
        <v>朝向</v>
      </c>
      <c r="R28" s="770" t="s">
        <v>17</v>
      </c>
      <c r="S28" s="771">
        <f>F28</f>
        <v>100</v>
      </c>
      <c r="T28" s="770" t="s">
        <v>17</v>
      </c>
      <c r="U28" s="771">
        <f>H28</f>
        <v>100</v>
      </c>
      <c r="V28" s="770" t="s">
        <v>17</v>
      </c>
      <c r="W28" s="771">
        <f>J28</f>
        <v>100</v>
      </c>
      <c r="X28" s="772"/>
      <c r="Y28" s="3269"/>
      <c r="Z28" s="55" t="str">
        <f>Q28</f>
        <v>朝向</v>
      </c>
      <c r="AA28" s="1814">
        <f>D28/F28</f>
        <v>1</v>
      </c>
      <c r="AB28" s="1814">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76"/>
      <c r="Q29" s="1813">
        <f t="shared" si="11"/>
        <v>111</v>
      </c>
      <c r="R29" s="774" t="s">
        <v>17</v>
      </c>
      <c r="S29" s="775">
        <f t="shared" ref="S29:S47" si="12">F29</f>
        <v>100</v>
      </c>
      <c r="T29" s="774" t="s">
        <v>17</v>
      </c>
      <c r="U29" s="775">
        <f t="shared" ref="U29:U47" si="13">H29</f>
        <v>100</v>
      </c>
      <c r="V29" s="774" t="s">
        <v>17</v>
      </c>
      <c r="W29" s="775">
        <f t="shared" ref="W29:W47" si="14">J29</f>
        <v>100</v>
      </c>
      <c r="X29" s="1816"/>
      <c r="Y29" s="3269"/>
      <c r="Z29" s="1817">
        <f t="shared" ref="Z29:Z47" si="15">Q29</f>
        <v>111</v>
      </c>
      <c r="AA29" s="1814">
        <f t="shared" si="3"/>
        <v>1</v>
      </c>
      <c r="AB29" s="1814">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76"/>
      <c r="Q30" s="1813">
        <f t="shared" si="11"/>
        <v>111</v>
      </c>
      <c r="R30" s="774" t="s">
        <v>17</v>
      </c>
      <c r="S30" s="775">
        <f t="shared" si="12"/>
        <v>100</v>
      </c>
      <c r="T30" s="774" t="s">
        <v>17</v>
      </c>
      <c r="U30" s="775">
        <f t="shared" si="13"/>
        <v>100</v>
      </c>
      <c r="V30" s="774" t="s">
        <v>17</v>
      </c>
      <c r="W30" s="775">
        <f t="shared" si="14"/>
        <v>100</v>
      </c>
      <c r="X30" s="1816"/>
      <c r="Y30" s="3269"/>
      <c r="Z30" s="1817">
        <f t="shared" si="15"/>
        <v>111</v>
      </c>
      <c r="AA30" s="1814">
        <f t="shared" si="3"/>
        <v>1</v>
      </c>
      <c r="AB30" s="1814">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76"/>
      <c r="Q31" s="1813">
        <f t="shared" si="11"/>
        <v>111</v>
      </c>
      <c r="R31" s="774" t="s">
        <v>17</v>
      </c>
      <c r="S31" s="775">
        <f t="shared" si="12"/>
        <v>100</v>
      </c>
      <c r="T31" s="774" t="s">
        <v>17</v>
      </c>
      <c r="U31" s="775">
        <f t="shared" si="13"/>
        <v>100</v>
      </c>
      <c r="V31" s="774" t="s">
        <v>17</v>
      </c>
      <c r="W31" s="775">
        <f t="shared" si="14"/>
        <v>100</v>
      </c>
      <c r="X31" s="1816"/>
      <c r="Y31" s="3269"/>
      <c r="Z31" s="1817">
        <f t="shared" si="15"/>
        <v>111</v>
      </c>
      <c r="AA31" s="1814">
        <f t="shared" si="3"/>
        <v>1</v>
      </c>
      <c r="AB31" s="1814">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76"/>
      <c r="Q32" s="1813">
        <f t="shared" si="11"/>
        <v>111</v>
      </c>
      <c r="R32" s="774" t="s">
        <v>17</v>
      </c>
      <c r="S32" s="775">
        <f t="shared" si="12"/>
        <v>100</v>
      </c>
      <c r="T32" s="774" t="s">
        <v>17</v>
      </c>
      <c r="U32" s="775">
        <f t="shared" si="13"/>
        <v>100</v>
      </c>
      <c r="V32" s="774" t="s">
        <v>17</v>
      </c>
      <c r="W32" s="775">
        <f t="shared" si="14"/>
        <v>100</v>
      </c>
      <c r="X32" s="1816"/>
      <c r="Y32" s="3269"/>
      <c r="Z32" s="1817">
        <f t="shared" si="15"/>
        <v>111</v>
      </c>
      <c r="AA32" s="1814">
        <f t="shared" si="3"/>
        <v>1</v>
      </c>
      <c r="AB32" s="1814">
        <f t="shared" si="4"/>
        <v>1</v>
      </c>
      <c r="AC32" s="2679">
        <f t="shared" si="5"/>
        <v>1</v>
      </c>
    </row>
    <row r="33" spans="1:29" ht="15">
      <c r="A33" s="440" t="s">
        <v>2562</v>
      </c>
      <c r="B33" s="71" t="s">
        <v>2692</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70" t="s">
        <v>2564</v>
      </c>
      <c r="Q33" s="1813" t="str">
        <f t="shared" si="11"/>
        <v>建筑类型</v>
      </c>
      <c r="R33" s="774" t="s">
        <v>17</v>
      </c>
      <c r="S33" s="775">
        <f t="shared" si="12"/>
        <v>100</v>
      </c>
      <c r="T33" s="774" t="s">
        <v>17</v>
      </c>
      <c r="U33" s="775">
        <f t="shared" si="13"/>
        <v>100</v>
      </c>
      <c r="V33" s="774" t="s">
        <v>17</v>
      </c>
      <c r="W33" s="775">
        <f t="shared" si="14"/>
        <v>100</v>
      </c>
      <c r="X33" s="1816"/>
      <c r="Y33" s="3273" t="s">
        <v>2564</v>
      </c>
      <c r="Z33" s="1817" t="str">
        <f t="shared" si="15"/>
        <v>建筑类型</v>
      </c>
      <c r="AA33" s="1814">
        <f t="shared" si="3"/>
        <v>1</v>
      </c>
      <c r="AB33" s="1814">
        <f t="shared" si="4"/>
        <v>1</v>
      </c>
      <c r="AC33" s="2679">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71"/>
      <c r="Q34" s="776" t="str">
        <f t="shared" si="11"/>
        <v>项目建筑规模</v>
      </c>
      <c r="R34" s="777" t="s">
        <v>17</v>
      </c>
      <c r="S34" s="778" t="e">
        <f t="shared" si="12"/>
        <v>#N/A</v>
      </c>
      <c r="T34" s="777" t="s">
        <v>17</v>
      </c>
      <c r="U34" s="778" t="e">
        <f t="shared" si="13"/>
        <v>#N/A</v>
      </c>
      <c r="V34" s="777" t="s">
        <v>17</v>
      </c>
      <c r="W34" s="778" t="e">
        <f t="shared" si="14"/>
        <v>#N/A</v>
      </c>
      <c r="X34" s="779"/>
      <c r="Y34" s="3273"/>
      <c r="Z34" s="780" t="str">
        <f t="shared" si="15"/>
        <v>项目建筑规模</v>
      </c>
      <c r="AA34" s="1814" t="e">
        <f t="shared" si="3"/>
        <v>#N/A</v>
      </c>
      <c r="AB34" s="1814" t="e">
        <f t="shared" si="4"/>
        <v>#N/A</v>
      </c>
      <c r="AC34" s="2679"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71"/>
      <c r="Q35" s="1813" t="str">
        <f t="shared" si="11"/>
        <v>建筑结构</v>
      </c>
      <c r="R35" s="774" t="s">
        <v>17</v>
      </c>
      <c r="S35" s="775">
        <f t="shared" si="12"/>
        <v>100</v>
      </c>
      <c r="T35" s="774" t="s">
        <v>17</v>
      </c>
      <c r="U35" s="775">
        <f t="shared" si="13"/>
        <v>100</v>
      </c>
      <c r="V35" s="774" t="s">
        <v>17</v>
      </c>
      <c r="W35" s="775">
        <f t="shared" si="14"/>
        <v>100</v>
      </c>
      <c r="X35" s="1816"/>
      <c r="Y35" s="3273"/>
      <c r="Z35" s="1817" t="str">
        <f t="shared" si="15"/>
        <v>建筑结构</v>
      </c>
      <c r="AA35" s="1814">
        <f t="shared" si="3"/>
        <v>1</v>
      </c>
      <c r="AB35" s="1814">
        <f t="shared" si="4"/>
        <v>1</v>
      </c>
      <c r="AC35" s="2679">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71"/>
      <c r="Q36" s="1813" t="str">
        <f t="shared" si="11"/>
        <v>公共部分装修</v>
      </c>
      <c r="R36" s="774" t="s">
        <v>17</v>
      </c>
      <c r="S36" s="775">
        <f t="shared" si="12"/>
        <v>100</v>
      </c>
      <c r="T36" s="774" t="s">
        <v>17</v>
      </c>
      <c r="U36" s="775">
        <f t="shared" si="13"/>
        <v>100</v>
      </c>
      <c r="V36" s="774" t="s">
        <v>17</v>
      </c>
      <c r="W36" s="775">
        <f t="shared" si="14"/>
        <v>100</v>
      </c>
      <c r="X36" s="1816"/>
      <c r="Y36" s="3273"/>
      <c r="Z36" s="1817" t="str">
        <f t="shared" si="15"/>
        <v>公共部分装修</v>
      </c>
      <c r="AA36" s="1814">
        <f t="shared" si="3"/>
        <v>1</v>
      </c>
      <c r="AB36" s="1814">
        <f t="shared" si="4"/>
        <v>1</v>
      </c>
      <c r="AC36" s="2679">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71"/>
      <c r="Q37" s="1813" t="str">
        <f t="shared" si="11"/>
        <v>成新度</v>
      </c>
      <c r="R37" s="774" t="s">
        <v>17</v>
      </c>
      <c r="S37" s="775" t="e">
        <f t="shared" si="12"/>
        <v>#N/A</v>
      </c>
      <c r="T37" s="774" t="s">
        <v>17</v>
      </c>
      <c r="U37" s="775" t="e">
        <f t="shared" si="13"/>
        <v>#N/A</v>
      </c>
      <c r="V37" s="774" t="s">
        <v>17</v>
      </c>
      <c r="W37" s="775" t="e">
        <f t="shared" si="14"/>
        <v>#N/A</v>
      </c>
      <c r="X37" s="1816"/>
      <c r="Y37" s="3273"/>
      <c r="Z37" s="1817" t="str">
        <f t="shared" si="15"/>
        <v>成新度</v>
      </c>
      <c r="AA37" s="1814" t="e">
        <f t="shared" si="3"/>
        <v>#N/A</v>
      </c>
      <c r="AB37" s="1814" t="e">
        <f t="shared" si="4"/>
        <v>#N/A</v>
      </c>
      <c r="AC37" s="2679"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71"/>
      <c r="Q38" s="1798" t="str">
        <f t="shared" si="11"/>
        <v>写字楼等级</v>
      </c>
      <c r="R38" s="770" t="s">
        <v>17</v>
      </c>
      <c r="S38" s="771">
        <f t="shared" si="12"/>
        <v>100</v>
      </c>
      <c r="T38" s="770" t="s">
        <v>17</v>
      </c>
      <c r="U38" s="771">
        <f t="shared" si="13"/>
        <v>100</v>
      </c>
      <c r="V38" s="770" t="s">
        <v>17</v>
      </c>
      <c r="W38" s="771">
        <f t="shared" si="14"/>
        <v>100</v>
      </c>
      <c r="X38" s="772"/>
      <c r="Y38" s="3273"/>
      <c r="Z38" s="55" t="str">
        <f t="shared" si="15"/>
        <v>写字楼等级</v>
      </c>
      <c r="AA38" s="773">
        <f t="shared" si="3"/>
        <v>1</v>
      </c>
      <c r="AB38" s="773">
        <f t="shared" si="4"/>
        <v>1</v>
      </c>
      <c r="AC38" s="2676">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71" t="s">
        <v>2564</v>
      </c>
      <c r="Q39" s="1813" t="str">
        <f t="shared" si="11"/>
        <v>物业管理</v>
      </c>
      <c r="R39" s="774" t="s">
        <v>17</v>
      </c>
      <c r="S39" s="775">
        <f t="shared" si="12"/>
        <v>100</v>
      </c>
      <c r="T39" s="774" t="s">
        <v>17</v>
      </c>
      <c r="U39" s="775">
        <f t="shared" si="13"/>
        <v>100</v>
      </c>
      <c r="V39" s="774" t="s">
        <v>17</v>
      </c>
      <c r="W39" s="775">
        <f t="shared" si="14"/>
        <v>100</v>
      </c>
      <c r="X39" s="1816"/>
      <c r="Y39" s="3273" t="s">
        <v>2564</v>
      </c>
      <c r="Z39" s="1817" t="str">
        <f t="shared" si="15"/>
        <v>物业管理</v>
      </c>
      <c r="AA39" s="1814">
        <f t="shared" si="3"/>
        <v>1</v>
      </c>
      <c r="AB39" s="1814">
        <f t="shared" si="4"/>
        <v>1</v>
      </c>
      <c r="AC39" s="2679">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71"/>
      <c r="Q40" s="1813" t="str">
        <f t="shared" si="11"/>
        <v>市政基础设施</v>
      </c>
      <c r="R40" s="774" t="s">
        <v>17</v>
      </c>
      <c r="S40" s="775">
        <f t="shared" si="12"/>
        <v>100</v>
      </c>
      <c r="T40" s="774" t="s">
        <v>17</v>
      </c>
      <c r="U40" s="775">
        <f t="shared" si="13"/>
        <v>100</v>
      </c>
      <c r="V40" s="774" t="s">
        <v>17</v>
      </c>
      <c r="W40" s="775">
        <f t="shared" si="14"/>
        <v>100</v>
      </c>
      <c r="X40" s="1816"/>
      <c r="Y40" s="3273"/>
      <c r="Z40" s="1817" t="str">
        <f t="shared" si="15"/>
        <v>市政基础设施</v>
      </c>
      <c r="AA40" s="1814">
        <f t="shared" si="3"/>
        <v>1</v>
      </c>
      <c r="AB40" s="1814">
        <f t="shared" si="4"/>
        <v>1</v>
      </c>
      <c r="AC40" s="2679">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71"/>
      <c r="Q41" s="1813" t="str">
        <f t="shared" si="11"/>
        <v>层高</v>
      </c>
      <c r="R41" s="774" t="s">
        <v>17</v>
      </c>
      <c r="S41" s="775">
        <f t="shared" si="12"/>
        <v>100</v>
      </c>
      <c r="T41" s="774" t="s">
        <v>17</v>
      </c>
      <c r="U41" s="775">
        <f t="shared" si="13"/>
        <v>100</v>
      </c>
      <c r="V41" s="774" t="s">
        <v>17</v>
      </c>
      <c r="W41" s="775">
        <f t="shared" si="14"/>
        <v>100</v>
      </c>
      <c r="X41" s="1816"/>
      <c r="Y41" s="3273"/>
      <c r="Z41" s="1817" t="str">
        <f t="shared" si="15"/>
        <v>层高</v>
      </c>
      <c r="AA41" s="1814">
        <f t="shared" si="3"/>
        <v>1</v>
      </c>
      <c r="AB41" s="1814">
        <f t="shared" si="4"/>
        <v>1</v>
      </c>
      <c r="AC41" s="2679">
        <f t="shared" si="5"/>
        <v>1</v>
      </c>
    </row>
    <row r="42" spans="1:29" s="471" customFormat="1" ht="15">
      <c r="A42" s="468"/>
      <c r="B42" s="1815"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71"/>
      <c r="Q42" s="776" t="str">
        <f t="shared" si="11"/>
        <v>单套建筑面积</v>
      </c>
      <c r="R42" s="777" t="s">
        <v>17</v>
      </c>
      <c r="S42" s="778">
        <f t="shared" si="12"/>
        <v>100</v>
      </c>
      <c r="T42" s="777" t="s">
        <v>17</v>
      </c>
      <c r="U42" s="778">
        <f t="shared" si="13"/>
        <v>100</v>
      </c>
      <c r="V42" s="777" t="s">
        <v>17</v>
      </c>
      <c r="W42" s="778">
        <f t="shared" si="14"/>
        <v>100</v>
      </c>
      <c r="X42" s="779"/>
      <c r="Y42" s="3273"/>
      <c r="Z42" s="780" t="str">
        <f t="shared" si="15"/>
        <v>单套建筑面积</v>
      </c>
      <c r="AA42" s="1814">
        <f t="shared" si="3"/>
        <v>1</v>
      </c>
      <c r="AB42" s="1814">
        <f t="shared" si="4"/>
        <v>1</v>
      </c>
      <c r="AC42" s="2679">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71"/>
      <c r="Q43" s="1813" t="str">
        <f t="shared" si="11"/>
        <v>内部装修</v>
      </c>
      <c r="R43" s="774" t="s">
        <v>17</v>
      </c>
      <c r="S43" s="775">
        <f t="shared" si="12"/>
        <v>100</v>
      </c>
      <c r="T43" s="774" t="s">
        <v>17</v>
      </c>
      <c r="U43" s="775">
        <f t="shared" si="13"/>
        <v>100</v>
      </c>
      <c r="V43" s="774" t="s">
        <v>17</v>
      </c>
      <c r="W43" s="775">
        <f t="shared" si="14"/>
        <v>100</v>
      </c>
      <c r="X43" s="1816"/>
      <c r="Y43" s="3273"/>
      <c r="Z43" s="1817" t="str">
        <f t="shared" si="15"/>
        <v>内部装修</v>
      </c>
      <c r="AA43" s="1814">
        <f t="shared" si="3"/>
        <v>1</v>
      </c>
      <c r="AB43" s="1814">
        <f t="shared" si="4"/>
        <v>1</v>
      </c>
      <c r="AC43" s="2679">
        <f t="shared" si="5"/>
        <v>1</v>
      </c>
    </row>
    <row r="44" spans="1:29" ht="15">
      <c r="A44" s="472"/>
      <c r="B44" s="422" t="s">
        <v>2575</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71"/>
      <c r="Q44" s="1813" t="str">
        <f t="shared" si="11"/>
        <v>内部装修维护情况</v>
      </c>
      <c r="R44" s="774" t="s">
        <v>17</v>
      </c>
      <c r="S44" s="775">
        <f t="shared" si="12"/>
        <v>100</v>
      </c>
      <c r="T44" s="774" t="s">
        <v>17</v>
      </c>
      <c r="U44" s="775">
        <f t="shared" si="13"/>
        <v>100</v>
      </c>
      <c r="V44" s="774" t="s">
        <v>17</v>
      </c>
      <c r="W44" s="775">
        <f t="shared" si="14"/>
        <v>100</v>
      </c>
      <c r="X44" s="1816"/>
      <c r="Y44" s="3273"/>
      <c r="Z44" s="1817" t="str">
        <f t="shared" si="15"/>
        <v>内部装修维护情况</v>
      </c>
      <c r="AA44" s="1814">
        <f t="shared" si="3"/>
        <v>1</v>
      </c>
      <c r="AB44" s="1814">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71"/>
      <c r="Q45" s="1798">
        <f t="shared" si="11"/>
        <v>111</v>
      </c>
      <c r="R45" s="770" t="s">
        <v>17</v>
      </c>
      <c r="S45" s="771">
        <f t="shared" si="12"/>
        <v>100</v>
      </c>
      <c r="T45" s="770" t="s">
        <v>17</v>
      </c>
      <c r="U45" s="771">
        <f t="shared" si="13"/>
        <v>100</v>
      </c>
      <c r="V45" s="770" t="s">
        <v>17</v>
      </c>
      <c r="W45" s="771">
        <f t="shared" si="14"/>
        <v>100</v>
      </c>
      <c r="X45" s="772"/>
      <c r="Y45" s="3273"/>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71"/>
      <c r="Q46" s="1813">
        <f t="shared" si="11"/>
        <v>111</v>
      </c>
      <c r="R46" s="774" t="s">
        <v>17</v>
      </c>
      <c r="S46" s="775">
        <f t="shared" si="12"/>
        <v>100</v>
      </c>
      <c r="T46" s="774" t="s">
        <v>17</v>
      </c>
      <c r="U46" s="775">
        <f t="shared" si="13"/>
        <v>100</v>
      </c>
      <c r="V46" s="774" t="s">
        <v>17</v>
      </c>
      <c r="W46" s="775">
        <f t="shared" si="14"/>
        <v>100</v>
      </c>
      <c r="X46" s="1816"/>
      <c r="Y46" s="3273"/>
      <c r="Z46" s="1817">
        <f t="shared" si="15"/>
        <v>111</v>
      </c>
      <c r="AA46" s="1814">
        <f t="shared" si="3"/>
        <v>1</v>
      </c>
      <c r="AB46" s="1814">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72"/>
      <c r="Q47" s="1813">
        <f t="shared" si="11"/>
        <v>111</v>
      </c>
      <c r="R47" s="774" t="s">
        <v>17</v>
      </c>
      <c r="S47" s="775">
        <f t="shared" si="12"/>
        <v>100</v>
      </c>
      <c r="T47" s="774" t="s">
        <v>17</v>
      </c>
      <c r="U47" s="775">
        <f t="shared" si="13"/>
        <v>100</v>
      </c>
      <c r="V47" s="774" t="s">
        <v>17</v>
      </c>
      <c r="W47" s="775">
        <f t="shared" si="14"/>
        <v>100</v>
      </c>
      <c r="X47" s="1816"/>
      <c r="Y47" s="3274"/>
      <c r="Z47" s="1817">
        <f t="shared" si="15"/>
        <v>111</v>
      </c>
      <c r="AA47" s="1814">
        <f t="shared" si="3"/>
        <v>1</v>
      </c>
      <c r="AB47" s="1814">
        <f t="shared" si="4"/>
        <v>1</v>
      </c>
      <c r="AC47" s="2679">
        <f t="shared" si="5"/>
        <v>1</v>
      </c>
    </row>
    <row r="48" spans="1:29" ht="15">
      <c r="A48" s="479" t="s">
        <v>2576</v>
      </c>
      <c r="B48" s="480"/>
      <c r="C48" s="1410" t="s">
        <v>1</v>
      </c>
      <c r="D48" s="1411"/>
      <c r="E48" s="1412"/>
      <c r="F48" s="1413"/>
      <c r="G48" s="1414"/>
      <c r="H48" s="1415"/>
      <c r="I48" s="1412"/>
      <c r="J48" s="485"/>
      <c r="K48" s="783"/>
      <c r="L48" s="1146"/>
      <c r="M48" s="1134"/>
      <c r="N48" s="1134"/>
      <c r="O48" s="1134"/>
      <c r="P48" s="3277" t="str">
        <f>A48</f>
        <v>成交单价（元/平方米）</v>
      </c>
      <c r="Q48" s="3266"/>
      <c r="R48" s="3267">
        <f>E48</f>
        <v>0</v>
      </c>
      <c r="S48" s="3267"/>
      <c r="T48" s="3267">
        <f>G48</f>
        <v>0</v>
      </c>
      <c r="U48" s="3267"/>
      <c r="V48" s="3267">
        <f>I48</f>
        <v>0</v>
      </c>
      <c r="W48" s="3267"/>
      <c r="X48" s="446"/>
      <c r="Y48" s="781"/>
      <c r="Z48" s="446"/>
      <c r="AA48" s="446"/>
      <c r="AB48" s="446"/>
      <c r="AC48" s="630"/>
    </row>
    <row r="49" spans="1:29" ht="15.75" thickBot="1">
      <c r="A49" s="486" t="s">
        <v>2668</v>
      </c>
      <c r="B49" s="487"/>
      <c r="C49" s="1416" t="e">
        <f>R50</f>
        <v>#DIV/0!</v>
      </c>
      <c r="D49" s="1417"/>
      <c r="E49" s="1418" t="e">
        <f>R49</f>
        <v>#DIV/0!</v>
      </c>
      <c r="F49" s="1418"/>
      <c r="G49" s="1416" t="e">
        <f>T49</f>
        <v>#DIV/0!</v>
      </c>
      <c r="H49" s="1417"/>
      <c r="I49" s="1418" t="e">
        <f>V49</f>
        <v>#DIV/0!</v>
      </c>
      <c r="J49" s="489"/>
      <c r="K49" s="784"/>
      <c r="L49" s="1146"/>
      <c r="M49" s="1134"/>
      <c r="N49" s="1134"/>
      <c r="O49" s="1134"/>
      <c r="P49" s="3277" t="str">
        <f>A49</f>
        <v>比较价值（元/平方米）</v>
      </c>
      <c r="Q49" s="3266"/>
      <c r="R49" s="3267" t="e">
        <f>IF(F1="售价",ROUND(PRODUCT(R48,AA7:AA47),0),ROUND(PRODUCT(R48,AA7:AA47),1))</f>
        <v>#DIV/0!</v>
      </c>
      <c r="S49" s="3267"/>
      <c r="T49" s="3267" t="e">
        <f>IF(F1="售价",ROUND(PRODUCT(T48,AB7:AB47),0),ROUND(PRODUCT(T48,AB7:AB47),1))</f>
        <v>#DIV/0!</v>
      </c>
      <c r="U49" s="3267"/>
      <c r="V49" s="3267" t="e">
        <f>IF(F1="售价",ROUND(PRODUCT(V48,AC7:AC47),0),ROUND(PRODUCT(V48,AC7:AC47),1))</f>
        <v>#DIV/0!</v>
      </c>
      <c r="W49" s="3267"/>
      <c r="X49" s="446"/>
      <c r="Y49" s="446"/>
      <c r="Z49" s="446"/>
      <c r="AA49" s="446"/>
      <c r="AB49" s="446"/>
      <c r="AC49" s="630"/>
    </row>
    <row r="50" spans="1:29" ht="15.75" thickBot="1">
      <c r="A50" s="492" t="s">
        <v>2669</v>
      </c>
      <c r="B50" s="493"/>
      <c r="C50" s="1420" t="e">
        <f>R50</f>
        <v>#DIV/0!</v>
      </c>
      <c r="D50" s="1420"/>
      <c r="E50" s="1420"/>
      <c r="F50" s="1420"/>
      <c r="G50" s="1420"/>
      <c r="H50" s="1420"/>
      <c r="I50" s="1420"/>
      <c r="J50" s="494"/>
      <c r="K50" s="785"/>
      <c r="L50" s="1146"/>
      <c r="M50" s="1134"/>
      <c r="N50" s="1134"/>
      <c r="O50" s="1134"/>
      <c r="P50" s="3309" t="str">
        <f>A50</f>
        <v>估价对象XX用房的比较价值（楼面单价，元/平方米）</v>
      </c>
      <c r="Q50" s="3310"/>
      <c r="R50" s="3311" t="e">
        <f>IF(F1="售价",ROUND(AVERAGE(R49:V49),0),ROUND(AVERAGE(R49:V49),1))</f>
        <v>#DIV/0!</v>
      </c>
      <c r="S50" s="3311"/>
      <c r="T50" s="3311"/>
      <c r="U50" s="3311"/>
      <c r="V50" s="3311"/>
      <c r="W50" s="3311"/>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2673</v>
      </c>
      <c r="B58" s="759"/>
      <c r="C58" s="764"/>
      <c r="D58" s="764"/>
      <c r="E58" s="764"/>
      <c r="F58" s="765"/>
      <c r="G58" s="765"/>
      <c r="H58" s="764"/>
      <c r="I58" s="764"/>
      <c r="J58" s="764"/>
      <c r="K58" s="766"/>
      <c r="L58" s="1164"/>
      <c r="M58" s="1162"/>
      <c r="N58" s="1162"/>
      <c r="O58" s="1162"/>
      <c r="P58" s="2686"/>
      <c r="Q58" s="504"/>
    </row>
    <row r="59" spans="1:29" s="508" customFormat="1" ht="15">
      <c r="A59" s="505" t="s">
        <v>2547</v>
      </c>
      <c r="B59" s="506"/>
      <c r="C59" s="1577" t="str">
        <f>YEAR(C7)&amp;"-"&amp;MONTH(C7)</f>
        <v>2019-5</v>
      </c>
      <c r="D59" s="1578">
        <f>EDATE(C59,-1)</f>
        <v>43556</v>
      </c>
      <c r="E59" s="1578">
        <f>EDATE(D59,-1)</f>
        <v>43525</v>
      </c>
      <c r="F59" s="1578">
        <f t="shared" ref="F59:O59" si="16">EDATE(E59,-1)</f>
        <v>43497</v>
      </c>
      <c r="G59" s="1578">
        <f t="shared" si="16"/>
        <v>43466</v>
      </c>
      <c r="H59" s="1578">
        <f t="shared" si="16"/>
        <v>43435</v>
      </c>
      <c r="I59" s="1578">
        <f t="shared" si="16"/>
        <v>43405</v>
      </c>
      <c r="J59" s="1578">
        <f t="shared" si="16"/>
        <v>43374</v>
      </c>
      <c r="K59" s="1578">
        <f t="shared" si="16"/>
        <v>43344</v>
      </c>
      <c r="L59" s="1578">
        <f t="shared" si="16"/>
        <v>43313</v>
      </c>
      <c r="M59" s="1578">
        <f t="shared" si="16"/>
        <v>43282</v>
      </c>
      <c r="N59" s="1578">
        <f t="shared" si="16"/>
        <v>43252</v>
      </c>
      <c r="O59" s="1578">
        <f t="shared" si="16"/>
        <v>43221</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2584</v>
      </c>
      <c r="B61" s="516"/>
      <c r="C61" s="517"/>
      <c r="D61" s="518"/>
      <c r="E61" s="518"/>
      <c r="F61" s="518"/>
      <c r="G61" s="518"/>
      <c r="H61" s="518"/>
      <c r="I61" s="518"/>
      <c r="J61" s="518"/>
      <c r="K61" s="518"/>
      <c r="L61" s="518"/>
      <c r="M61" s="519"/>
      <c r="N61" s="518"/>
      <c r="O61" s="519"/>
      <c r="P61" s="2687"/>
      <c r="Q61" s="504"/>
    </row>
    <row r="62" spans="1:29" s="117" customFormat="1" ht="15">
      <c r="A62" s="521" t="s">
        <v>2549</v>
      </c>
      <c r="B62" s="510"/>
      <c r="C62" s="522" t="s">
        <v>2651</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2587</v>
      </c>
      <c r="B64" s="528" t="s">
        <v>2553</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2688</v>
      </c>
      <c r="C83" s="660" t="s">
        <v>2674</v>
      </c>
      <c r="D83" s="660" t="s">
        <v>2675</v>
      </c>
      <c r="E83" s="660" t="s">
        <v>2676</v>
      </c>
      <c r="F83" s="660" t="s">
        <v>2677</v>
      </c>
      <c r="G83" s="660" t="s">
        <v>2678</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2698</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2562</v>
      </c>
      <c r="B101" s="528" t="s">
        <v>2611</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2613</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2615</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2699</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2616</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2617</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2700</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2683</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2619</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2527</v>
      </c>
      <c r="B1" s="2674" t="s">
        <v>2701</v>
      </c>
      <c r="C1" s="1623" t="s">
        <v>2529</v>
      </c>
      <c r="D1" s="1624"/>
      <c r="E1" s="1633"/>
      <c r="F1" s="2589"/>
      <c r="G1" s="1634" t="s">
        <v>2642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IF(C2="——",ROUND(C43*D3/10000,0),ROUND(C43*D3/10000,0)-D2)</f>
        <v>#DIV/0!</v>
      </c>
      <c r="C2" s="2591"/>
      <c r="D2" s="1127" t="e">
        <f ca="1">SUMIF(INDIRECT("'"&amp;F2&amp;"'"&amp;"!A:A"),"承租人权益价值",INDIRECT("'"&amp;F2&amp;"'"&amp;"!c:c"))</f>
        <v>#REF!</v>
      </c>
      <c r="E2" s="2592" t="s">
        <v>2327</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20447.539999999997</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91" t="s">
        <v>2646</v>
      </c>
      <c r="S4" s="3292"/>
      <c r="T4" s="3291" t="s">
        <v>2647</v>
      </c>
      <c r="U4" s="3292"/>
      <c r="V4" s="3297" t="s">
        <v>2648</v>
      </c>
      <c r="W4" s="3297"/>
      <c r="X4" s="1816"/>
      <c r="Y4" s="3291" t="s">
        <v>2650</v>
      </c>
      <c r="Z4" s="3292"/>
      <c r="AA4" s="3278" t="s">
        <v>2646</v>
      </c>
      <c r="AB4" s="3279" t="s">
        <v>2647</v>
      </c>
      <c r="AC4" s="3278" t="s">
        <v>2648</v>
      </c>
    </row>
    <row r="5" spans="1:29" ht="15">
      <c r="A5" s="404"/>
      <c r="B5" s="405"/>
      <c r="C5" s="3300" t="s">
        <v>2541</v>
      </c>
      <c r="D5" s="3301"/>
      <c r="E5" s="3307" t="s">
        <v>2542</v>
      </c>
      <c r="F5" s="3308"/>
      <c r="G5" s="3300" t="s">
        <v>2543</v>
      </c>
      <c r="H5" s="3301"/>
      <c r="I5" s="3300" t="s">
        <v>2544</v>
      </c>
      <c r="J5" s="3301"/>
      <c r="K5" s="610"/>
      <c r="L5" s="1133"/>
      <c r="M5" s="1134"/>
      <c r="N5" s="1134"/>
      <c r="O5" s="1134"/>
      <c r="P5" s="3287"/>
      <c r="Q5" s="3288"/>
      <c r="R5" s="3293"/>
      <c r="S5" s="3294"/>
      <c r="T5" s="3293"/>
      <c r="U5" s="3294"/>
      <c r="V5" s="3297"/>
      <c r="W5" s="3297"/>
      <c r="X5" s="1816"/>
      <c r="Y5" s="3293"/>
      <c r="Z5" s="3294"/>
      <c r="AA5" s="3279"/>
      <c r="AB5" s="3279"/>
      <c r="AC5" s="3279"/>
    </row>
    <row r="6" spans="1:29" ht="15.75" thickBot="1">
      <c r="A6" s="406"/>
      <c r="B6" s="407"/>
      <c r="C6" s="3298" t="s">
        <v>2545</v>
      </c>
      <c r="D6" s="3299"/>
      <c r="E6" s="3305" t="s">
        <v>2545</v>
      </c>
      <c r="F6" s="3306"/>
      <c r="G6" s="3298" t="s">
        <v>2545</v>
      </c>
      <c r="H6" s="3299"/>
      <c r="I6" s="3298" t="s">
        <v>2545</v>
      </c>
      <c r="J6" s="3299"/>
      <c r="K6" s="610" t="s">
        <v>2546</v>
      </c>
      <c r="L6" s="1133"/>
      <c r="M6" s="1134"/>
      <c r="N6" s="1134"/>
      <c r="O6" s="1134"/>
      <c r="P6" s="3289"/>
      <c r="Q6" s="3290"/>
      <c r="R6" s="3293"/>
      <c r="S6" s="3294"/>
      <c r="T6" s="3295"/>
      <c r="U6" s="3296"/>
      <c r="V6" s="3297"/>
      <c r="W6" s="3297"/>
      <c r="X6" s="1816"/>
      <c r="Y6" s="3295"/>
      <c r="Z6" s="3296"/>
      <c r="AA6" s="3280"/>
      <c r="AB6" s="3280"/>
      <c r="AC6" s="3280"/>
    </row>
    <row r="7" spans="1:29" s="117" customFormat="1" ht="15.75" thickBot="1">
      <c r="A7" s="408" t="s">
        <v>2547</v>
      </c>
      <c r="B7" s="409"/>
      <c r="C7" s="410">
        <f>'数据-取费表'!B2</f>
        <v>43598</v>
      </c>
      <c r="D7" s="411">
        <v>100</v>
      </c>
      <c r="E7" s="412"/>
      <c r="F7" s="413">
        <f>SUMIF(52:52,YEAR(E7)&amp;"-"&amp;MONTH(E7),53:53)</f>
        <v>0</v>
      </c>
      <c r="G7" s="412"/>
      <c r="H7" s="411">
        <f>SUMIF(52:52,YEAR(G7)&amp;"-"&amp;MONTH(G7),53:53)</f>
        <v>0</v>
      </c>
      <c r="I7" s="412"/>
      <c r="J7" s="411">
        <f>SUMIF(52:52,YEAR(I7)&amp;"-"&amp;MONTH(I7),53:53)</f>
        <v>0</v>
      </c>
      <c r="K7" s="611"/>
      <c r="L7" s="1135"/>
      <c r="M7" s="1136"/>
      <c r="N7" s="1136"/>
      <c r="O7" s="1136"/>
      <c r="P7" s="3302" t="s">
        <v>2548</v>
      </c>
      <c r="Q7" s="3304"/>
      <c r="R7" s="770" t="s">
        <v>17</v>
      </c>
      <c r="S7" s="771">
        <f t="shared" ref="S7:S15" si="0">F7</f>
        <v>0</v>
      </c>
      <c r="T7" s="770" t="s">
        <v>17</v>
      </c>
      <c r="U7" s="771">
        <f t="shared" ref="U7:U15" si="1">H7</f>
        <v>0</v>
      </c>
      <c r="V7" s="770" t="s">
        <v>17</v>
      </c>
      <c r="W7" s="771">
        <f t="shared" ref="W7:W15" si="2">J7</f>
        <v>0</v>
      </c>
      <c r="X7" s="772"/>
      <c r="Y7" s="3302" t="s">
        <v>2548</v>
      </c>
      <c r="Z7" s="3303"/>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302" t="s">
        <v>2551</v>
      </c>
      <c r="Q8" s="3303"/>
      <c r="R8" s="770" t="s">
        <v>17</v>
      </c>
      <c r="S8" s="771">
        <f t="shared" si="0"/>
        <v>0</v>
      </c>
      <c r="T8" s="770" t="s">
        <v>17</v>
      </c>
      <c r="U8" s="771">
        <f t="shared" si="1"/>
        <v>0</v>
      </c>
      <c r="V8" s="770" t="s">
        <v>17</v>
      </c>
      <c r="W8" s="771">
        <f t="shared" si="2"/>
        <v>0</v>
      </c>
      <c r="X8" s="772"/>
      <c r="Y8" s="3302" t="s">
        <v>2551</v>
      </c>
      <c r="Z8" s="3303"/>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66" t="s">
        <v>2554</v>
      </c>
      <c r="Q9" s="1798" t="str">
        <f t="shared" ref="Q9:Q15" si="6">B9</f>
        <v>用途</v>
      </c>
      <c r="R9" s="770" t="s">
        <v>17</v>
      </c>
      <c r="S9" s="771">
        <f t="shared" si="0"/>
        <v>100</v>
      </c>
      <c r="T9" s="770" t="s">
        <v>17</v>
      </c>
      <c r="U9" s="771">
        <f t="shared" si="1"/>
        <v>100</v>
      </c>
      <c r="V9" s="770" t="s">
        <v>17</v>
      </c>
      <c r="W9" s="771">
        <f t="shared" si="2"/>
        <v>100</v>
      </c>
      <c r="X9" s="772"/>
      <c r="Y9" s="3080"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66"/>
      <c r="Q10" s="1798" t="str">
        <f t="shared" si="6"/>
        <v>土地使用年限（年）</v>
      </c>
      <c r="R10" s="770" t="s">
        <v>17</v>
      </c>
      <c r="S10" s="771">
        <f t="shared" si="0"/>
        <v>100</v>
      </c>
      <c r="T10" s="770" t="s">
        <v>17</v>
      </c>
      <c r="U10" s="771">
        <f t="shared" si="1"/>
        <v>100</v>
      </c>
      <c r="V10" s="770" t="s">
        <v>17</v>
      </c>
      <c r="W10" s="771">
        <f t="shared" si="2"/>
        <v>100</v>
      </c>
      <c r="X10" s="772"/>
      <c r="Y10" s="3080"/>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66"/>
      <c r="Q11" s="1798" t="str">
        <f t="shared" si="6"/>
        <v>容积率</v>
      </c>
      <c r="R11" s="770" t="s">
        <v>17</v>
      </c>
      <c r="S11" s="771" t="e">
        <f t="shared" si="0"/>
        <v>#N/A</v>
      </c>
      <c r="T11" s="770" t="s">
        <v>17</v>
      </c>
      <c r="U11" s="771" t="e">
        <f t="shared" si="1"/>
        <v>#N/A</v>
      </c>
      <c r="V11" s="770" t="s">
        <v>17</v>
      </c>
      <c r="W11" s="771" t="e">
        <f t="shared" si="2"/>
        <v>#N/A</v>
      </c>
      <c r="X11" s="772"/>
      <c r="Y11" s="3080"/>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266"/>
      <c r="Q12" s="1798">
        <f t="shared" si="6"/>
        <v>111</v>
      </c>
      <c r="R12" s="770" t="s">
        <v>17</v>
      </c>
      <c r="S12" s="771">
        <f t="shared" si="0"/>
        <v>100</v>
      </c>
      <c r="T12" s="770" t="s">
        <v>17</v>
      </c>
      <c r="U12" s="771">
        <f t="shared" si="1"/>
        <v>100</v>
      </c>
      <c r="V12" s="770" t="s">
        <v>17</v>
      </c>
      <c r="W12" s="771">
        <f t="shared" si="2"/>
        <v>100</v>
      </c>
      <c r="X12" s="772"/>
      <c r="Y12" s="3080"/>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266"/>
      <c r="Q13" s="1798">
        <f t="shared" si="6"/>
        <v>111</v>
      </c>
      <c r="R13" s="770" t="s">
        <v>17</v>
      </c>
      <c r="S13" s="771">
        <f t="shared" si="0"/>
        <v>100</v>
      </c>
      <c r="T13" s="770" t="s">
        <v>17</v>
      </c>
      <c r="U13" s="771">
        <f t="shared" si="1"/>
        <v>100</v>
      </c>
      <c r="V13" s="770" t="s">
        <v>17</v>
      </c>
      <c r="W13" s="771">
        <f t="shared" si="2"/>
        <v>100</v>
      </c>
      <c r="X13" s="772"/>
      <c r="Y13" s="3080"/>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266"/>
      <c r="Q14" s="1798">
        <f t="shared" si="6"/>
        <v>111</v>
      </c>
      <c r="R14" s="770" t="s">
        <v>17</v>
      </c>
      <c r="S14" s="771">
        <f t="shared" si="0"/>
        <v>100</v>
      </c>
      <c r="T14" s="770" t="s">
        <v>17</v>
      </c>
      <c r="U14" s="771">
        <f t="shared" si="1"/>
        <v>100</v>
      </c>
      <c r="V14" s="770" t="s">
        <v>17</v>
      </c>
      <c r="W14" s="771">
        <f t="shared" si="2"/>
        <v>100</v>
      </c>
      <c r="X14" s="772"/>
      <c r="Y14" s="3080"/>
      <c r="Z14" s="55">
        <f t="shared" si="7"/>
        <v>111</v>
      </c>
      <c r="AA14" s="773">
        <f t="shared" si="3"/>
        <v>1</v>
      </c>
      <c r="AB14" s="773">
        <f t="shared" si="4"/>
        <v>1</v>
      </c>
      <c r="AC14" s="773">
        <f t="shared" si="5"/>
        <v>1</v>
      </c>
    </row>
    <row r="15" spans="1:29" ht="57">
      <c r="A15" s="440" t="s">
        <v>2558</v>
      </c>
      <c r="B15" s="69" t="s">
        <v>2702</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68" t="s">
        <v>2559</v>
      </c>
      <c r="Q15" s="1813" t="str">
        <f t="shared" si="6"/>
        <v>产业集聚程度</v>
      </c>
      <c r="R15" s="774" t="s">
        <v>17</v>
      </c>
      <c r="S15" s="775">
        <f t="shared" si="0"/>
        <v>100</v>
      </c>
      <c r="T15" s="774" t="s">
        <v>17</v>
      </c>
      <c r="U15" s="775">
        <f t="shared" si="1"/>
        <v>100</v>
      </c>
      <c r="V15" s="774" t="s">
        <v>17</v>
      </c>
      <c r="W15" s="775">
        <f t="shared" si="2"/>
        <v>100</v>
      </c>
      <c r="X15" s="1816"/>
      <c r="Y15" s="3268" t="s">
        <v>2559</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69"/>
      <c r="Q16" s="1813"/>
      <c r="R16" s="774"/>
      <c r="S16" s="775"/>
      <c r="T16" s="774"/>
      <c r="U16" s="775"/>
      <c r="V16" s="774"/>
      <c r="W16" s="775"/>
      <c r="X16" s="1816"/>
      <c r="Y16" s="3269"/>
      <c r="Z16" s="1817"/>
      <c r="AA16" s="1814">
        <v>1</v>
      </c>
      <c r="AB16" s="1814">
        <v>1</v>
      </c>
      <c r="AC16" s="1814">
        <v>1</v>
      </c>
    </row>
    <row r="17" spans="1:29" ht="85.5">
      <c r="A17" s="428"/>
      <c r="B17" s="451" t="s">
        <v>2096</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69"/>
      <c r="Q17" s="1813" t="str">
        <f>B17</f>
        <v>交通便捷度</v>
      </c>
      <c r="R17" s="774" t="s">
        <v>17</v>
      </c>
      <c r="S17" s="775">
        <f>F17</f>
        <v>100</v>
      </c>
      <c r="T17" s="774" t="s">
        <v>17</v>
      </c>
      <c r="U17" s="775">
        <f>H17</f>
        <v>100</v>
      </c>
      <c r="V17" s="774" t="s">
        <v>17</v>
      </c>
      <c r="W17" s="775">
        <f>J17</f>
        <v>100</v>
      </c>
      <c r="X17" s="1816"/>
      <c r="Y17" s="3269"/>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42"/>
      <c r="P18" s="3269"/>
      <c r="Q18" s="1813"/>
      <c r="R18" s="774"/>
      <c r="S18" s="775"/>
      <c r="T18" s="774"/>
      <c r="U18" s="775"/>
      <c r="V18" s="774"/>
      <c r="W18" s="775"/>
      <c r="X18" s="1816"/>
      <c r="Y18" s="3269"/>
      <c r="Z18" s="1817"/>
      <c r="AA18" s="1814">
        <v>1</v>
      </c>
      <c r="AB18" s="1814">
        <v>1</v>
      </c>
      <c r="AC18" s="1814">
        <v>1</v>
      </c>
    </row>
    <row r="19" spans="1:29" ht="42.75">
      <c r="A19" s="428"/>
      <c r="B19" s="451" t="s">
        <v>2687</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69"/>
      <c r="Q19" s="1813" t="str">
        <f>B19</f>
        <v>公共配套设施</v>
      </c>
      <c r="R19" s="774" t="s">
        <v>17</v>
      </c>
      <c r="S19" s="775">
        <f>F19</f>
        <v>100</v>
      </c>
      <c r="T19" s="774" t="s">
        <v>17</v>
      </c>
      <c r="U19" s="775">
        <f>H19</f>
        <v>100</v>
      </c>
      <c r="V19" s="774" t="s">
        <v>17</v>
      </c>
      <c r="W19" s="775">
        <f>J19</f>
        <v>100</v>
      </c>
      <c r="X19" s="1816"/>
      <c r="Y19" s="3269"/>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42"/>
      <c r="P20" s="3269"/>
      <c r="Q20" s="1813"/>
      <c r="R20" s="774"/>
      <c r="S20" s="775"/>
      <c r="T20" s="774"/>
      <c r="U20" s="775"/>
      <c r="V20" s="774"/>
      <c r="W20" s="775"/>
      <c r="X20" s="1816"/>
      <c r="Y20" s="3269"/>
      <c r="Z20" s="1817"/>
      <c r="AA20" s="1814">
        <v>1</v>
      </c>
      <c r="AB20" s="1814">
        <v>1</v>
      </c>
      <c r="AC20" s="1814">
        <v>1</v>
      </c>
    </row>
    <row r="21" spans="1:29" ht="28.5">
      <c r="A21" s="428"/>
      <c r="B21" s="1387" t="s">
        <v>2688</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69"/>
      <c r="Q21" s="1813" t="str">
        <f>B21</f>
        <v>基础设施水平</v>
      </c>
      <c r="R21" s="774" t="s">
        <v>17</v>
      </c>
      <c r="S21" s="775">
        <f>F21</f>
        <v>100</v>
      </c>
      <c r="T21" s="774" t="s">
        <v>17</v>
      </c>
      <c r="U21" s="775">
        <f>H21</f>
        <v>100</v>
      </c>
      <c r="V21" s="774" t="s">
        <v>17</v>
      </c>
      <c r="W21" s="775">
        <f>J21</f>
        <v>100</v>
      </c>
      <c r="X21" s="1816"/>
      <c r="Y21" s="3269"/>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42"/>
      <c r="P22" s="3269"/>
      <c r="Q22" s="1813"/>
      <c r="R22" s="774"/>
      <c r="S22" s="775"/>
      <c r="T22" s="774"/>
      <c r="U22" s="775"/>
      <c r="V22" s="774"/>
      <c r="W22" s="775"/>
      <c r="X22" s="1816"/>
      <c r="Y22" s="3269"/>
      <c r="Z22" s="1817"/>
      <c r="AA22" s="1814">
        <v>1</v>
      </c>
      <c r="AB22" s="1814">
        <v>1</v>
      </c>
      <c r="AC22" s="1814">
        <v>1</v>
      </c>
    </row>
    <row r="23" spans="1:29" ht="71.25">
      <c r="A23" s="428"/>
      <c r="B23" s="451" t="s">
        <v>2689</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69"/>
      <c r="Q23" s="1813" t="str">
        <f>B23</f>
        <v>环境质量</v>
      </c>
      <c r="R23" s="774" t="s">
        <v>17</v>
      </c>
      <c r="S23" s="775">
        <f>F23</f>
        <v>100</v>
      </c>
      <c r="T23" s="774" t="s">
        <v>17</v>
      </c>
      <c r="U23" s="775">
        <f>H23</f>
        <v>100</v>
      </c>
      <c r="V23" s="774" t="s">
        <v>17</v>
      </c>
      <c r="W23" s="775">
        <f>J23</f>
        <v>100</v>
      </c>
      <c r="X23" s="1816"/>
      <c r="Y23" s="3269"/>
      <c r="Z23" s="1817" t="str">
        <f>Q23</f>
        <v>环境质量</v>
      </c>
      <c r="AA23" s="1814">
        <f t="shared" si="3"/>
        <v>1</v>
      </c>
      <c r="AB23" s="1814">
        <f t="shared" si="4"/>
        <v>1</v>
      </c>
      <c r="AC23" s="1814">
        <f t="shared" si="5"/>
        <v>1</v>
      </c>
    </row>
    <row r="24" spans="1:29" ht="15">
      <c r="A24" s="428"/>
      <c r="B24" s="1387"/>
      <c r="C24" s="447"/>
      <c r="D24" s="448"/>
      <c r="E24" s="2610"/>
      <c r="F24" s="449"/>
      <c r="G24" s="2609"/>
      <c r="H24" s="448"/>
      <c r="I24" s="2610"/>
      <c r="J24" s="448"/>
      <c r="K24" s="615"/>
      <c r="L24" s="1143"/>
      <c r="M24" s="1134"/>
      <c r="N24" s="1134"/>
      <c r="O24" s="1142"/>
      <c r="P24" s="3269"/>
      <c r="Q24" s="1813"/>
      <c r="R24" s="774"/>
      <c r="S24" s="775"/>
      <c r="T24" s="774"/>
      <c r="U24" s="775"/>
      <c r="V24" s="774"/>
      <c r="W24" s="775"/>
      <c r="X24" s="1816"/>
      <c r="Y24" s="3269"/>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69"/>
      <c r="Q25" s="1813">
        <f>B25</f>
        <v>111</v>
      </c>
      <c r="R25" s="774" t="s">
        <v>17</v>
      </c>
      <c r="S25" s="775">
        <f>F25</f>
        <v>100</v>
      </c>
      <c r="T25" s="774" t="s">
        <v>17</v>
      </c>
      <c r="U25" s="775">
        <f>H25</f>
        <v>100</v>
      </c>
      <c r="V25" s="774" t="s">
        <v>17</v>
      </c>
      <c r="W25" s="775">
        <f>J25</f>
        <v>100</v>
      </c>
      <c r="X25" s="1816"/>
      <c r="Y25" s="3269"/>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69"/>
      <c r="Q26" s="1813">
        <f t="shared" ref="Q26:Q40" si="11">B26</f>
        <v>111</v>
      </c>
      <c r="R26" s="774" t="s">
        <v>17</v>
      </c>
      <c r="S26" s="775">
        <f>F26</f>
        <v>100</v>
      </c>
      <c r="T26" s="774" t="s">
        <v>17</v>
      </c>
      <c r="U26" s="775">
        <f>H26</f>
        <v>100</v>
      </c>
      <c r="V26" s="774" t="s">
        <v>17</v>
      </c>
      <c r="W26" s="775">
        <f>J26</f>
        <v>100</v>
      </c>
      <c r="X26" s="1816"/>
      <c r="Y26" s="3269"/>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69"/>
      <c r="Q27" s="1798">
        <f t="shared" si="11"/>
        <v>111</v>
      </c>
      <c r="R27" s="770" t="s">
        <v>17</v>
      </c>
      <c r="S27" s="771">
        <f>F27</f>
        <v>100</v>
      </c>
      <c r="T27" s="770" t="s">
        <v>17</v>
      </c>
      <c r="U27" s="771">
        <f>H27</f>
        <v>100</v>
      </c>
      <c r="V27" s="770" t="s">
        <v>17</v>
      </c>
      <c r="W27" s="771">
        <f>J27</f>
        <v>100</v>
      </c>
      <c r="X27" s="772"/>
      <c r="Y27" s="3269"/>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69"/>
      <c r="Q28" s="1813">
        <f t="shared" si="11"/>
        <v>111</v>
      </c>
      <c r="R28" s="774" t="s">
        <v>17</v>
      </c>
      <c r="S28" s="775">
        <f t="shared" ref="S28:S40" si="12">F28</f>
        <v>100</v>
      </c>
      <c r="T28" s="774" t="s">
        <v>17</v>
      </c>
      <c r="U28" s="775">
        <f t="shared" ref="U28:U40" si="13">H28</f>
        <v>100</v>
      </c>
      <c r="V28" s="774" t="s">
        <v>17</v>
      </c>
      <c r="W28" s="775">
        <f t="shared" ref="W28:W40" si="14">J28</f>
        <v>100</v>
      </c>
      <c r="X28" s="1816"/>
      <c r="Y28" s="3269"/>
      <c r="Z28" s="1817">
        <f t="shared" ref="Z28:Z40" si="15">Q28</f>
        <v>111</v>
      </c>
      <c r="AA28" s="1814">
        <f t="shared" si="3"/>
        <v>1</v>
      </c>
      <c r="AB28" s="1814">
        <f t="shared" si="4"/>
        <v>1</v>
      </c>
      <c r="AC28" s="1814">
        <f t="shared" si="5"/>
        <v>1</v>
      </c>
    </row>
    <row r="29" spans="1:29" ht="28.5">
      <c r="A29" s="466" t="s">
        <v>2562</v>
      </c>
      <c r="B29" s="71" t="s">
        <v>2692</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324" t="s">
        <v>2564</v>
      </c>
      <c r="Q29" s="1813" t="str">
        <f t="shared" si="11"/>
        <v>建筑类型</v>
      </c>
      <c r="R29" s="774" t="s">
        <v>17</v>
      </c>
      <c r="S29" s="775">
        <f t="shared" si="12"/>
        <v>100</v>
      </c>
      <c r="T29" s="774" t="s">
        <v>17</v>
      </c>
      <c r="U29" s="775">
        <f t="shared" si="13"/>
        <v>100</v>
      </c>
      <c r="V29" s="774" t="s">
        <v>17</v>
      </c>
      <c r="W29" s="775">
        <f t="shared" si="14"/>
        <v>100</v>
      </c>
      <c r="X29" s="1816"/>
      <c r="Y29" s="3273" t="s">
        <v>2564</v>
      </c>
      <c r="Z29" s="1817" t="str">
        <f t="shared" si="15"/>
        <v>建筑类型</v>
      </c>
      <c r="AA29" s="1814">
        <f t="shared" si="3"/>
        <v>1</v>
      </c>
      <c r="AB29" s="1814">
        <f t="shared" si="4"/>
        <v>1</v>
      </c>
      <c r="AC29" s="1814">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73"/>
      <c r="Q30" s="776" t="str">
        <f t="shared" si="11"/>
        <v>项目建筑规模</v>
      </c>
      <c r="R30" s="777" t="s">
        <v>17</v>
      </c>
      <c r="S30" s="778" t="e">
        <f t="shared" si="12"/>
        <v>#N/A</v>
      </c>
      <c r="T30" s="777" t="s">
        <v>17</v>
      </c>
      <c r="U30" s="778" t="e">
        <f t="shared" si="13"/>
        <v>#N/A</v>
      </c>
      <c r="V30" s="777" t="s">
        <v>17</v>
      </c>
      <c r="W30" s="778" t="e">
        <f t="shared" si="14"/>
        <v>#N/A</v>
      </c>
      <c r="X30" s="779"/>
      <c r="Y30" s="3273"/>
      <c r="Z30" s="780" t="str">
        <f t="shared" si="15"/>
        <v>项目建筑规模</v>
      </c>
      <c r="AA30" s="1814" t="e">
        <f t="shared" si="3"/>
        <v>#N/A</v>
      </c>
      <c r="AB30" s="1814" t="e">
        <f t="shared" si="4"/>
        <v>#N/A</v>
      </c>
      <c r="AC30" s="1814"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73"/>
      <c r="Q31" s="1813" t="str">
        <f t="shared" si="11"/>
        <v>建筑结构</v>
      </c>
      <c r="R31" s="774" t="s">
        <v>17</v>
      </c>
      <c r="S31" s="775">
        <f t="shared" si="12"/>
        <v>100</v>
      </c>
      <c r="T31" s="774" t="s">
        <v>17</v>
      </c>
      <c r="U31" s="775">
        <f t="shared" si="13"/>
        <v>100</v>
      </c>
      <c r="V31" s="774" t="s">
        <v>17</v>
      </c>
      <c r="W31" s="775">
        <f t="shared" si="14"/>
        <v>100</v>
      </c>
      <c r="X31" s="1816"/>
      <c r="Y31" s="3273"/>
      <c r="Z31" s="1817" t="str">
        <f t="shared" si="15"/>
        <v>建筑结构</v>
      </c>
      <c r="AA31" s="1814">
        <f t="shared" si="3"/>
        <v>1</v>
      </c>
      <c r="AB31" s="1814">
        <f t="shared" si="4"/>
        <v>1</v>
      </c>
      <c r="AC31" s="1814">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73"/>
      <c r="Q32" s="1813" t="str">
        <f t="shared" si="11"/>
        <v>公共部分装修</v>
      </c>
      <c r="R32" s="774" t="s">
        <v>17</v>
      </c>
      <c r="S32" s="775">
        <f t="shared" si="12"/>
        <v>100</v>
      </c>
      <c r="T32" s="774" t="s">
        <v>17</v>
      </c>
      <c r="U32" s="775">
        <f t="shared" si="13"/>
        <v>100</v>
      </c>
      <c r="V32" s="774" t="s">
        <v>17</v>
      </c>
      <c r="W32" s="775">
        <f t="shared" si="14"/>
        <v>100</v>
      </c>
      <c r="X32" s="1816"/>
      <c r="Y32" s="3273"/>
      <c r="Z32" s="1817" t="str">
        <f t="shared" si="15"/>
        <v>公共部分装修</v>
      </c>
      <c r="AA32" s="1814">
        <f t="shared" si="3"/>
        <v>1</v>
      </c>
      <c r="AB32" s="1814">
        <f t="shared" si="4"/>
        <v>1</v>
      </c>
      <c r="AC32" s="1814">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73"/>
      <c r="Q33" s="1813" t="str">
        <f t="shared" si="11"/>
        <v>成新度</v>
      </c>
      <c r="R33" s="774" t="s">
        <v>17</v>
      </c>
      <c r="S33" s="775" t="e">
        <f t="shared" si="12"/>
        <v>#N/A</v>
      </c>
      <c r="T33" s="774" t="s">
        <v>17</v>
      </c>
      <c r="U33" s="775" t="e">
        <f t="shared" si="13"/>
        <v>#N/A</v>
      </c>
      <c r="V33" s="774" t="s">
        <v>17</v>
      </c>
      <c r="W33" s="775" t="e">
        <f t="shared" si="14"/>
        <v>#N/A</v>
      </c>
      <c r="X33" s="1816"/>
      <c r="Y33" s="3273"/>
      <c r="Z33" s="1817" t="str">
        <f t="shared" si="15"/>
        <v>成新度</v>
      </c>
      <c r="AA33" s="1814" t="e">
        <f t="shared" si="3"/>
        <v>#N/A</v>
      </c>
      <c r="AB33" s="1814" t="e">
        <f t="shared" si="4"/>
        <v>#N/A</v>
      </c>
      <c r="AC33" s="1814"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73"/>
      <c r="Q34" s="1798" t="str">
        <f t="shared" si="11"/>
        <v>物业管理</v>
      </c>
      <c r="R34" s="770" t="s">
        <v>17</v>
      </c>
      <c r="S34" s="771">
        <f t="shared" si="12"/>
        <v>100</v>
      </c>
      <c r="T34" s="770" t="s">
        <v>17</v>
      </c>
      <c r="U34" s="771">
        <f t="shared" si="13"/>
        <v>100</v>
      </c>
      <c r="V34" s="770" t="s">
        <v>17</v>
      </c>
      <c r="W34" s="771">
        <f t="shared" si="14"/>
        <v>100</v>
      </c>
      <c r="X34" s="772"/>
      <c r="Y34" s="3273"/>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73" t="s">
        <v>2564</v>
      </c>
      <c r="Q35" s="1813" t="str">
        <f t="shared" si="11"/>
        <v>市政基础设施</v>
      </c>
      <c r="R35" s="774" t="s">
        <v>17</v>
      </c>
      <c r="S35" s="775">
        <f t="shared" si="12"/>
        <v>100</v>
      </c>
      <c r="T35" s="774" t="s">
        <v>17</v>
      </c>
      <c r="U35" s="775">
        <f t="shared" si="13"/>
        <v>100</v>
      </c>
      <c r="V35" s="774" t="s">
        <v>17</v>
      </c>
      <c r="W35" s="775">
        <f t="shared" si="14"/>
        <v>100</v>
      </c>
      <c r="X35" s="1816"/>
      <c r="Y35" s="3273" t="s">
        <v>2564</v>
      </c>
      <c r="Z35" s="1817" t="str">
        <f t="shared" si="15"/>
        <v>市政基础设施</v>
      </c>
      <c r="AA35" s="1814">
        <f t="shared" si="3"/>
        <v>1</v>
      </c>
      <c r="AB35" s="1814">
        <f t="shared" si="4"/>
        <v>1</v>
      </c>
      <c r="AC35" s="1814">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73"/>
      <c r="Q36" s="1813" t="str">
        <f t="shared" si="11"/>
        <v>内部装修</v>
      </c>
      <c r="R36" s="774" t="s">
        <v>17</v>
      </c>
      <c r="S36" s="775">
        <f t="shared" si="12"/>
        <v>100</v>
      </c>
      <c r="T36" s="774" t="s">
        <v>17</v>
      </c>
      <c r="U36" s="775">
        <f t="shared" si="13"/>
        <v>100</v>
      </c>
      <c r="V36" s="774" t="s">
        <v>17</v>
      </c>
      <c r="W36" s="775">
        <f t="shared" si="14"/>
        <v>100</v>
      </c>
      <c r="X36" s="1816"/>
      <c r="Y36" s="3273"/>
      <c r="Z36" s="1817" t="str">
        <f t="shared" si="15"/>
        <v>内部装修</v>
      </c>
      <c r="AA36" s="1814">
        <f t="shared" si="3"/>
        <v>1</v>
      </c>
      <c r="AB36" s="1814">
        <f t="shared" si="4"/>
        <v>1</v>
      </c>
      <c r="AC36" s="1814">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73"/>
      <c r="Q37" s="1813" t="str">
        <f t="shared" si="11"/>
        <v>内部装修状况</v>
      </c>
      <c r="R37" s="774" t="s">
        <v>17</v>
      </c>
      <c r="S37" s="775">
        <f t="shared" si="12"/>
        <v>100</v>
      </c>
      <c r="T37" s="774" t="s">
        <v>17</v>
      </c>
      <c r="U37" s="775">
        <f t="shared" si="13"/>
        <v>100</v>
      </c>
      <c r="V37" s="774" t="s">
        <v>17</v>
      </c>
      <c r="W37" s="775">
        <f t="shared" si="14"/>
        <v>100</v>
      </c>
      <c r="X37" s="1816"/>
      <c r="Y37" s="3273"/>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73"/>
      <c r="Q38" s="776">
        <f t="shared" si="11"/>
        <v>111</v>
      </c>
      <c r="R38" s="777" t="s">
        <v>17</v>
      </c>
      <c r="S38" s="778">
        <f t="shared" si="12"/>
        <v>100</v>
      </c>
      <c r="T38" s="777" t="s">
        <v>17</v>
      </c>
      <c r="U38" s="778">
        <f t="shared" si="13"/>
        <v>100</v>
      </c>
      <c r="V38" s="777" t="s">
        <v>17</v>
      </c>
      <c r="W38" s="778">
        <f t="shared" si="14"/>
        <v>100</v>
      </c>
      <c r="X38" s="779"/>
      <c r="Y38" s="3273"/>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73"/>
      <c r="Q39" s="1813">
        <f t="shared" si="11"/>
        <v>111</v>
      </c>
      <c r="R39" s="774" t="s">
        <v>17</v>
      </c>
      <c r="S39" s="775">
        <f t="shared" si="12"/>
        <v>100</v>
      </c>
      <c r="T39" s="774" t="s">
        <v>17</v>
      </c>
      <c r="U39" s="775">
        <f t="shared" si="13"/>
        <v>100</v>
      </c>
      <c r="V39" s="774" t="s">
        <v>17</v>
      </c>
      <c r="W39" s="775">
        <f t="shared" si="14"/>
        <v>100</v>
      </c>
      <c r="X39" s="1816"/>
      <c r="Y39" s="3273"/>
      <c r="Z39" s="1817">
        <f t="shared" si="15"/>
        <v>111</v>
      </c>
      <c r="AA39" s="1814">
        <f t="shared" si="3"/>
        <v>1</v>
      </c>
      <c r="AB39" s="1814">
        <f t="shared" si="4"/>
        <v>1</v>
      </c>
      <c r="AC39" s="1814">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74"/>
      <c r="Q40" s="1813">
        <f t="shared" si="11"/>
        <v>111</v>
      </c>
      <c r="R40" s="774" t="s">
        <v>17</v>
      </c>
      <c r="S40" s="775">
        <f t="shared" si="12"/>
        <v>100</v>
      </c>
      <c r="T40" s="774" t="s">
        <v>17</v>
      </c>
      <c r="U40" s="775">
        <f t="shared" si="13"/>
        <v>100</v>
      </c>
      <c r="V40" s="774" t="s">
        <v>17</v>
      </c>
      <c r="W40" s="775">
        <f t="shared" si="14"/>
        <v>100</v>
      </c>
      <c r="X40" s="1816"/>
      <c r="Y40" s="3274"/>
      <c r="Z40" s="1817">
        <f t="shared" si="15"/>
        <v>111</v>
      </c>
      <c r="AA40" s="1814">
        <f t="shared" si="3"/>
        <v>1</v>
      </c>
      <c r="AB40" s="1814">
        <f t="shared" si="4"/>
        <v>1</v>
      </c>
      <c r="AC40" s="1814">
        <f t="shared" si="5"/>
        <v>1</v>
      </c>
    </row>
    <row r="41" spans="1:29" ht="15">
      <c r="A41" s="479" t="s">
        <v>2576</v>
      </c>
      <c r="B41" s="480"/>
      <c r="C41" s="1410" t="s">
        <v>1</v>
      </c>
      <c r="D41" s="1411"/>
      <c r="E41" s="1412"/>
      <c r="F41" s="1413"/>
      <c r="G41" s="1414"/>
      <c r="H41" s="1415"/>
      <c r="I41" s="1412"/>
      <c r="J41" s="1415"/>
      <c r="K41" s="783"/>
      <c r="L41" s="1146"/>
      <c r="M41" s="1147"/>
      <c r="N41" s="1134"/>
      <c r="O41" s="1147"/>
      <c r="P41" s="3266" t="str">
        <f>A41</f>
        <v>成交单价（元/平方米）</v>
      </c>
      <c r="Q41" s="3266"/>
      <c r="R41" s="3267">
        <f>E41</f>
        <v>0</v>
      </c>
      <c r="S41" s="3267"/>
      <c r="T41" s="3267">
        <f>G41</f>
        <v>0</v>
      </c>
      <c r="U41" s="3267"/>
      <c r="V41" s="3267">
        <f>I41</f>
        <v>0</v>
      </c>
      <c r="W41" s="3267"/>
      <c r="X41" s="759"/>
      <c r="Y41" s="781"/>
      <c r="Z41" s="759"/>
      <c r="AA41" s="759"/>
      <c r="AB41" s="759"/>
      <c r="AC41" s="759"/>
    </row>
    <row r="42" spans="1:29" ht="15.75" thickBot="1">
      <c r="A42" s="486" t="s">
        <v>2668</v>
      </c>
      <c r="B42" s="487"/>
      <c r="C42" s="1416" t="e">
        <f>R43</f>
        <v>#DIV/0!</v>
      </c>
      <c r="D42" s="1417"/>
      <c r="E42" s="1418" t="e">
        <f>R42</f>
        <v>#DIV/0!</v>
      </c>
      <c r="F42" s="1418"/>
      <c r="G42" s="1416" t="e">
        <f>T42</f>
        <v>#DIV/0!</v>
      </c>
      <c r="H42" s="1417"/>
      <c r="I42" s="1418" t="e">
        <f>V42</f>
        <v>#DIV/0!</v>
      </c>
      <c r="J42" s="1417"/>
      <c r="K42" s="784"/>
      <c r="L42" s="1146"/>
      <c r="M42" s="1147"/>
      <c r="N42" s="1134"/>
      <c r="O42" s="1147"/>
      <c r="P42" s="3266" t="str">
        <f>A42</f>
        <v>比较价值（元/平方米）</v>
      </c>
      <c r="Q42" s="3266"/>
      <c r="R42" s="3267" t="e">
        <f>IF(F1="售价",ROUND(PRODUCT(R41,AA7:AA40),0),ROUND(PRODUCT(R41,AA7:AA40),1))</f>
        <v>#DIV/0!</v>
      </c>
      <c r="S42" s="3267"/>
      <c r="T42" s="3267" t="e">
        <f>IF(F1="售价",ROUND(PRODUCT(T41,AB7:AB40),0),ROUND(PRODUCT(T41,AB7:AB40),1))</f>
        <v>#DIV/0!</v>
      </c>
      <c r="U42" s="3267"/>
      <c r="V42" s="3267" t="e">
        <f>IF(F1="售价",ROUND(PRODUCT(V41,AC7:AC40),0),ROUND(PRODUCT(V41,AC7:AC40),1))</f>
        <v>#DIV/0!</v>
      </c>
      <c r="W42" s="3267"/>
      <c r="X42" s="759"/>
      <c r="Y42" s="759"/>
      <c r="Z42" s="759"/>
      <c r="AA42" s="759"/>
      <c r="AB42" s="759"/>
      <c r="AC42" s="759"/>
    </row>
    <row r="43" spans="1:29" ht="15.75" thickBot="1">
      <c r="A43" s="492" t="s">
        <v>2669</v>
      </c>
      <c r="B43" s="493"/>
      <c r="C43" s="1420" t="e">
        <f>R43</f>
        <v>#DIV/0!</v>
      </c>
      <c r="D43" s="1420"/>
      <c r="E43" s="1420"/>
      <c r="F43" s="1420"/>
      <c r="G43" s="1420"/>
      <c r="H43" s="1420"/>
      <c r="I43" s="1420"/>
      <c r="J43" s="1420"/>
      <c r="K43" s="785"/>
      <c r="L43" s="1146"/>
      <c r="M43" s="1147"/>
      <c r="N43" s="1147"/>
      <c r="O43" s="1147"/>
      <c r="P43" s="3263" t="str">
        <f>A43</f>
        <v>估价对象XX用房的比较价值（楼面单价，元/平方米）</v>
      </c>
      <c r="Q43" s="3264"/>
      <c r="R43" s="3265" t="e">
        <f>IF(F1="售价",ROUND(AVERAGE(R42:V42),0),ROUND(AVERAGE(R42:V42),1))</f>
        <v>#DIV/0!</v>
      </c>
      <c r="S43" s="3265"/>
      <c r="T43" s="3265"/>
      <c r="U43" s="3265"/>
      <c r="V43" s="3265"/>
      <c r="W43" s="3265"/>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2673</v>
      </c>
      <c r="B51" s="759"/>
      <c r="C51" s="764"/>
      <c r="D51" s="764"/>
      <c r="E51" s="764"/>
      <c r="F51" s="765"/>
      <c r="G51" s="765"/>
      <c r="H51" s="764"/>
      <c r="I51" s="764"/>
      <c r="J51" s="764"/>
      <c r="K51" s="1163"/>
      <c r="L51" s="1164"/>
      <c r="M51" s="1162"/>
      <c r="N51" s="1162"/>
      <c r="O51" s="1162"/>
      <c r="P51" s="503"/>
      <c r="Q51" s="504"/>
    </row>
    <row r="52" spans="1:17" s="508" customFormat="1" ht="15">
      <c r="A52" s="505" t="s">
        <v>2547</v>
      </c>
      <c r="B52" s="506"/>
      <c r="C52" s="1577" t="str">
        <f>YEAR(C7)&amp;"-"&amp;MONTH(C7)</f>
        <v>2019-5</v>
      </c>
      <c r="D52" s="1578">
        <f>EDATE(C52,-1)</f>
        <v>43556</v>
      </c>
      <c r="E52" s="1578">
        <f t="shared" ref="E52:O52" si="16">EDATE(D52,-1)</f>
        <v>43525</v>
      </c>
      <c r="F52" s="1578">
        <f t="shared" si="16"/>
        <v>43497</v>
      </c>
      <c r="G52" s="1578">
        <f t="shared" si="16"/>
        <v>43466</v>
      </c>
      <c r="H52" s="1578">
        <f t="shared" si="16"/>
        <v>43435</v>
      </c>
      <c r="I52" s="1578">
        <f t="shared" si="16"/>
        <v>43405</v>
      </c>
      <c r="J52" s="1578">
        <f t="shared" si="16"/>
        <v>43374</v>
      </c>
      <c r="K52" s="1578">
        <f t="shared" si="16"/>
        <v>43344</v>
      </c>
      <c r="L52" s="1578">
        <f t="shared" si="16"/>
        <v>43313</v>
      </c>
      <c r="M52" s="1578">
        <f t="shared" si="16"/>
        <v>43282</v>
      </c>
      <c r="N52" s="1578">
        <f t="shared" si="16"/>
        <v>43252</v>
      </c>
      <c r="O52" s="1578">
        <f t="shared" si="16"/>
        <v>43221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2587</v>
      </c>
      <c r="B57" s="528" t="s">
        <v>2553</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2562</v>
      </c>
      <c r="B88" s="528" t="s">
        <v>2611</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2613</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2615</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2616</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2617</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2619</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2706</v>
      </c>
      <c r="B1" s="1622"/>
      <c r="C1" s="1623" t="s">
        <v>2529</v>
      </c>
      <c r="D1" s="1624"/>
      <c r="E1" s="1625"/>
      <c r="F1" s="2589"/>
      <c r="G1" s="1626" t="s">
        <v>2642</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2326</v>
      </c>
      <c r="B2" s="1421" t="e">
        <f ca="1">IF(C2="——",IF(B37="元/平方米",ROUND(C39*D3/10000,0),ROUND(F3*C39/10000,0)),IF(B37="元/平方米",ROUND(C39*D3/10000,0),ROUND(F3*C39/10000,0))-D2)</f>
        <v>#DIV/0!</v>
      </c>
      <c r="C2" s="2591"/>
      <c r="D2" s="1127" t="e">
        <f ca="1">SUMIF(INDIRECT("'"&amp;F2&amp;"'"&amp;"!A:A"),"承租人权益价值",INDIRECT("'"&amp;F2&amp;"'"&amp;"!c:c"))</f>
        <v>#REF!</v>
      </c>
      <c r="E2" s="2592" t="s">
        <v>2327</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91" t="s">
        <v>2646</v>
      </c>
      <c r="S4" s="3292"/>
      <c r="T4" s="3291" t="s">
        <v>2647</v>
      </c>
      <c r="U4" s="3292"/>
      <c r="V4" s="3297" t="s">
        <v>2648</v>
      </c>
      <c r="W4" s="3297"/>
      <c r="X4" s="1816"/>
      <c r="Y4" s="3291" t="s">
        <v>2650</v>
      </c>
      <c r="Z4" s="3292"/>
      <c r="AA4" s="3278" t="s">
        <v>2646</v>
      </c>
      <c r="AB4" s="3279" t="s">
        <v>2647</v>
      </c>
      <c r="AC4" s="3278" t="s">
        <v>2648</v>
      </c>
    </row>
    <row r="5" spans="1:29" ht="15">
      <c r="A5" s="404"/>
      <c r="B5" s="405"/>
      <c r="C5" s="3300" t="s">
        <v>2541</v>
      </c>
      <c r="D5" s="3301"/>
      <c r="E5" s="3307" t="s">
        <v>2542</v>
      </c>
      <c r="F5" s="3308"/>
      <c r="G5" s="3300" t="s">
        <v>2543</v>
      </c>
      <c r="H5" s="3301"/>
      <c r="I5" s="3300" t="s">
        <v>2544</v>
      </c>
      <c r="J5" s="3301"/>
      <c r="K5" s="610"/>
      <c r="L5" s="1133"/>
      <c r="M5" s="1134"/>
      <c r="N5" s="1134"/>
      <c r="O5" s="1134"/>
      <c r="P5" s="3287"/>
      <c r="Q5" s="3288"/>
      <c r="R5" s="3293"/>
      <c r="S5" s="3294"/>
      <c r="T5" s="3293"/>
      <c r="U5" s="3294"/>
      <c r="V5" s="3297"/>
      <c r="W5" s="3297"/>
      <c r="X5" s="1816"/>
      <c r="Y5" s="3293"/>
      <c r="Z5" s="3294"/>
      <c r="AA5" s="3279"/>
      <c r="AB5" s="3279"/>
      <c r="AC5" s="3279"/>
    </row>
    <row r="6" spans="1:29" ht="15.75" thickBot="1">
      <c r="A6" s="406"/>
      <c r="B6" s="407"/>
      <c r="C6" s="3298" t="s">
        <v>2545</v>
      </c>
      <c r="D6" s="3299"/>
      <c r="E6" s="3305" t="s">
        <v>2545</v>
      </c>
      <c r="F6" s="3306"/>
      <c r="G6" s="3298" t="s">
        <v>2545</v>
      </c>
      <c r="H6" s="3299"/>
      <c r="I6" s="3298" t="s">
        <v>2545</v>
      </c>
      <c r="J6" s="3299"/>
      <c r="K6" s="610" t="s">
        <v>2546</v>
      </c>
      <c r="L6" s="1133"/>
      <c r="M6" s="1134"/>
      <c r="N6" s="1134"/>
      <c r="O6" s="1134"/>
      <c r="P6" s="3289"/>
      <c r="Q6" s="3290"/>
      <c r="R6" s="3293"/>
      <c r="S6" s="3294"/>
      <c r="T6" s="3295"/>
      <c r="U6" s="3296"/>
      <c r="V6" s="3297"/>
      <c r="W6" s="3297"/>
      <c r="X6" s="1816"/>
      <c r="Y6" s="3295"/>
      <c r="Z6" s="3296"/>
      <c r="AA6" s="3280"/>
      <c r="AB6" s="3280"/>
      <c r="AC6" s="3280"/>
    </row>
    <row r="7" spans="1:29" s="117" customFormat="1" ht="15.75" thickBot="1">
      <c r="A7" s="408" t="s">
        <v>2547</v>
      </c>
      <c r="B7" s="409"/>
      <c r="C7" s="410">
        <f>'数据-取费表'!B2</f>
        <v>43598</v>
      </c>
      <c r="D7" s="411">
        <v>100</v>
      </c>
      <c r="E7" s="412"/>
      <c r="F7" s="413">
        <f>SUMIF(48:48,YEAR(E7)&amp;"-"&amp;MONTH(E7),49:49)</f>
        <v>0</v>
      </c>
      <c r="G7" s="412"/>
      <c r="H7" s="411">
        <f>SUMIF(48:48,YEAR(G7)&amp;"-"&amp;MONTH(G7),49:49)</f>
        <v>0</v>
      </c>
      <c r="I7" s="412"/>
      <c r="J7" s="411">
        <f>SUMIF(48:48,YEAR(I7)&amp;"-"&amp;MONTH(I7),49:49)</f>
        <v>0</v>
      </c>
      <c r="K7" s="611"/>
      <c r="L7" s="1135"/>
      <c r="M7" s="1136"/>
      <c r="N7" s="1136"/>
      <c r="O7" s="1136"/>
      <c r="P7" s="3302" t="s">
        <v>2548</v>
      </c>
      <c r="Q7" s="3304"/>
      <c r="R7" s="770" t="s">
        <v>17</v>
      </c>
      <c r="S7" s="771">
        <f t="shared" ref="S7:S14" si="0">F7</f>
        <v>0</v>
      </c>
      <c r="T7" s="770" t="s">
        <v>17</v>
      </c>
      <c r="U7" s="771">
        <f t="shared" ref="U7:U14" si="1">H7</f>
        <v>0</v>
      </c>
      <c r="V7" s="770" t="s">
        <v>17</v>
      </c>
      <c r="W7" s="771">
        <f t="shared" ref="W7:W14" si="2">J7</f>
        <v>0</v>
      </c>
      <c r="X7" s="772"/>
      <c r="Y7" s="3302" t="s">
        <v>2548</v>
      </c>
      <c r="Z7" s="3303"/>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302" t="s">
        <v>2551</v>
      </c>
      <c r="Q8" s="3303"/>
      <c r="R8" s="770" t="s">
        <v>17</v>
      </c>
      <c r="S8" s="771">
        <f t="shared" si="0"/>
        <v>0</v>
      </c>
      <c r="T8" s="770" t="s">
        <v>17</v>
      </c>
      <c r="U8" s="771">
        <f t="shared" si="1"/>
        <v>0</v>
      </c>
      <c r="V8" s="770" t="s">
        <v>17</v>
      </c>
      <c r="W8" s="771">
        <f t="shared" si="2"/>
        <v>0</v>
      </c>
      <c r="X8" s="772"/>
      <c r="Y8" s="3302" t="s">
        <v>2551</v>
      </c>
      <c r="Z8" s="3303"/>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66" t="s">
        <v>2554</v>
      </c>
      <c r="Q9" s="1798" t="str">
        <f t="shared" ref="Q9:Q14" si="6">B9</f>
        <v>用途</v>
      </c>
      <c r="R9" s="770" t="s">
        <v>17</v>
      </c>
      <c r="S9" s="771">
        <f t="shared" si="0"/>
        <v>100</v>
      </c>
      <c r="T9" s="770" t="s">
        <v>17</v>
      </c>
      <c r="U9" s="771">
        <f t="shared" si="1"/>
        <v>100</v>
      </c>
      <c r="V9" s="770" t="s">
        <v>17</v>
      </c>
      <c r="W9" s="771">
        <f t="shared" si="2"/>
        <v>100</v>
      </c>
      <c r="X9" s="772"/>
      <c r="Y9" s="3080"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66"/>
      <c r="Q10" s="1798" t="str">
        <f t="shared" si="6"/>
        <v>土地使用年限（年）</v>
      </c>
      <c r="R10" s="770" t="s">
        <v>17</v>
      </c>
      <c r="S10" s="771">
        <f t="shared" si="0"/>
        <v>100</v>
      </c>
      <c r="T10" s="770" t="s">
        <v>17</v>
      </c>
      <c r="U10" s="771">
        <f t="shared" si="1"/>
        <v>100</v>
      </c>
      <c r="V10" s="770" t="s">
        <v>17</v>
      </c>
      <c r="W10" s="771">
        <f t="shared" si="2"/>
        <v>100</v>
      </c>
      <c r="X10" s="772"/>
      <c r="Y10" s="308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66"/>
      <c r="Q11" s="1798">
        <f t="shared" si="6"/>
        <v>111</v>
      </c>
      <c r="R11" s="770" t="s">
        <v>17</v>
      </c>
      <c r="S11" s="771">
        <f t="shared" si="0"/>
        <v>100</v>
      </c>
      <c r="T11" s="770" t="s">
        <v>17</v>
      </c>
      <c r="U11" s="771">
        <f t="shared" si="1"/>
        <v>100</v>
      </c>
      <c r="V11" s="770" t="s">
        <v>17</v>
      </c>
      <c r="W11" s="771">
        <f t="shared" si="2"/>
        <v>100</v>
      </c>
      <c r="X11" s="772"/>
      <c r="Y11" s="308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66"/>
      <c r="Q12" s="1798">
        <f t="shared" si="6"/>
        <v>111</v>
      </c>
      <c r="R12" s="770" t="s">
        <v>17</v>
      </c>
      <c r="S12" s="771">
        <f t="shared" si="0"/>
        <v>100</v>
      </c>
      <c r="T12" s="770" t="s">
        <v>17</v>
      </c>
      <c r="U12" s="771">
        <f t="shared" si="1"/>
        <v>100</v>
      </c>
      <c r="V12" s="770" t="s">
        <v>17</v>
      </c>
      <c r="W12" s="771">
        <f t="shared" si="2"/>
        <v>100</v>
      </c>
      <c r="X12" s="772"/>
      <c r="Y12" s="308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66"/>
      <c r="Q13" s="1798">
        <f t="shared" si="6"/>
        <v>111</v>
      </c>
      <c r="R13" s="770" t="s">
        <v>17</v>
      </c>
      <c r="S13" s="771">
        <f t="shared" si="0"/>
        <v>100</v>
      </c>
      <c r="T13" s="770" t="s">
        <v>17</v>
      </c>
      <c r="U13" s="771">
        <f t="shared" si="1"/>
        <v>100</v>
      </c>
      <c r="V13" s="770" t="s">
        <v>17</v>
      </c>
      <c r="W13" s="771">
        <f t="shared" si="2"/>
        <v>100</v>
      </c>
      <c r="X13" s="772"/>
      <c r="Y13" s="3080"/>
      <c r="Z13" s="55">
        <f t="shared" si="7"/>
        <v>111</v>
      </c>
      <c r="AA13" s="773">
        <f t="shared" si="3"/>
        <v>1</v>
      </c>
      <c r="AB13" s="773">
        <f t="shared" si="4"/>
        <v>1</v>
      </c>
      <c r="AC13" s="773">
        <f t="shared" si="5"/>
        <v>1</v>
      </c>
    </row>
    <row r="14" spans="1:29" ht="85.5">
      <c r="A14" s="401" t="s">
        <v>2558</v>
      </c>
      <c r="B14" s="629" t="s">
        <v>2708</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68" t="s">
        <v>2559</v>
      </c>
      <c r="Q14" s="1813" t="str">
        <f t="shared" si="6"/>
        <v>交通便捷度</v>
      </c>
      <c r="R14" s="774" t="s">
        <v>17</v>
      </c>
      <c r="S14" s="775">
        <f t="shared" si="0"/>
        <v>100</v>
      </c>
      <c r="T14" s="774" t="s">
        <v>17</v>
      </c>
      <c r="U14" s="775">
        <f t="shared" si="1"/>
        <v>100</v>
      </c>
      <c r="V14" s="774" t="s">
        <v>17</v>
      </c>
      <c r="W14" s="775">
        <f t="shared" si="2"/>
        <v>100</v>
      </c>
      <c r="X14" s="1816"/>
      <c r="Y14" s="3268" t="s">
        <v>2559</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69"/>
      <c r="Q15" s="1813"/>
      <c r="R15" s="774"/>
      <c r="S15" s="775"/>
      <c r="T15" s="774"/>
      <c r="U15" s="775"/>
      <c r="V15" s="774"/>
      <c r="W15" s="775"/>
      <c r="X15" s="1816"/>
      <c r="Y15" s="3269"/>
      <c r="Z15" s="1817"/>
      <c r="AA15" s="1814">
        <v>1</v>
      </c>
      <c r="AB15" s="1814">
        <v>1</v>
      </c>
      <c r="AC15" s="1814">
        <v>1</v>
      </c>
    </row>
    <row r="16" spans="1:29" ht="42.75">
      <c r="A16" s="404"/>
      <c r="B16" s="631" t="s">
        <v>2687</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69"/>
      <c r="Q16" s="1813" t="str">
        <f>B16</f>
        <v>公共配套设施</v>
      </c>
      <c r="R16" s="774" t="s">
        <v>17</v>
      </c>
      <c r="S16" s="775">
        <f>F16</f>
        <v>100</v>
      </c>
      <c r="T16" s="774" t="s">
        <v>17</v>
      </c>
      <c r="U16" s="775">
        <f>H16</f>
        <v>100</v>
      </c>
      <c r="V16" s="774" t="s">
        <v>17</v>
      </c>
      <c r="W16" s="775">
        <f>J16</f>
        <v>100</v>
      </c>
      <c r="X16" s="1816"/>
      <c r="Y16" s="3269"/>
      <c r="Z16" s="1817" t="str">
        <f>Q16</f>
        <v>公共配套设施</v>
      </c>
      <c r="AA16" s="1814">
        <f t="shared" si="3"/>
        <v>1</v>
      </c>
      <c r="AB16" s="1814">
        <f t="shared" si="4"/>
        <v>1</v>
      </c>
      <c r="AC16" s="1814">
        <f t="shared" si="5"/>
        <v>1</v>
      </c>
    </row>
    <row r="17" spans="1:29" ht="15">
      <c r="A17" s="404"/>
      <c r="B17" s="632"/>
      <c r="C17" s="2613"/>
      <c r="D17" s="448"/>
      <c r="E17" s="447"/>
      <c r="F17" s="449"/>
      <c r="G17" s="447"/>
      <c r="H17" s="448"/>
      <c r="I17" s="447"/>
      <c r="J17" s="448"/>
      <c r="K17" s="615"/>
      <c r="L17" s="1143"/>
      <c r="M17" s="1134"/>
      <c r="N17" s="1134"/>
      <c r="O17" s="1134"/>
      <c r="P17" s="3269"/>
      <c r="Q17" s="1813"/>
      <c r="R17" s="774"/>
      <c r="S17" s="775"/>
      <c r="T17" s="774"/>
      <c r="U17" s="775"/>
      <c r="V17" s="774"/>
      <c r="W17" s="775"/>
      <c r="X17" s="1816"/>
      <c r="Y17" s="3269"/>
      <c r="Z17" s="1817"/>
      <c r="AA17" s="1814">
        <v>1</v>
      </c>
      <c r="AB17" s="1814">
        <v>1</v>
      </c>
      <c r="AC17" s="1814">
        <v>1</v>
      </c>
    </row>
    <row r="18" spans="1:29" ht="28.5">
      <c r="A18" s="404"/>
      <c r="B18" s="633" t="s">
        <v>2688</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69"/>
      <c r="Q18" s="1813" t="str">
        <f>B18</f>
        <v>基础设施水平</v>
      </c>
      <c r="R18" s="774" t="s">
        <v>17</v>
      </c>
      <c r="S18" s="775">
        <f>F18</f>
        <v>100</v>
      </c>
      <c r="T18" s="774" t="s">
        <v>17</v>
      </c>
      <c r="U18" s="775">
        <f>H18</f>
        <v>100</v>
      </c>
      <c r="V18" s="774" t="s">
        <v>17</v>
      </c>
      <c r="W18" s="775">
        <f>J18</f>
        <v>100</v>
      </c>
      <c r="X18" s="1816"/>
      <c r="Y18" s="3269"/>
      <c r="Z18" s="1817" t="str">
        <f>Q18</f>
        <v>基础设施水平</v>
      </c>
      <c r="AA18" s="1814">
        <f t="shared" ref="AA18" si="8">D18/F18</f>
        <v>1</v>
      </c>
      <c r="AB18" s="1814">
        <f t="shared" ref="AB18" si="9">D18/H18</f>
        <v>1</v>
      </c>
      <c r="AC18" s="1814">
        <f t="shared" ref="AC18" si="10">D18/J18</f>
        <v>1</v>
      </c>
    </row>
    <row r="19" spans="1:29" ht="15">
      <c r="A19" s="404"/>
      <c r="B19" s="633"/>
      <c r="C19" s="2613"/>
      <c r="D19" s="450"/>
      <c r="E19" s="2613"/>
      <c r="F19" s="453"/>
      <c r="G19" s="2613"/>
      <c r="H19" s="448"/>
      <c r="I19" s="447"/>
      <c r="J19" s="448"/>
      <c r="K19" s="1386"/>
      <c r="L19" s="1143"/>
      <c r="M19" s="1134"/>
      <c r="N19" s="1134"/>
      <c r="O19" s="1134"/>
      <c r="P19" s="3269"/>
      <c r="Q19" s="1813"/>
      <c r="R19" s="774"/>
      <c r="S19" s="775"/>
      <c r="T19" s="774"/>
      <c r="U19" s="775"/>
      <c r="V19" s="774"/>
      <c r="W19" s="775"/>
      <c r="X19" s="1816"/>
      <c r="Y19" s="3269"/>
      <c r="Z19" s="1817"/>
      <c r="AA19" s="1814">
        <v>1</v>
      </c>
      <c r="AB19" s="1814">
        <v>1</v>
      </c>
      <c r="AC19" s="1814">
        <v>1</v>
      </c>
    </row>
    <row r="20" spans="1:29" ht="57">
      <c r="A20" s="404"/>
      <c r="B20" s="631" t="s">
        <v>2709</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69"/>
      <c r="Q20" s="1813" t="str">
        <f>B20</f>
        <v>自然及人文环境</v>
      </c>
      <c r="R20" s="774" t="s">
        <v>17</v>
      </c>
      <c r="S20" s="775">
        <f>F20</f>
        <v>100</v>
      </c>
      <c r="T20" s="774" t="s">
        <v>17</v>
      </c>
      <c r="U20" s="775">
        <f>H20</f>
        <v>100</v>
      </c>
      <c r="V20" s="774" t="s">
        <v>17</v>
      </c>
      <c r="W20" s="775">
        <f>J20</f>
        <v>100</v>
      </c>
      <c r="X20" s="1816"/>
      <c r="Y20" s="3269"/>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69"/>
      <c r="Q21" s="1813"/>
      <c r="R21" s="774"/>
      <c r="S21" s="775"/>
      <c r="T21" s="774"/>
      <c r="U21" s="775"/>
      <c r="V21" s="774"/>
      <c r="W21" s="775"/>
      <c r="X21" s="1816"/>
      <c r="Y21" s="3269"/>
      <c r="Z21" s="1817"/>
      <c r="AA21" s="1814">
        <v>1</v>
      </c>
      <c r="AB21" s="1814">
        <v>1</v>
      </c>
      <c r="AC21" s="1814">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69"/>
      <c r="Q22" s="1813" t="str">
        <f>B22</f>
        <v>楼层</v>
      </c>
      <c r="R22" s="774" t="s">
        <v>17</v>
      </c>
      <c r="S22" s="775">
        <f>F22</f>
        <v>100</v>
      </c>
      <c r="T22" s="774" t="s">
        <v>17</v>
      </c>
      <c r="U22" s="775">
        <f>H22</f>
        <v>100</v>
      </c>
      <c r="V22" s="774" t="s">
        <v>17</v>
      </c>
      <c r="W22" s="775">
        <f>J22</f>
        <v>100</v>
      </c>
      <c r="X22" s="1816"/>
      <c r="Y22" s="3269"/>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69"/>
      <c r="Q23" s="1813">
        <f>B23</f>
        <v>111</v>
      </c>
      <c r="R23" s="774" t="s">
        <v>17</v>
      </c>
      <c r="S23" s="775">
        <f>F23</f>
        <v>100</v>
      </c>
      <c r="T23" s="774" t="s">
        <v>17</v>
      </c>
      <c r="U23" s="775">
        <f>H23</f>
        <v>100</v>
      </c>
      <c r="V23" s="774" t="s">
        <v>17</v>
      </c>
      <c r="W23" s="775">
        <f>J23</f>
        <v>100</v>
      </c>
      <c r="X23" s="1816"/>
      <c r="Y23" s="3269"/>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69"/>
      <c r="Q24" s="1813">
        <f t="shared" ref="Q24:Q36" si="11">B24</f>
        <v>111</v>
      </c>
      <c r="R24" s="774" t="s">
        <v>17</v>
      </c>
      <c r="S24" s="775">
        <f>F24</f>
        <v>100</v>
      </c>
      <c r="T24" s="774" t="s">
        <v>17</v>
      </c>
      <c r="U24" s="775">
        <f>H24</f>
        <v>100</v>
      </c>
      <c r="V24" s="774" t="s">
        <v>17</v>
      </c>
      <c r="W24" s="775">
        <f>J24</f>
        <v>100</v>
      </c>
      <c r="X24" s="1816"/>
      <c r="Y24" s="3269"/>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69"/>
      <c r="Q25" s="1798">
        <f t="shared" si="11"/>
        <v>111</v>
      </c>
      <c r="R25" s="770" t="s">
        <v>17</v>
      </c>
      <c r="S25" s="771">
        <f>F25</f>
        <v>100</v>
      </c>
      <c r="T25" s="770" t="s">
        <v>17</v>
      </c>
      <c r="U25" s="771">
        <f>H25</f>
        <v>100</v>
      </c>
      <c r="V25" s="770" t="s">
        <v>17</v>
      </c>
      <c r="W25" s="771">
        <f>J25</f>
        <v>100</v>
      </c>
      <c r="X25" s="772"/>
      <c r="Y25" s="3269"/>
      <c r="Z25" s="55">
        <f>Q25</f>
        <v>111</v>
      </c>
      <c r="AA25" s="1814">
        <f>D25/F25</f>
        <v>1</v>
      </c>
      <c r="AB25" s="1814">
        <f>D25/H25</f>
        <v>1</v>
      </c>
      <c r="AC25" s="1814">
        <f>D25/J25</f>
        <v>1</v>
      </c>
    </row>
    <row r="26" spans="1:29" ht="28.5">
      <c r="A26" s="652" t="s">
        <v>2562</v>
      </c>
      <c r="B26" s="70" t="s">
        <v>2711</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324" t="s">
        <v>2564</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73" t="s">
        <v>2564</v>
      </c>
      <c r="Z26" s="1817" t="str">
        <f t="shared" ref="Z26:Z36" si="15">Q26</f>
        <v>配套类型</v>
      </c>
      <c r="AA26" s="1814">
        <f t="shared" si="3"/>
        <v>1</v>
      </c>
      <c r="AB26" s="1814">
        <f t="shared" si="4"/>
        <v>1</v>
      </c>
      <c r="AC26" s="1814">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73"/>
      <c r="Q27" s="776" t="str">
        <f t="shared" si="11"/>
        <v>项目停车位配比</v>
      </c>
      <c r="R27" s="777" t="s">
        <v>17</v>
      </c>
      <c r="S27" s="778">
        <f t="shared" si="12"/>
        <v>100</v>
      </c>
      <c r="T27" s="777" t="s">
        <v>17</v>
      </c>
      <c r="U27" s="778">
        <f t="shared" si="13"/>
        <v>100</v>
      </c>
      <c r="V27" s="777" t="s">
        <v>17</v>
      </c>
      <c r="W27" s="778">
        <f t="shared" si="14"/>
        <v>100</v>
      </c>
      <c r="X27" s="779"/>
      <c r="Y27" s="3273"/>
      <c r="Z27" s="780" t="str">
        <f t="shared" si="15"/>
        <v>项目停车位配比</v>
      </c>
      <c r="AA27" s="1814">
        <f t="shared" si="3"/>
        <v>1</v>
      </c>
      <c r="AB27" s="1814">
        <f t="shared" si="4"/>
        <v>1</v>
      </c>
      <c r="AC27" s="1814">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73"/>
      <c r="Q28" s="1813" t="str">
        <f t="shared" si="11"/>
        <v>公共部分装修</v>
      </c>
      <c r="R28" s="774" t="s">
        <v>17</v>
      </c>
      <c r="S28" s="775">
        <f t="shared" si="12"/>
        <v>100</v>
      </c>
      <c r="T28" s="774" t="s">
        <v>17</v>
      </c>
      <c r="U28" s="775">
        <f t="shared" si="13"/>
        <v>100</v>
      </c>
      <c r="V28" s="774" t="s">
        <v>17</v>
      </c>
      <c r="W28" s="775">
        <f t="shared" si="14"/>
        <v>100</v>
      </c>
      <c r="X28" s="1816"/>
      <c r="Y28" s="3273"/>
      <c r="Z28" s="1817" t="str">
        <f t="shared" si="15"/>
        <v>公共部分装修</v>
      </c>
      <c r="AA28" s="1814">
        <f t="shared" si="3"/>
        <v>1</v>
      </c>
      <c r="AB28" s="1814">
        <f t="shared" si="4"/>
        <v>1</v>
      </c>
      <c r="AC28" s="1814">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73"/>
      <c r="Q29" s="1813" t="str">
        <f t="shared" si="11"/>
        <v>成新率</v>
      </c>
      <c r="R29" s="774" t="s">
        <v>17</v>
      </c>
      <c r="S29" s="775" t="e">
        <f t="shared" si="12"/>
        <v>#N/A</v>
      </c>
      <c r="T29" s="774" t="s">
        <v>17</v>
      </c>
      <c r="U29" s="775" t="e">
        <f t="shared" si="13"/>
        <v>#N/A</v>
      </c>
      <c r="V29" s="774" t="s">
        <v>17</v>
      </c>
      <c r="W29" s="775" t="e">
        <f t="shared" si="14"/>
        <v>#N/A</v>
      </c>
      <c r="X29" s="1816"/>
      <c r="Y29" s="3273"/>
      <c r="Z29" s="1817" t="str">
        <f t="shared" si="15"/>
        <v>成新率</v>
      </c>
      <c r="AA29" s="1814" t="e">
        <f t="shared" si="3"/>
        <v>#N/A</v>
      </c>
      <c r="AB29" s="1814" t="e">
        <f t="shared" si="4"/>
        <v>#N/A</v>
      </c>
      <c r="AC29" s="1814"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73"/>
      <c r="Q30" s="1813" t="str">
        <f t="shared" si="11"/>
        <v>物业等级</v>
      </c>
      <c r="R30" s="774" t="s">
        <v>17</v>
      </c>
      <c r="S30" s="775">
        <f t="shared" si="12"/>
        <v>100</v>
      </c>
      <c r="T30" s="774" t="s">
        <v>17</v>
      </c>
      <c r="U30" s="775">
        <f t="shared" si="13"/>
        <v>100</v>
      </c>
      <c r="V30" s="774" t="s">
        <v>17</v>
      </c>
      <c r="W30" s="775">
        <f t="shared" si="14"/>
        <v>100</v>
      </c>
      <c r="X30" s="1816"/>
      <c r="Y30" s="3273"/>
      <c r="Z30" s="1817" t="str">
        <f t="shared" si="15"/>
        <v>物业等级</v>
      </c>
      <c r="AA30" s="1814">
        <f t="shared" si="3"/>
        <v>1</v>
      </c>
      <c r="AB30" s="1814">
        <f t="shared" si="4"/>
        <v>1</v>
      </c>
      <c r="AC30" s="1814">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73"/>
      <c r="Q31" s="1798" t="str">
        <f t="shared" si="11"/>
        <v>停车位面积</v>
      </c>
      <c r="R31" s="770" t="s">
        <v>17</v>
      </c>
      <c r="S31" s="771" t="e">
        <f t="shared" si="12"/>
        <v>#N/A</v>
      </c>
      <c r="T31" s="770" t="s">
        <v>17</v>
      </c>
      <c r="U31" s="771" t="e">
        <f t="shared" si="13"/>
        <v>#N/A</v>
      </c>
      <c r="V31" s="770" t="s">
        <v>17</v>
      </c>
      <c r="W31" s="771" t="e">
        <f t="shared" si="14"/>
        <v>#N/A</v>
      </c>
      <c r="X31" s="772"/>
      <c r="Y31" s="3273"/>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73" t="s">
        <v>2564</v>
      </c>
      <c r="Q32" s="1813" t="str">
        <f t="shared" si="11"/>
        <v>车位类型</v>
      </c>
      <c r="R32" s="774" t="s">
        <v>17</v>
      </c>
      <c r="S32" s="775">
        <f t="shared" si="12"/>
        <v>100</v>
      </c>
      <c r="T32" s="774" t="s">
        <v>17</v>
      </c>
      <c r="U32" s="775">
        <f t="shared" si="13"/>
        <v>100</v>
      </c>
      <c r="V32" s="774" t="s">
        <v>17</v>
      </c>
      <c r="W32" s="775">
        <f t="shared" si="14"/>
        <v>100</v>
      </c>
      <c r="X32" s="1816"/>
      <c r="Y32" s="3273" t="s">
        <v>2564</v>
      </c>
      <c r="Z32" s="1817" t="str">
        <f t="shared" si="15"/>
        <v>车位类型</v>
      </c>
      <c r="AA32" s="1814">
        <f t="shared" si="3"/>
        <v>1</v>
      </c>
      <c r="AB32" s="1814">
        <f t="shared" si="4"/>
        <v>1</v>
      </c>
      <c r="AC32" s="1814">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73"/>
      <c r="Q33" s="1813" t="str">
        <f t="shared" si="11"/>
        <v>是否直接入户</v>
      </c>
      <c r="R33" s="774" t="s">
        <v>17</v>
      </c>
      <c r="S33" s="775">
        <f t="shared" si="12"/>
        <v>100</v>
      </c>
      <c r="T33" s="774" t="s">
        <v>17</v>
      </c>
      <c r="U33" s="775">
        <f t="shared" si="13"/>
        <v>100</v>
      </c>
      <c r="V33" s="774" t="s">
        <v>17</v>
      </c>
      <c r="W33" s="775">
        <f t="shared" si="14"/>
        <v>100</v>
      </c>
      <c r="X33" s="1816"/>
      <c r="Y33" s="3273"/>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73"/>
      <c r="Q34" s="1813">
        <f t="shared" si="11"/>
        <v>111</v>
      </c>
      <c r="R34" s="774" t="s">
        <v>17</v>
      </c>
      <c r="S34" s="775">
        <f t="shared" si="12"/>
        <v>100</v>
      </c>
      <c r="T34" s="774" t="s">
        <v>17</v>
      </c>
      <c r="U34" s="775">
        <f t="shared" si="13"/>
        <v>100</v>
      </c>
      <c r="V34" s="774" t="s">
        <v>17</v>
      </c>
      <c r="W34" s="775">
        <f t="shared" si="14"/>
        <v>100</v>
      </c>
      <c r="X34" s="1816"/>
      <c r="Y34" s="3273"/>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73"/>
      <c r="Q35" s="776">
        <f t="shared" si="11"/>
        <v>111</v>
      </c>
      <c r="R35" s="777" t="s">
        <v>17</v>
      </c>
      <c r="S35" s="778">
        <f t="shared" si="12"/>
        <v>100</v>
      </c>
      <c r="T35" s="777" t="s">
        <v>17</v>
      </c>
      <c r="U35" s="778">
        <f t="shared" si="13"/>
        <v>100</v>
      </c>
      <c r="V35" s="777" t="s">
        <v>17</v>
      </c>
      <c r="W35" s="778">
        <f t="shared" si="14"/>
        <v>100</v>
      </c>
      <c r="X35" s="779"/>
      <c r="Y35" s="3273"/>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73"/>
      <c r="Q36" s="1813">
        <f t="shared" si="11"/>
        <v>111</v>
      </c>
      <c r="R36" s="774" t="s">
        <v>17</v>
      </c>
      <c r="S36" s="775">
        <f t="shared" si="12"/>
        <v>100</v>
      </c>
      <c r="T36" s="774" t="s">
        <v>17</v>
      </c>
      <c r="U36" s="775">
        <f t="shared" si="13"/>
        <v>100</v>
      </c>
      <c r="V36" s="774" t="s">
        <v>17</v>
      </c>
      <c r="W36" s="775">
        <f t="shared" si="14"/>
        <v>100</v>
      </c>
      <c r="X36" s="1816"/>
      <c r="Y36" s="3273"/>
      <c r="Z36" s="1817">
        <f t="shared" si="15"/>
        <v>111</v>
      </c>
      <c r="AA36" s="1814">
        <f t="shared" si="3"/>
        <v>1</v>
      </c>
      <c r="AB36" s="1814">
        <f t="shared" si="4"/>
        <v>1</v>
      </c>
      <c r="AC36" s="1814">
        <f t="shared" si="5"/>
        <v>1</v>
      </c>
    </row>
    <row r="37" spans="1:29" ht="15">
      <c r="A37" s="479" t="s">
        <v>2719</v>
      </c>
      <c r="B37" s="2700" t="s">
        <v>2720</v>
      </c>
      <c r="C37" s="1410" t="s">
        <v>1</v>
      </c>
      <c r="D37" s="1411"/>
      <c r="E37" s="1412"/>
      <c r="F37" s="1413"/>
      <c r="G37" s="1414"/>
      <c r="H37" s="1415"/>
      <c r="I37" s="1412"/>
      <c r="J37" s="1415"/>
      <c r="K37" s="619"/>
      <c r="L37" s="1146"/>
      <c r="M37" s="1147"/>
      <c r="N37" s="1134"/>
      <c r="O37" s="1147"/>
      <c r="P37" s="3266" t="str">
        <f>A37</f>
        <v>成交单价</v>
      </c>
      <c r="Q37" s="3266"/>
      <c r="R37" s="3267">
        <f>E37</f>
        <v>0</v>
      </c>
      <c r="S37" s="3267"/>
      <c r="T37" s="3267">
        <f>G37</f>
        <v>0</v>
      </c>
      <c r="U37" s="3267"/>
      <c r="V37" s="3267">
        <f>I37</f>
        <v>0</v>
      </c>
      <c r="W37" s="3267"/>
      <c r="X37" s="759"/>
      <c r="Y37" s="781"/>
      <c r="Z37" s="759"/>
      <c r="AA37" s="759"/>
      <c r="AB37" s="759"/>
      <c r="AC37" s="759"/>
    </row>
    <row r="38" spans="1:29" ht="15.75" thickBot="1">
      <c r="A38" s="486" t="s">
        <v>2721</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66" t="str">
        <f>A38</f>
        <v>比较价值（元/平方米）</v>
      </c>
      <c r="Q38" s="3266"/>
      <c r="R38" s="3267" t="e">
        <f>IF(F1="售价",ROUND(PRODUCT(R37,AA7:AA36),0),ROUND(PRODUCT(R37,AA7:AA36),1))</f>
        <v>#DIV/0!</v>
      </c>
      <c r="S38" s="3267"/>
      <c r="T38" s="3267" t="e">
        <f>IF(F1="售价",ROUND(PRODUCT(T37,AB7:AB36),0),ROUND(PRODUCT(T37,AB7:AB36),1))</f>
        <v>#DIV/0!</v>
      </c>
      <c r="U38" s="3267"/>
      <c r="V38" s="3267" t="e">
        <f>IF(F1="售价",ROUND(PRODUCT(V37,AC7:AC36),0),ROUND(PRODUCT(V37,AC7:AC36),1))</f>
        <v>#DIV/0!</v>
      </c>
      <c r="W38" s="3267"/>
      <c r="X38" s="759"/>
      <c r="Y38" s="759"/>
      <c r="Z38" s="759"/>
      <c r="AA38" s="759"/>
      <c r="AB38" s="759"/>
      <c r="AC38" s="759"/>
    </row>
    <row r="39" spans="1:29" ht="15.75" thickBot="1">
      <c r="A39" s="492" t="s">
        <v>2722</v>
      </c>
      <c r="B39" s="493"/>
      <c r="C39" s="1420" t="e">
        <f>R39</f>
        <v>#DIV/0!</v>
      </c>
      <c r="D39" s="1420"/>
      <c r="E39" s="1420"/>
      <c r="F39" s="1420"/>
      <c r="G39" s="1420"/>
      <c r="H39" s="1420"/>
      <c r="I39" s="1420"/>
      <c r="J39" s="1420"/>
      <c r="K39" s="621"/>
      <c r="L39" s="1146"/>
      <c r="M39" s="1147"/>
      <c r="N39" s="1147"/>
      <c r="O39" s="1147"/>
      <c r="P39" s="3263" t="str">
        <f>A39</f>
        <v>估价对象XX用房的比较价值（楼面单价，元/平方米）</v>
      </c>
      <c r="Q39" s="3264"/>
      <c r="R39" s="3265" t="e">
        <f>IF(F1="售价",ROUND(AVERAGE(R38:V38),0),ROUND(AVERAGE(R38:V38),1))</f>
        <v>#DIV/0!</v>
      </c>
      <c r="S39" s="3265"/>
      <c r="T39" s="3265"/>
      <c r="U39" s="3265"/>
      <c r="V39" s="3265"/>
      <c r="W39" s="3265"/>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2726</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2727</v>
      </c>
      <c r="B48" s="506"/>
      <c r="C48" s="1577" t="str">
        <f>YEAR(C7)&amp;"-"&amp;MONTH(C7)</f>
        <v>2019-5</v>
      </c>
      <c r="D48" s="1578">
        <f>EDATE(C48,-1)</f>
        <v>43556</v>
      </c>
      <c r="E48" s="1578">
        <f t="shared" ref="E48:O48" si="16">EDATE(D48,-1)</f>
        <v>43525</v>
      </c>
      <c r="F48" s="1578">
        <f t="shared" si="16"/>
        <v>43497</v>
      </c>
      <c r="G48" s="1578">
        <f t="shared" si="16"/>
        <v>43466</v>
      </c>
      <c r="H48" s="1578">
        <f t="shared" si="16"/>
        <v>43435</v>
      </c>
      <c r="I48" s="1578">
        <f t="shared" si="16"/>
        <v>43405</v>
      </c>
      <c r="J48" s="1578">
        <f t="shared" si="16"/>
        <v>43374</v>
      </c>
      <c r="K48" s="1578">
        <f t="shared" si="16"/>
        <v>43344</v>
      </c>
      <c r="L48" s="1578">
        <f t="shared" si="16"/>
        <v>43313</v>
      </c>
      <c r="M48" s="1578">
        <f t="shared" si="16"/>
        <v>43282</v>
      </c>
      <c r="N48" s="1578">
        <f t="shared" si="16"/>
        <v>43252</v>
      </c>
      <c r="O48" s="1578">
        <f t="shared" si="16"/>
        <v>43221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2584</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2549</v>
      </c>
      <c r="B51" s="510"/>
      <c r="C51" s="522" t="s">
        <v>2651</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2587</v>
      </c>
      <c r="B53" s="528" t="s">
        <v>2553</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2602</v>
      </c>
      <c r="C65" s="578" t="s">
        <v>2596</v>
      </c>
      <c r="D65" s="578" t="s">
        <v>2597</v>
      </c>
      <c r="E65" s="578" t="s">
        <v>2598</v>
      </c>
      <c r="F65" s="578" t="s">
        <v>2599</v>
      </c>
      <c r="G65" s="578" t="s">
        <v>2600</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2688</v>
      </c>
      <c r="C67" s="660" t="s">
        <v>2674</v>
      </c>
      <c r="D67" s="660" t="s">
        <v>2675</v>
      </c>
      <c r="E67" s="660" t="s">
        <v>2676</v>
      </c>
      <c r="F67" s="660" t="s">
        <v>2677</v>
      </c>
      <c r="G67" s="660" t="s">
        <v>2678</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2608</v>
      </c>
      <c r="C69" s="578" t="s">
        <v>2596</v>
      </c>
      <c r="D69" s="578" t="s">
        <v>2597</v>
      </c>
      <c r="E69" s="578" t="s">
        <v>2598</v>
      </c>
      <c r="F69" s="578" t="s">
        <v>2599</v>
      </c>
      <c r="G69" s="578" t="s">
        <v>2600</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2728</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2562</v>
      </c>
      <c r="B79" s="528" t="s">
        <v>2729</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2730</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2615</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2732</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2734</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2735</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2706</v>
      </c>
      <c r="B1" s="1622"/>
      <c r="C1" s="1623" t="s">
        <v>2529</v>
      </c>
      <c r="D1" s="1624"/>
      <c r="E1" s="1633"/>
      <c r="F1" s="2589"/>
      <c r="G1" s="1634" t="s">
        <v>2642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IF(C2="——",ROUND(C37*D3/10000,0),ROUND(C37*D3/10000,0)-D2)</f>
        <v>#DIV/0!</v>
      </c>
      <c r="C2" s="2591"/>
      <c r="D2" s="1127" t="e">
        <f ca="1">SUMIF(INDIRECT("'"&amp;F2&amp;"'"&amp;"!A:A"),"承租人权益价值",INDIRECT("'"&amp;F2&amp;"'"&amp;"!c:c"))</f>
        <v>#REF!</v>
      </c>
      <c r="E2" s="2592" t="s">
        <v>2327</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91" t="s">
        <v>2646</v>
      </c>
      <c r="S4" s="3292"/>
      <c r="T4" s="3291" t="s">
        <v>2647</v>
      </c>
      <c r="U4" s="3292"/>
      <c r="V4" s="3297" t="s">
        <v>2648</v>
      </c>
      <c r="W4" s="3297"/>
      <c r="X4" s="1816"/>
      <c r="Y4" s="3291" t="s">
        <v>2650</v>
      </c>
      <c r="Z4" s="3292"/>
      <c r="AA4" s="3278" t="s">
        <v>2646</v>
      </c>
      <c r="AB4" s="3279" t="s">
        <v>2647</v>
      </c>
      <c r="AC4" s="3278" t="s">
        <v>2648</v>
      </c>
    </row>
    <row r="5" spans="1:29" ht="15">
      <c r="A5" s="404"/>
      <c r="B5" s="405"/>
      <c r="C5" s="3300" t="s">
        <v>2541</v>
      </c>
      <c r="D5" s="3301"/>
      <c r="E5" s="3307" t="s">
        <v>2542</v>
      </c>
      <c r="F5" s="3308"/>
      <c r="G5" s="3300" t="s">
        <v>2543</v>
      </c>
      <c r="H5" s="3301"/>
      <c r="I5" s="3300" t="s">
        <v>2544</v>
      </c>
      <c r="J5" s="3301"/>
      <c r="K5" s="610"/>
      <c r="L5" s="1133"/>
      <c r="M5" s="1134"/>
      <c r="N5" s="1134"/>
      <c r="O5" s="1134"/>
      <c r="P5" s="3287"/>
      <c r="Q5" s="3288"/>
      <c r="R5" s="3293"/>
      <c r="S5" s="3294"/>
      <c r="T5" s="3293"/>
      <c r="U5" s="3294"/>
      <c r="V5" s="3297"/>
      <c r="W5" s="3297"/>
      <c r="X5" s="1816"/>
      <c r="Y5" s="3293"/>
      <c r="Z5" s="3294"/>
      <c r="AA5" s="3279"/>
      <c r="AB5" s="3279"/>
      <c r="AC5" s="3279"/>
    </row>
    <row r="6" spans="1:29" ht="15.75" thickBot="1">
      <c r="A6" s="406"/>
      <c r="B6" s="407"/>
      <c r="C6" s="3298" t="s">
        <v>2545</v>
      </c>
      <c r="D6" s="3299"/>
      <c r="E6" s="3305" t="s">
        <v>2545</v>
      </c>
      <c r="F6" s="3306"/>
      <c r="G6" s="3298" t="s">
        <v>2545</v>
      </c>
      <c r="H6" s="3299"/>
      <c r="I6" s="3298" t="s">
        <v>2545</v>
      </c>
      <c r="J6" s="3299"/>
      <c r="K6" s="610" t="s">
        <v>2546</v>
      </c>
      <c r="L6" s="1133"/>
      <c r="M6" s="1134"/>
      <c r="N6" s="1134"/>
      <c r="O6" s="1134"/>
      <c r="P6" s="3289"/>
      <c r="Q6" s="3290"/>
      <c r="R6" s="3293"/>
      <c r="S6" s="3294"/>
      <c r="T6" s="3295"/>
      <c r="U6" s="3296"/>
      <c r="V6" s="3297"/>
      <c r="W6" s="3297"/>
      <c r="X6" s="1816"/>
      <c r="Y6" s="3295"/>
      <c r="Z6" s="3296"/>
      <c r="AA6" s="3280"/>
      <c r="AB6" s="3280"/>
      <c r="AC6" s="3280"/>
    </row>
    <row r="7" spans="1:29" s="117" customFormat="1" ht="15.75" thickBot="1">
      <c r="A7" s="408" t="s">
        <v>2547</v>
      </c>
      <c r="B7" s="409"/>
      <c r="C7" s="410">
        <f>'数据-取费表'!B2</f>
        <v>43598</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302" t="s">
        <v>2548</v>
      </c>
      <c r="Q7" s="3304"/>
      <c r="R7" s="770" t="s">
        <v>17</v>
      </c>
      <c r="S7" s="771">
        <f t="shared" ref="S7:S14" si="0">F7</f>
        <v>0</v>
      </c>
      <c r="T7" s="770" t="s">
        <v>17</v>
      </c>
      <c r="U7" s="771">
        <f t="shared" ref="U7:U14" si="1">H7</f>
        <v>0</v>
      </c>
      <c r="V7" s="770" t="s">
        <v>17</v>
      </c>
      <c r="W7" s="771">
        <f t="shared" ref="W7:W14" si="2">J7</f>
        <v>0</v>
      </c>
      <c r="X7" s="772"/>
      <c r="Y7" s="3302" t="s">
        <v>2548</v>
      </c>
      <c r="Z7" s="3303"/>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302" t="s">
        <v>2551</v>
      </c>
      <c r="Q8" s="3303"/>
      <c r="R8" s="770" t="s">
        <v>17</v>
      </c>
      <c r="S8" s="771">
        <f t="shared" si="0"/>
        <v>0</v>
      </c>
      <c r="T8" s="770" t="s">
        <v>17</v>
      </c>
      <c r="U8" s="771">
        <f t="shared" si="1"/>
        <v>0</v>
      </c>
      <c r="V8" s="770" t="s">
        <v>17</v>
      </c>
      <c r="W8" s="771">
        <f t="shared" si="2"/>
        <v>0</v>
      </c>
      <c r="X8" s="772"/>
      <c r="Y8" s="3302" t="s">
        <v>2551</v>
      </c>
      <c r="Z8" s="3303"/>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66" t="s">
        <v>2554</v>
      </c>
      <c r="Q9" s="1798" t="str">
        <f t="shared" ref="Q9:Q14" si="6">B9</f>
        <v>用途</v>
      </c>
      <c r="R9" s="770" t="s">
        <v>17</v>
      </c>
      <c r="S9" s="771">
        <f t="shared" si="0"/>
        <v>100</v>
      </c>
      <c r="T9" s="770" t="s">
        <v>17</v>
      </c>
      <c r="U9" s="771">
        <f t="shared" si="1"/>
        <v>100</v>
      </c>
      <c r="V9" s="770" t="s">
        <v>17</v>
      </c>
      <c r="W9" s="771">
        <f t="shared" si="2"/>
        <v>100</v>
      </c>
      <c r="X9" s="772"/>
      <c r="Y9" s="3080"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66"/>
      <c r="Q10" s="1798" t="str">
        <f t="shared" si="6"/>
        <v>土地使用年限（年）</v>
      </c>
      <c r="R10" s="770" t="s">
        <v>17</v>
      </c>
      <c r="S10" s="771">
        <f t="shared" si="0"/>
        <v>100</v>
      </c>
      <c r="T10" s="770" t="s">
        <v>17</v>
      </c>
      <c r="U10" s="771">
        <f t="shared" si="1"/>
        <v>100</v>
      </c>
      <c r="V10" s="770" t="s">
        <v>17</v>
      </c>
      <c r="W10" s="771">
        <f t="shared" si="2"/>
        <v>100</v>
      </c>
      <c r="X10" s="772"/>
      <c r="Y10" s="3080"/>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66"/>
      <c r="Q11" s="1798">
        <f t="shared" si="6"/>
        <v>111</v>
      </c>
      <c r="R11" s="770" t="s">
        <v>17</v>
      </c>
      <c r="S11" s="771">
        <f t="shared" si="0"/>
        <v>100</v>
      </c>
      <c r="T11" s="770" t="s">
        <v>17</v>
      </c>
      <c r="U11" s="771">
        <f t="shared" si="1"/>
        <v>100</v>
      </c>
      <c r="V11" s="770" t="s">
        <v>17</v>
      </c>
      <c r="W11" s="771">
        <f t="shared" si="2"/>
        <v>100</v>
      </c>
      <c r="X11" s="772"/>
      <c r="Y11" s="3080"/>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66"/>
      <c r="Q12" s="1798">
        <f t="shared" si="6"/>
        <v>111</v>
      </c>
      <c r="R12" s="770" t="s">
        <v>17</v>
      </c>
      <c r="S12" s="771">
        <f t="shared" si="0"/>
        <v>100</v>
      </c>
      <c r="T12" s="770" t="s">
        <v>17</v>
      </c>
      <c r="U12" s="771">
        <f t="shared" si="1"/>
        <v>100</v>
      </c>
      <c r="V12" s="770" t="s">
        <v>17</v>
      </c>
      <c r="W12" s="771">
        <f t="shared" si="2"/>
        <v>100</v>
      </c>
      <c r="X12" s="772"/>
      <c r="Y12" s="3080"/>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266"/>
      <c r="Q13" s="1798">
        <f t="shared" si="6"/>
        <v>111</v>
      </c>
      <c r="R13" s="770" t="s">
        <v>17</v>
      </c>
      <c r="S13" s="771">
        <f t="shared" si="0"/>
        <v>100</v>
      </c>
      <c r="T13" s="770" t="s">
        <v>17</v>
      </c>
      <c r="U13" s="771">
        <f t="shared" si="1"/>
        <v>100</v>
      </c>
      <c r="V13" s="770" t="s">
        <v>17</v>
      </c>
      <c r="W13" s="771">
        <f t="shared" si="2"/>
        <v>100</v>
      </c>
      <c r="X13" s="772"/>
      <c r="Y13" s="3080"/>
      <c r="Z13" s="55">
        <f t="shared" si="7"/>
        <v>111</v>
      </c>
      <c r="AA13" s="773">
        <f t="shared" si="3"/>
        <v>1</v>
      </c>
      <c r="AB13" s="773">
        <f t="shared" si="4"/>
        <v>1</v>
      </c>
      <c r="AC13" s="773">
        <f t="shared" si="5"/>
        <v>1</v>
      </c>
    </row>
    <row r="14" spans="1:29" ht="85.5">
      <c r="A14" s="440" t="s">
        <v>2558</v>
      </c>
      <c r="B14" s="69" t="s">
        <v>2708</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68" t="s">
        <v>2559</v>
      </c>
      <c r="Q14" s="1813" t="str">
        <f t="shared" si="6"/>
        <v>交通便捷度</v>
      </c>
      <c r="R14" s="774" t="s">
        <v>17</v>
      </c>
      <c r="S14" s="775">
        <f t="shared" si="0"/>
        <v>100</v>
      </c>
      <c r="T14" s="774" t="s">
        <v>17</v>
      </c>
      <c r="U14" s="775">
        <f t="shared" si="1"/>
        <v>100</v>
      </c>
      <c r="V14" s="774" t="s">
        <v>17</v>
      </c>
      <c r="W14" s="775">
        <f t="shared" si="2"/>
        <v>100</v>
      </c>
      <c r="X14" s="1816"/>
      <c r="Y14" s="3268" t="s">
        <v>2559</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69"/>
      <c r="Q15" s="1813"/>
      <c r="R15" s="774"/>
      <c r="S15" s="775"/>
      <c r="T15" s="774"/>
      <c r="U15" s="775"/>
      <c r="V15" s="774"/>
      <c r="W15" s="775"/>
      <c r="X15" s="1816"/>
      <c r="Y15" s="3269"/>
      <c r="Z15" s="1817"/>
      <c r="AA15" s="1814">
        <v>1</v>
      </c>
      <c r="AB15" s="1814">
        <v>1</v>
      </c>
      <c r="AC15" s="1814">
        <v>1</v>
      </c>
    </row>
    <row r="16" spans="1:29" ht="42.75">
      <c r="A16" s="428"/>
      <c r="B16" s="451" t="s">
        <v>2687</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69"/>
      <c r="Q16" s="1813" t="str">
        <f>B16</f>
        <v>公共配套设施</v>
      </c>
      <c r="R16" s="774" t="s">
        <v>17</v>
      </c>
      <c r="S16" s="775">
        <f>F16</f>
        <v>100</v>
      </c>
      <c r="T16" s="774" t="s">
        <v>17</v>
      </c>
      <c r="U16" s="775">
        <f>H16</f>
        <v>100</v>
      </c>
      <c r="V16" s="774" t="s">
        <v>17</v>
      </c>
      <c r="W16" s="775">
        <f>J16</f>
        <v>100</v>
      </c>
      <c r="X16" s="1816"/>
      <c r="Y16" s="3269"/>
      <c r="Z16" s="1817" t="str">
        <f>Q16</f>
        <v>公共配套设施</v>
      </c>
      <c r="AA16" s="1814">
        <f t="shared" si="3"/>
        <v>1</v>
      </c>
      <c r="AB16" s="1814">
        <f t="shared" si="4"/>
        <v>1</v>
      </c>
      <c r="AC16" s="1814">
        <f t="shared" si="5"/>
        <v>1</v>
      </c>
    </row>
    <row r="17" spans="1:29" ht="15">
      <c r="A17" s="428"/>
      <c r="B17" s="456"/>
      <c r="C17" s="2613"/>
      <c r="D17" s="448"/>
      <c r="E17" s="447"/>
      <c r="F17" s="449"/>
      <c r="G17" s="447"/>
      <c r="H17" s="448"/>
      <c r="I17" s="447"/>
      <c r="J17" s="448"/>
      <c r="K17" s="615"/>
      <c r="L17" s="1143"/>
      <c r="M17" s="1134"/>
      <c r="N17" s="1134"/>
      <c r="O17" s="1142"/>
      <c r="P17" s="3269"/>
      <c r="Q17" s="1813"/>
      <c r="R17" s="774"/>
      <c r="S17" s="775"/>
      <c r="T17" s="774"/>
      <c r="U17" s="775"/>
      <c r="V17" s="774"/>
      <c r="W17" s="775"/>
      <c r="X17" s="1816"/>
      <c r="Y17" s="3269"/>
      <c r="Z17" s="1817"/>
      <c r="AA17" s="1814">
        <v>1</v>
      </c>
      <c r="AB17" s="1814">
        <v>1</v>
      </c>
      <c r="AC17" s="1814">
        <v>1</v>
      </c>
    </row>
    <row r="18" spans="1:29" ht="28.5">
      <c r="A18" s="428"/>
      <c r="B18" s="1387" t="s">
        <v>2688</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69"/>
      <c r="Q18" s="1813" t="str">
        <f>B18</f>
        <v>基础设施水平</v>
      </c>
      <c r="R18" s="774" t="s">
        <v>17</v>
      </c>
      <c r="S18" s="775">
        <f>F18</f>
        <v>100</v>
      </c>
      <c r="T18" s="774" t="s">
        <v>17</v>
      </c>
      <c r="U18" s="775">
        <f>H18</f>
        <v>100</v>
      </c>
      <c r="V18" s="774" t="s">
        <v>17</v>
      </c>
      <c r="W18" s="775">
        <f>J18</f>
        <v>100</v>
      </c>
      <c r="X18" s="1816"/>
      <c r="Y18" s="3269"/>
      <c r="Z18" s="1817" t="str">
        <f>Q18</f>
        <v>基础设施水平</v>
      </c>
      <c r="AA18" s="1814">
        <f t="shared" ref="AA18" si="8">D18/F18</f>
        <v>1</v>
      </c>
      <c r="AB18" s="1814">
        <f t="shared" ref="AB18" si="9">D18/H18</f>
        <v>1</v>
      </c>
      <c r="AC18" s="1814">
        <f t="shared" ref="AC18" si="10">D18/J18</f>
        <v>1</v>
      </c>
    </row>
    <row r="19" spans="1:29" ht="15">
      <c r="A19" s="428"/>
      <c r="B19" s="1387"/>
      <c r="C19" s="2613"/>
      <c r="D19" s="450"/>
      <c r="E19" s="2613"/>
      <c r="F19" s="453"/>
      <c r="G19" s="2613"/>
      <c r="H19" s="448"/>
      <c r="I19" s="447"/>
      <c r="J19" s="448"/>
      <c r="K19" s="1386"/>
      <c r="L19" s="1143"/>
      <c r="M19" s="1134"/>
      <c r="N19" s="1134"/>
      <c r="O19" s="1142"/>
      <c r="P19" s="3269"/>
      <c r="Q19" s="1813"/>
      <c r="R19" s="774"/>
      <c r="S19" s="775"/>
      <c r="T19" s="774"/>
      <c r="U19" s="775"/>
      <c r="V19" s="774"/>
      <c r="W19" s="775"/>
      <c r="X19" s="1816"/>
      <c r="Y19" s="3269"/>
      <c r="Z19" s="1817"/>
      <c r="AA19" s="1814">
        <v>1</v>
      </c>
      <c r="AB19" s="1814">
        <v>1</v>
      </c>
      <c r="AC19" s="1814">
        <v>1</v>
      </c>
    </row>
    <row r="20" spans="1:29" ht="57">
      <c r="A20" s="428"/>
      <c r="B20" s="451" t="s">
        <v>2709</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69"/>
      <c r="Q20" s="1813" t="str">
        <f>B20</f>
        <v>自然及人文环境</v>
      </c>
      <c r="R20" s="774" t="s">
        <v>17</v>
      </c>
      <c r="S20" s="775">
        <f>F20</f>
        <v>100</v>
      </c>
      <c r="T20" s="774" t="s">
        <v>17</v>
      </c>
      <c r="U20" s="775">
        <f>H20</f>
        <v>100</v>
      </c>
      <c r="V20" s="774" t="s">
        <v>17</v>
      </c>
      <c r="W20" s="775">
        <f>J20</f>
        <v>100</v>
      </c>
      <c r="X20" s="1816"/>
      <c r="Y20" s="3269"/>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69"/>
      <c r="Q21" s="1813"/>
      <c r="R21" s="774"/>
      <c r="S21" s="775"/>
      <c r="T21" s="774"/>
      <c r="U21" s="775"/>
      <c r="V21" s="774"/>
      <c r="W21" s="775"/>
      <c r="X21" s="1816"/>
      <c r="Y21" s="3269"/>
      <c r="Z21" s="1817"/>
      <c r="AA21" s="1814">
        <v>1</v>
      </c>
      <c r="AB21" s="1814">
        <v>1</v>
      </c>
      <c r="AC21" s="1814">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69"/>
      <c r="Q22" s="1813" t="str">
        <f>B22</f>
        <v>楼层</v>
      </c>
      <c r="R22" s="774" t="s">
        <v>17</v>
      </c>
      <c r="S22" s="775">
        <f>F22</f>
        <v>100</v>
      </c>
      <c r="T22" s="774" t="s">
        <v>17</v>
      </c>
      <c r="U22" s="775">
        <f>H22</f>
        <v>100</v>
      </c>
      <c r="V22" s="774" t="s">
        <v>17</v>
      </c>
      <c r="W22" s="775">
        <f>J22</f>
        <v>100</v>
      </c>
      <c r="X22" s="1816"/>
      <c r="Y22" s="3269"/>
      <c r="Z22" s="1817" t="str">
        <f>Q22</f>
        <v>楼层</v>
      </c>
      <c r="AA22" s="1814">
        <f t="shared" si="3"/>
        <v>1</v>
      </c>
      <c r="AB22" s="1814">
        <f t="shared" si="4"/>
        <v>1</v>
      </c>
      <c r="AC22" s="1814">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69"/>
      <c r="Q23" s="1813">
        <f>B23</f>
        <v>111</v>
      </c>
      <c r="R23" s="774" t="s">
        <v>17</v>
      </c>
      <c r="S23" s="775">
        <f>F23</f>
        <v>100</v>
      </c>
      <c r="T23" s="774" t="s">
        <v>17</v>
      </c>
      <c r="U23" s="775">
        <f>H23</f>
        <v>100</v>
      </c>
      <c r="V23" s="774" t="s">
        <v>17</v>
      </c>
      <c r="W23" s="775">
        <f>J23</f>
        <v>100</v>
      </c>
      <c r="X23" s="1816"/>
      <c r="Y23" s="3269"/>
      <c r="Z23" s="1817">
        <f>Q23</f>
        <v>111</v>
      </c>
      <c r="AA23" s="1814">
        <f t="shared" si="3"/>
        <v>1</v>
      </c>
      <c r="AB23" s="1814">
        <f t="shared" si="4"/>
        <v>1</v>
      </c>
      <c r="AC23" s="1814">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69"/>
      <c r="Q24" s="1813">
        <f t="shared" ref="Q24:Q34" si="11">B24</f>
        <v>111</v>
      </c>
      <c r="R24" s="774" t="s">
        <v>17</v>
      </c>
      <c r="S24" s="775">
        <f>F24</f>
        <v>100</v>
      </c>
      <c r="T24" s="774" t="s">
        <v>17</v>
      </c>
      <c r="U24" s="775">
        <f>H24</f>
        <v>100</v>
      </c>
      <c r="V24" s="774" t="s">
        <v>17</v>
      </c>
      <c r="W24" s="775">
        <f>J24</f>
        <v>100</v>
      </c>
      <c r="X24" s="1816"/>
      <c r="Y24" s="3269"/>
      <c r="Z24" s="1817">
        <f>Q24</f>
        <v>111</v>
      </c>
      <c r="AA24" s="1814">
        <f t="shared" si="3"/>
        <v>1</v>
      </c>
      <c r="AB24" s="1814">
        <f t="shared" si="4"/>
        <v>1</v>
      </c>
      <c r="AC24" s="1814">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269"/>
      <c r="Q25" s="1798">
        <f t="shared" si="11"/>
        <v>111</v>
      </c>
      <c r="R25" s="770" t="s">
        <v>17</v>
      </c>
      <c r="S25" s="771">
        <f>F25</f>
        <v>100</v>
      </c>
      <c r="T25" s="770" t="s">
        <v>17</v>
      </c>
      <c r="U25" s="771">
        <f>H25</f>
        <v>100</v>
      </c>
      <c r="V25" s="770" t="s">
        <v>17</v>
      </c>
      <c r="W25" s="771">
        <f>J25</f>
        <v>100</v>
      </c>
      <c r="X25" s="772"/>
      <c r="Y25" s="3269"/>
      <c r="Z25" s="55">
        <f>Q25</f>
        <v>111</v>
      </c>
      <c r="AA25" s="1814">
        <f>D25/F25</f>
        <v>1</v>
      </c>
      <c r="AB25" s="1814">
        <f>D25/H25</f>
        <v>1</v>
      </c>
      <c r="AC25" s="1814">
        <f>D25/J25</f>
        <v>1</v>
      </c>
    </row>
    <row r="26" spans="1:29" ht="28.5">
      <c r="A26" s="466" t="s">
        <v>2562</v>
      </c>
      <c r="B26" s="71" t="s">
        <v>2713</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324" t="s">
        <v>2564</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73" t="s">
        <v>2564</v>
      </c>
      <c r="Z26" s="1817" t="str">
        <f t="shared" ref="Z26:Z34" si="15">Q26</f>
        <v>公共部分装修</v>
      </c>
      <c r="AA26" s="1814">
        <f t="shared" si="3"/>
        <v>1</v>
      </c>
      <c r="AB26" s="1814">
        <f t="shared" si="4"/>
        <v>1</v>
      </c>
      <c r="AC26" s="1814">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73"/>
      <c r="Q27" s="776" t="str">
        <f t="shared" si="11"/>
        <v>成新率</v>
      </c>
      <c r="R27" s="777" t="s">
        <v>17</v>
      </c>
      <c r="S27" s="778" t="e">
        <f t="shared" si="12"/>
        <v>#N/A</v>
      </c>
      <c r="T27" s="777" t="s">
        <v>17</v>
      </c>
      <c r="U27" s="778" t="e">
        <f t="shared" si="13"/>
        <v>#N/A</v>
      </c>
      <c r="V27" s="777" t="s">
        <v>17</v>
      </c>
      <c r="W27" s="778" t="e">
        <f t="shared" si="14"/>
        <v>#N/A</v>
      </c>
      <c r="X27" s="779"/>
      <c r="Y27" s="3273"/>
      <c r="Z27" s="780" t="str">
        <f t="shared" si="15"/>
        <v>成新率</v>
      </c>
      <c r="AA27" s="1814" t="e">
        <f t="shared" si="3"/>
        <v>#N/A</v>
      </c>
      <c r="AB27" s="1814" t="e">
        <f t="shared" si="4"/>
        <v>#N/A</v>
      </c>
      <c r="AC27" s="1814"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73"/>
      <c r="Q28" s="1813" t="str">
        <f t="shared" si="11"/>
        <v>物业等级</v>
      </c>
      <c r="R28" s="774" t="s">
        <v>17</v>
      </c>
      <c r="S28" s="775">
        <f t="shared" si="12"/>
        <v>100</v>
      </c>
      <c r="T28" s="774" t="s">
        <v>17</v>
      </c>
      <c r="U28" s="775">
        <f t="shared" si="13"/>
        <v>100</v>
      </c>
      <c r="V28" s="774" t="s">
        <v>17</v>
      </c>
      <c r="W28" s="775">
        <f t="shared" si="14"/>
        <v>100</v>
      </c>
      <c r="X28" s="1816"/>
      <c r="Y28" s="3273"/>
      <c r="Z28" s="1817" t="str">
        <f t="shared" si="15"/>
        <v>物业等级</v>
      </c>
      <c r="AA28" s="1814">
        <f t="shared" si="3"/>
        <v>1</v>
      </c>
      <c r="AB28" s="1814">
        <f t="shared" si="4"/>
        <v>1</v>
      </c>
      <c r="AC28" s="1814">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73"/>
      <c r="Q29" s="1813" t="str">
        <f t="shared" si="11"/>
        <v>有无电梯</v>
      </c>
      <c r="R29" s="774" t="s">
        <v>17</v>
      </c>
      <c r="S29" s="775">
        <f t="shared" si="12"/>
        <v>100</v>
      </c>
      <c r="T29" s="774" t="s">
        <v>17</v>
      </c>
      <c r="U29" s="775">
        <f t="shared" si="13"/>
        <v>100</v>
      </c>
      <c r="V29" s="774" t="s">
        <v>17</v>
      </c>
      <c r="W29" s="775">
        <f t="shared" si="14"/>
        <v>100</v>
      </c>
      <c r="X29" s="1816"/>
      <c r="Y29" s="3273"/>
      <c r="Z29" s="1817" t="str">
        <f t="shared" si="15"/>
        <v>有无电梯</v>
      </c>
      <c r="AA29" s="1814">
        <f t="shared" si="3"/>
        <v>1</v>
      </c>
      <c r="AB29" s="1814">
        <f t="shared" si="4"/>
        <v>1</v>
      </c>
      <c r="AC29" s="1814">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73"/>
      <c r="Q30" s="1813" t="str">
        <f t="shared" si="11"/>
        <v>建筑面积</v>
      </c>
      <c r="R30" s="774" t="s">
        <v>17</v>
      </c>
      <c r="S30" s="775" t="e">
        <f t="shared" si="12"/>
        <v>#N/A</v>
      </c>
      <c r="T30" s="774" t="s">
        <v>17</v>
      </c>
      <c r="U30" s="775" t="e">
        <f t="shared" si="13"/>
        <v>#N/A</v>
      </c>
      <c r="V30" s="774" t="s">
        <v>17</v>
      </c>
      <c r="W30" s="775" t="e">
        <f t="shared" si="14"/>
        <v>#N/A</v>
      </c>
      <c r="X30" s="1816"/>
      <c r="Y30" s="3273"/>
      <c r="Z30" s="1817" t="str">
        <f t="shared" si="15"/>
        <v>建筑面积</v>
      </c>
      <c r="AA30" s="1814" t="e">
        <f t="shared" si="3"/>
        <v>#N/A</v>
      </c>
      <c r="AB30" s="1814" t="e">
        <f t="shared" si="4"/>
        <v>#N/A</v>
      </c>
      <c r="AC30" s="1814"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73"/>
      <c r="Q31" s="1798" t="str">
        <f t="shared" si="11"/>
        <v>是否封闭</v>
      </c>
      <c r="R31" s="770" t="s">
        <v>17</v>
      </c>
      <c r="S31" s="771">
        <f t="shared" si="12"/>
        <v>100</v>
      </c>
      <c r="T31" s="770" t="s">
        <v>17</v>
      </c>
      <c r="U31" s="771">
        <f t="shared" si="13"/>
        <v>100</v>
      </c>
      <c r="V31" s="770" t="s">
        <v>17</v>
      </c>
      <c r="W31" s="771">
        <f t="shared" si="14"/>
        <v>100</v>
      </c>
      <c r="X31" s="772"/>
      <c r="Y31" s="3273"/>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73" t="s">
        <v>2564</v>
      </c>
      <c r="Q32" s="1813">
        <f t="shared" si="11"/>
        <v>111</v>
      </c>
      <c r="R32" s="774" t="s">
        <v>17</v>
      </c>
      <c r="S32" s="775">
        <f t="shared" si="12"/>
        <v>100</v>
      </c>
      <c r="T32" s="774" t="s">
        <v>17</v>
      </c>
      <c r="U32" s="775">
        <f t="shared" si="13"/>
        <v>100</v>
      </c>
      <c r="V32" s="774" t="s">
        <v>17</v>
      </c>
      <c r="W32" s="775">
        <f t="shared" si="14"/>
        <v>100</v>
      </c>
      <c r="X32" s="1816"/>
      <c r="Y32" s="3273" t="s">
        <v>2564</v>
      </c>
      <c r="Z32" s="1817">
        <f t="shared" si="15"/>
        <v>111</v>
      </c>
      <c r="AA32" s="1814">
        <f t="shared" si="3"/>
        <v>1</v>
      </c>
      <c r="AB32" s="1814">
        <f t="shared" si="4"/>
        <v>1</v>
      </c>
      <c r="AC32" s="1814">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73"/>
      <c r="Q33" s="1813">
        <f t="shared" si="11"/>
        <v>111</v>
      </c>
      <c r="R33" s="774" t="s">
        <v>17</v>
      </c>
      <c r="S33" s="775">
        <f t="shared" si="12"/>
        <v>100</v>
      </c>
      <c r="T33" s="774" t="s">
        <v>17</v>
      </c>
      <c r="U33" s="775">
        <f t="shared" si="13"/>
        <v>100</v>
      </c>
      <c r="V33" s="774" t="s">
        <v>17</v>
      </c>
      <c r="W33" s="775">
        <f t="shared" si="14"/>
        <v>100</v>
      </c>
      <c r="X33" s="1816"/>
      <c r="Y33" s="3273"/>
      <c r="Z33" s="1817">
        <f t="shared" si="15"/>
        <v>111</v>
      </c>
      <c r="AA33" s="1814">
        <f t="shared" si="3"/>
        <v>1</v>
      </c>
      <c r="AB33" s="1814">
        <f t="shared" si="4"/>
        <v>1</v>
      </c>
      <c r="AC33" s="1814">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273"/>
      <c r="Q34" s="1813">
        <f t="shared" si="11"/>
        <v>111</v>
      </c>
      <c r="R34" s="774" t="s">
        <v>17</v>
      </c>
      <c r="S34" s="775">
        <f t="shared" si="12"/>
        <v>100</v>
      </c>
      <c r="T34" s="774" t="s">
        <v>17</v>
      </c>
      <c r="U34" s="775">
        <f t="shared" si="13"/>
        <v>100</v>
      </c>
      <c r="V34" s="774" t="s">
        <v>17</v>
      </c>
      <c r="W34" s="775">
        <f t="shared" si="14"/>
        <v>100</v>
      </c>
      <c r="X34" s="1816"/>
      <c r="Y34" s="3273"/>
      <c r="Z34" s="1817">
        <f t="shared" si="15"/>
        <v>111</v>
      </c>
      <c r="AA34" s="1814">
        <f t="shared" si="3"/>
        <v>1</v>
      </c>
      <c r="AB34" s="1814">
        <f t="shared" si="4"/>
        <v>1</v>
      </c>
      <c r="AC34" s="1814">
        <f t="shared" si="5"/>
        <v>1</v>
      </c>
    </row>
    <row r="35" spans="1:29" ht="15">
      <c r="A35" s="479" t="s">
        <v>2576</v>
      </c>
      <c r="B35" s="480"/>
      <c r="C35" s="1410" t="s">
        <v>1</v>
      </c>
      <c r="D35" s="1411"/>
      <c r="E35" s="1412"/>
      <c r="F35" s="1413"/>
      <c r="G35" s="1414"/>
      <c r="H35" s="1415"/>
      <c r="I35" s="1412"/>
      <c r="J35" s="1415"/>
      <c r="K35" s="783"/>
      <c r="L35" s="1146"/>
      <c r="M35" s="1147"/>
      <c r="N35" s="1134"/>
      <c r="O35" s="1147"/>
      <c r="P35" s="3266" t="str">
        <f>A35</f>
        <v>成交单价（元/平方米）</v>
      </c>
      <c r="Q35" s="3266"/>
      <c r="R35" s="3267">
        <f>E35</f>
        <v>0</v>
      </c>
      <c r="S35" s="3267"/>
      <c r="T35" s="3267">
        <f>G35</f>
        <v>0</v>
      </c>
      <c r="U35" s="3267"/>
      <c r="V35" s="3267">
        <f>I35</f>
        <v>0</v>
      </c>
      <c r="W35" s="3267"/>
      <c r="X35" s="759"/>
      <c r="Y35" s="781"/>
      <c r="Z35" s="759"/>
      <c r="AA35" s="759"/>
      <c r="AB35" s="759"/>
      <c r="AC35" s="759"/>
    </row>
    <row r="36" spans="1:29" ht="15.75" thickBot="1">
      <c r="A36" s="486" t="s">
        <v>2668</v>
      </c>
      <c r="B36" s="487"/>
      <c r="C36" s="1416" t="e">
        <f>R37</f>
        <v>#DIV/0!</v>
      </c>
      <c r="D36" s="1417"/>
      <c r="E36" s="1418" t="e">
        <f>R36</f>
        <v>#DIV/0!</v>
      </c>
      <c r="F36" s="1418"/>
      <c r="G36" s="1416" t="e">
        <f>T36</f>
        <v>#DIV/0!</v>
      </c>
      <c r="H36" s="1417"/>
      <c r="I36" s="1418" t="e">
        <f>V36</f>
        <v>#DIV/0!</v>
      </c>
      <c r="J36" s="1417"/>
      <c r="K36" s="784"/>
      <c r="L36" s="1146"/>
      <c r="M36" s="1147"/>
      <c r="N36" s="1134"/>
      <c r="O36" s="1147"/>
      <c r="P36" s="3266" t="str">
        <f>A36</f>
        <v>比较价值（元/平方米）</v>
      </c>
      <c r="Q36" s="3266"/>
      <c r="R36" s="3267" t="e">
        <f>IF(F1="售价",ROUND(PRODUCT(R35,AA7:AA34),0),ROUND(PRODUCT(R35,AA7:AA34),1))</f>
        <v>#DIV/0!</v>
      </c>
      <c r="S36" s="3267"/>
      <c r="T36" s="3267" t="e">
        <f>IF(F1="售价",ROUND(PRODUCT(T35,AB7:AB34),0),ROUND(PRODUCT(T35,AB7:AB34),1))</f>
        <v>#DIV/0!</v>
      </c>
      <c r="U36" s="3267"/>
      <c r="V36" s="3267" t="e">
        <f>IF(F1="售价",ROUND(PRODUCT(V35,AC7:AC34),0),ROUND(PRODUCT(V35,AC7:AC34),1))</f>
        <v>#DIV/0!</v>
      </c>
      <c r="W36" s="3267"/>
      <c r="X36" s="759"/>
      <c r="Y36" s="759"/>
      <c r="Z36" s="759"/>
      <c r="AA36" s="759"/>
      <c r="AB36" s="759"/>
      <c r="AC36" s="759"/>
    </row>
    <row r="37" spans="1:29" ht="15.75" thickBot="1">
      <c r="A37" s="492" t="s">
        <v>2669</v>
      </c>
      <c r="B37" s="493"/>
      <c r="C37" s="1420" t="e">
        <f>R37</f>
        <v>#DIV/0!</v>
      </c>
      <c r="D37" s="1420"/>
      <c r="E37" s="1420"/>
      <c r="F37" s="1420"/>
      <c r="G37" s="1420"/>
      <c r="H37" s="1420"/>
      <c r="I37" s="1420"/>
      <c r="J37" s="1420"/>
      <c r="K37" s="785"/>
      <c r="L37" s="1146"/>
      <c r="M37" s="1147"/>
      <c r="N37" s="1147"/>
      <c r="O37" s="1147"/>
      <c r="P37" s="3263" t="str">
        <f>A37</f>
        <v>估价对象XX用房的比较价值（楼面单价，元/平方米）</v>
      </c>
      <c r="Q37" s="3264"/>
      <c r="R37" s="3265" t="e">
        <f>IF(F1="售价",ROUND(AVERAGE(R36:V36),0),ROUND(AVERAGE(R36:V36),1))</f>
        <v>#DIV/0!</v>
      </c>
      <c r="S37" s="3265"/>
      <c r="T37" s="3265"/>
      <c r="U37" s="3265"/>
      <c r="V37" s="3265"/>
      <c r="W37" s="3265"/>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7" t="str">
        <f>YEAR(C7)&amp;"-"&amp;MONTH(C7)</f>
        <v>2019-5</v>
      </c>
      <c r="D46" s="1578">
        <f>EDATE(C46,-1)</f>
        <v>43556</v>
      </c>
      <c r="E46" s="1578">
        <f t="shared" ref="E46:O46" si="16">EDATE(D46,-1)</f>
        <v>43525</v>
      </c>
      <c r="F46" s="1578">
        <f t="shared" si="16"/>
        <v>43497</v>
      </c>
      <c r="G46" s="1578">
        <f t="shared" si="16"/>
        <v>43466</v>
      </c>
      <c r="H46" s="1578">
        <f t="shared" si="16"/>
        <v>43435</v>
      </c>
      <c r="I46" s="1578">
        <f t="shared" si="16"/>
        <v>43405</v>
      </c>
      <c r="J46" s="1578">
        <f t="shared" si="16"/>
        <v>43374</v>
      </c>
      <c r="K46" s="1578">
        <f t="shared" si="16"/>
        <v>43344</v>
      </c>
      <c r="L46" s="1578">
        <f t="shared" si="16"/>
        <v>43313</v>
      </c>
      <c r="M46" s="1578">
        <f t="shared" si="16"/>
        <v>43282</v>
      </c>
      <c r="N46" s="1578">
        <f t="shared" si="16"/>
        <v>43252</v>
      </c>
      <c r="O46" s="1578">
        <f t="shared" si="16"/>
        <v>43221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2587</v>
      </c>
      <c r="B51" s="528" t="s">
        <v>2553</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2728</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2562</v>
      </c>
      <c r="B77" s="528" t="s">
        <v>2615</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2732</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2740</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2742</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1" sqref="C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v>7</v>
      </c>
      <c r="D1" s="1823" t="s">
        <v>70</v>
      </c>
      <c r="E1" s="1824" t="s">
        <v>1383</v>
      </c>
      <c r="F1" s="1286" t="e">
        <f ca="1">J53</f>
        <v>#N/A</v>
      </c>
      <c r="G1" s="1839"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t="e">
        <f ca="1">C40+J29+L46</f>
        <v>#N/A</v>
      </c>
      <c r="C2" s="1848" t="s">
        <v>1512</v>
      </c>
      <c r="D2" s="1848"/>
      <c r="E2" s="1849"/>
      <c r="F2" s="1850"/>
      <c r="G2" s="1851"/>
      <c r="H2" s="1843"/>
      <c r="I2" s="1843"/>
      <c r="J2" s="1843"/>
      <c r="K2" s="1844"/>
      <c r="L2" s="1843"/>
      <c r="M2" s="1843"/>
    </row>
    <row r="3" spans="1:37" ht="18" customHeight="1" thickBot="1">
      <c r="A3" s="1852" t="s">
        <v>1513</v>
      </c>
      <c r="B3" s="1853">
        <f ca="1">IF(ISERROR(B2*10000/F43),0,ROUND(B2*10000/F43,0))</f>
        <v>0</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t="e">
        <f ca="1">C6+C10+C12</f>
        <v>#N/A</v>
      </c>
      <c r="D5" s="1825" t="s">
        <v>1398</v>
      </c>
      <c r="E5" s="1296"/>
      <c r="F5" s="1297"/>
      <c r="G5" s="1854"/>
      <c r="H5" s="344">
        <v>1</v>
      </c>
      <c r="I5" s="345" t="s">
        <v>1397</v>
      </c>
      <c r="J5" s="1295" t="e">
        <f ca="1">J6+J10+J12</f>
        <v>#N/A</v>
      </c>
      <c r="K5" s="1825" t="s">
        <v>1398</v>
      </c>
      <c r="L5" s="1296"/>
      <c r="M5" s="1297"/>
    </row>
    <row r="6" spans="1:37" ht="18" customHeight="1">
      <c r="A6" s="1294" t="s">
        <v>1032</v>
      </c>
      <c r="B6" s="3239" t="s">
        <v>1399</v>
      </c>
      <c r="C6" s="1299" t="e">
        <f ca="1">ROUND(F6*F8*F7*(1-F9)/10000,0)</f>
        <v>#N/A</v>
      </c>
      <c r="D6" s="164" t="s">
        <v>3032</v>
      </c>
      <c r="E6" s="347" t="s">
        <v>1401</v>
      </c>
      <c r="F6" s="348" t="e">
        <f ca="1">INDIRECT("'数据-取费表'!u"&amp;$G$1)</f>
        <v>#N/A</v>
      </c>
      <c r="G6" s="1854"/>
      <c r="H6" s="1294" t="s">
        <v>1032</v>
      </c>
      <c r="I6" s="3239" t="s">
        <v>1399</v>
      </c>
      <c r="J6" s="346" t="e">
        <f ca="1">ROUND(M6*M8*M7*(1-M9)/10000,0)</f>
        <v>#N/A</v>
      </c>
      <c r="K6" s="164" t="s">
        <v>3031</v>
      </c>
      <c r="L6" s="347" t="s">
        <v>1401</v>
      </c>
      <c r="M6" s="348" t="e">
        <f ca="1">INDIRECT("'数据-取费表'!z"&amp;$G$1)</f>
        <v>#N/A</v>
      </c>
    </row>
    <row r="7" spans="1:37" ht="18" customHeight="1">
      <c r="A7" s="1298"/>
      <c r="B7" s="3240"/>
      <c r="C7" s="1300"/>
      <c r="D7" s="352"/>
      <c r="E7" s="2976" t="s">
        <v>1402</v>
      </c>
      <c r="F7" s="348" t="e">
        <f ca="1">IF(INDIRECT("'数据-取费表'!ah"&amp;$G$1)="",INDIRECT("'数据-取费表'!k"&amp;$G$1),INDIRECT("'数据-取费表'!ah"&amp;$G$1))</f>
        <v>#N/A</v>
      </c>
      <c r="G7" s="1854"/>
      <c r="H7" s="349"/>
      <c r="I7" s="3240"/>
      <c r="J7" s="351"/>
      <c r="K7" s="352"/>
      <c r="L7" s="347" t="s">
        <v>1402</v>
      </c>
      <c r="M7" s="348" t="e">
        <f ca="1">F7</f>
        <v>#N/A</v>
      </c>
    </row>
    <row r="8" spans="1:37" ht="18" customHeight="1">
      <c r="A8" s="349"/>
      <c r="B8" s="3240"/>
      <c r="C8" s="351"/>
      <c r="D8" s="352"/>
      <c r="E8" s="347" t="s">
        <v>1403</v>
      </c>
      <c r="F8" s="348" t="e">
        <f ca="1">INDIRECT("'数据-取费表'!ai"&amp;$G$1)</f>
        <v>#N/A</v>
      </c>
      <c r="G8" s="1854"/>
      <c r="H8" s="349"/>
      <c r="I8" s="3240"/>
      <c r="J8" s="351"/>
      <c r="K8" s="352"/>
      <c r="L8" s="347" t="s">
        <v>1403</v>
      </c>
      <c r="M8" s="348" t="e">
        <f ca="1">INDIRECT("'数据-取费表'!ai"&amp;$G$1)</f>
        <v>#N/A</v>
      </c>
    </row>
    <row r="9" spans="1:37" ht="18" customHeight="1">
      <c r="A9" s="349"/>
      <c r="B9" s="3241"/>
      <c r="C9" s="351"/>
      <c r="D9" s="352"/>
      <c r="E9" s="347" t="s">
        <v>1404</v>
      </c>
      <c r="F9" s="357" t="e">
        <f ca="1">INDIRECT("'数据-取费表'!w"&amp;$G$1)</f>
        <v>#N/A</v>
      </c>
      <c r="G9" s="1854"/>
      <c r="H9" s="349"/>
      <c r="I9" s="3241"/>
      <c r="J9" s="351"/>
      <c r="K9" s="352"/>
      <c r="L9" s="358" t="s">
        <v>1404</v>
      </c>
      <c r="M9" s="359" t="e">
        <f ca="1">INDIRECT("'数据-取费表'!ab"&amp;$G$1)</f>
        <v>#N/A</v>
      </c>
    </row>
    <row r="10" spans="1:37" ht="18" customHeight="1">
      <c r="A10" s="1294" t="s">
        <v>1036</v>
      </c>
      <c r="B10" s="1826" t="s">
        <v>1405</v>
      </c>
      <c r="C10" s="361" t="e">
        <f ca="1">ROUND(IF(F10="押一",C6/12*F11,IF(F10="押二",C6/12*2*F11,IF(F10="押三",C6/12*3*F11,C11*F11))),0)</f>
        <v>#N/A</v>
      </c>
      <c r="D10" s="1827" t="s">
        <v>3040</v>
      </c>
      <c r="E10" s="358" t="s">
        <v>1406</v>
      </c>
      <c r="F10" s="1369" t="s">
        <v>3365</v>
      </c>
      <c r="G10" s="1854"/>
      <c r="H10" s="1294" t="s">
        <v>1036</v>
      </c>
      <c r="I10" s="1826" t="s">
        <v>1405</v>
      </c>
      <c r="J10" s="346" t="e">
        <f ca="1">ROUND(IF(M10="押一",J6/12*M11,IF(M10="押二",J6/12*2*M11,IF(M10="押三",J6/12*3*M11,J11*M11))),0)</f>
        <v>#N/A</v>
      </c>
      <c r="K10" s="1827" t="s">
        <v>3040</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t="e">
        <f ca="1">ROUND(C29*F13,0)</f>
        <v>#N/A</v>
      </c>
      <c r="D13" s="1334" t="s">
        <v>1411</v>
      </c>
      <c r="E13" s="1334" t="s">
        <v>1412</v>
      </c>
      <c r="F13" s="1335" t="e">
        <f ca="1">INDIRECT("'数据-取费表'!y"&amp;$G$1)</f>
        <v>#N/A</v>
      </c>
      <c r="G13" s="1854"/>
      <c r="H13" s="1332">
        <v>2</v>
      </c>
      <c r="I13" s="1333" t="s">
        <v>1410</v>
      </c>
      <c r="J13" s="1293" t="e">
        <f ca="1">ROUND(J14*J15,0)</f>
        <v>#N/A</v>
      </c>
      <c r="K13" s="1340" t="s">
        <v>1411</v>
      </c>
      <c r="L13" s="1855"/>
      <c r="M13" s="1856"/>
    </row>
    <row r="14" spans="1:37" ht="18" customHeight="1">
      <c r="A14" s="1204" t="s">
        <v>1031</v>
      </c>
      <c r="B14" s="347" t="s">
        <v>1413</v>
      </c>
      <c r="C14" s="363" t="e">
        <f ca="1">INDIRECT("'数据-取费表'!m"&amp;$G$1)+INDIRECT("'数据-取费表'!t"&amp;$G$1)</f>
        <v>#N/A</v>
      </c>
      <c r="D14" s="2970" t="s">
        <v>1414</v>
      </c>
      <c r="E14" s="2968"/>
      <c r="F14" s="364"/>
      <c r="G14" s="1854"/>
      <c r="H14" s="1204" t="s">
        <v>1032</v>
      </c>
      <c r="I14" s="347" t="s">
        <v>1415</v>
      </c>
      <c r="J14" s="24" t="e">
        <f ca="1">C29</f>
        <v>#N/A</v>
      </c>
      <c r="K14" s="2975"/>
      <c r="L14" s="982"/>
      <c r="M14" s="983"/>
    </row>
    <row r="15" spans="1:37" s="1861" customFormat="1" ht="18" customHeight="1" thickBot="1">
      <c r="A15" s="1204" t="s">
        <v>1033</v>
      </c>
      <c r="B15" s="347" t="s">
        <v>1416</v>
      </c>
      <c r="C15" s="24" t="e">
        <f ca="1">ROUND(C14*F15,0)</f>
        <v>#N/A</v>
      </c>
      <c r="D15" s="365" t="s">
        <v>1417</v>
      </c>
      <c r="E15" s="365" t="s">
        <v>1418</v>
      </c>
      <c r="F15" s="366">
        <f>'数据-取费表'!B33</f>
        <v>0.05</v>
      </c>
      <c r="G15" s="1857"/>
      <c r="H15" s="1342" t="s">
        <v>1036</v>
      </c>
      <c r="I15" s="1343" t="s">
        <v>1412</v>
      </c>
      <c r="J15" s="1352" t="e">
        <f ca="1">INDIRECT("'数据-取费表'!ad"&amp;$G$1)</f>
        <v>#N/A</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t="e">
        <f ca="1">ROUND(INDIRECT("'数据-取费表'!m"&amp;$G$1)*F16,0)</f>
        <v>#N/A</v>
      </c>
      <c r="D16" s="347" t="s">
        <v>1417</v>
      </c>
      <c r="E16" s="347" t="s">
        <v>1418</v>
      </c>
      <c r="F16" s="367" t="e">
        <f ca="1">IF(INDIRECT("'数据-取费表'!c"&amp;$G$1)="住宅",'数据-取费表'!B34,0)</f>
        <v>#N/A</v>
      </c>
      <c r="G16" s="1854"/>
      <c r="H16" s="1332" t="s">
        <v>1027</v>
      </c>
      <c r="I16" s="1333" t="s">
        <v>1420</v>
      </c>
      <c r="J16" s="355" t="e">
        <f ca="1">ROUND(J17+J22+J23+J24,0)</f>
        <v>#N/A</v>
      </c>
      <c r="K16" s="1340" t="s">
        <v>1421</v>
      </c>
      <c r="L16" s="2971"/>
      <c r="M16" s="1297"/>
    </row>
    <row r="17" spans="1:37" s="1861" customFormat="1" ht="18" customHeight="1">
      <c r="A17" s="1204" t="s">
        <v>1386</v>
      </c>
      <c r="B17" s="347" t="s">
        <v>1422</v>
      </c>
      <c r="C17" s="24" t="e">
        <f ca="1">ROUND(F17*(F43+INDIRECT("'数据-取费表'!S"&amp;$G$1))/10000,0)</f>
        <v>#N/A</v>
      </c>
      <c r="D17" s="347" t="s">
        <v>1423</v>
      </c>
      <c r="E17" s="347" t="s">
        <v>1424</v>
      </c>
      <c r="F17" s="26">
        <f>'数据-取费表'!B35</f>
        <v>180</v>
      </c>
      <c r="G17" s="1857"/>
      <c r="H17" s="1204" t="s">
        <v>1032</v>
      </c>
      <c r="I17" s="347" t="s">
        <v>1425</v>
      </c>
      <c r="J17" s="24" t="e">
        <f ca="1">ROUND(IF(项目基本情况!B11="自然人",J5*M17,J18+J19+J20),1)</f>
        <v>#N/A</v>
      </c>
      <c r="K17" s="2970" t="s">
        <v>1426</v>
      </c>
      <c r="L17" s="2969"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t="e">
        <f ca="1">ROUND(C14*F18,0)</f>
        <v>#N/A</v>
      </c>
      <c r="D18" s="347" t="s">
        <v>1417</v>
      </c>
      <c r="E18" s="347" t="s">
        <v>1418</v>
      </c>
      <c r="F18" s="367">
        <f>'数据-取费表'!B36</f>
        <v>1.4999999999999999E-2</v>
      </c>
      <c r="G18" s="1857"/>
      <c r="H18" s="1204" t="s">
        <v>1031</v>
      </c>
      <c r="I18" s="347" t="s">
        <v>1429</v>
      </c>
      <c r="J18" s="24" t="e">
        <f ca="1">ROUND(J5*M18/(1+'数据-取费表'!C42),2)</f>
        <v>#N/A</v>
      </c>
      <c r="K18" s="2969"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t="e">
        <f ca="1">SUM(C14:C18)</f>
        <v>#N/A</v>
      </c>
      <c r="D19" s="140" t="s">
        <v>1432</v>
      </c>
      <c r="E19" s="2974"/>
      <c r="F19" s="26"/>
      <c r="G19" s="1854"/>
      <c r="H19" s="1204" t="s">
        <v>1033</v>
      </c>
      <c r="I19" s="347" t="s">
        <v>1433</v>
      </c>
      <c r="J19" s="24" t="e">
        <f ca="1">IF(K19="按租金收入计税",ROUND(J5*M19,2),ROUND(C29*M19*0.7,2))</f>
        <v>#N/A</v>
      </c>
      <c r="K19" s="1831" t="s">
        <v>1434</v>
      </c>
      <c r="L19" s="347" t="s">
        <v>1418</v>
      </c>
      <c r="M19" s="367">
        <f>IF(K19="按租金收入计税",'数据-取费表'!B51,'数据-取费表'!B50)</f>
        <v>1.2E-2</v>
      </c>
    </row>
    <row r="20" spans="1:37" s="1861" customFormat="1" ht="18" customHeight="1">
      <c r="A20" s="1204" t="s">
        <v>1036</v>
      </c>
      <c r="B20" s="347" t="s">
        <v>1435</v>
      </c>
      <c r="C20" s="24" t="e">
        <f ca="1">ROUND(C19*F20,0)</f>
        <v>#N/A</v>
      </c>
      <c r="D20" s="369" t="s">
        <v>1436</v>
      </c>
      <c r="E20" s="347" t="s">
        <v>1418</v>
      </c>
      <c r="F20" s="367">
        <f>'数据-取费表'!B37</f>
        <v>0.03</v>
      </c>
      <c r="G20" s="1857"/>
      <c r="H20" s="1204" t="s">
        <v>1385</v>
      </c>
      <c r="I20" s="164" t="s">
        <v>1437</v>
      </c>
      <c r="J20" s="25" t="e">
        <f ca="1">ROUND(M20*M21/10000,2)</f>
        <v>#N/A</v>
      </c>
      <c r="K20" s="370" t="s">
        <v>1438</v>
      </c>
      <c r="L20" s="347" t="s">
        <v>1439</v>
      </c>
      <c r="M20" s="371">
        <f>'数据-取费表'!B52</f>
        <v>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0.03</v>
      </c>
      <c r="G21" s="1857"/>
      <c r="H21" s="372"/>
      <c r="I21" s="356"/>
      <c r="J21" s="29"/>
      <c r="K21" s="373"/>
      <c r="L21" s="347" t="s">
        <v>1443</v>
      </c>
      <c r="M21" s="348" t="e">
        <f ca="1">INDIRECT("'数据-取费表'!r"&amp;$G$1)</f>
        <v>#N/A</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2974"/>
      <c r="F22" s="26"/>
      <c r="G22" s="1854"/>
      <c r="H22" s="1204" t="s">
        <v>1036</v>
      </c>
      <c r="I22" s="347" t="s">
        <v>1445</v>
      </c>
      <c r="J22" s="24" t="e">
        <f ca="1">ROUND(J14*M22,1)</f>
        <v>#N/A</v>
      </c>
      <c r="K22" s="2969" t="s">
        <v>1446</v>
      </c>
      <c r="L22" s="347" t="s">
        <v>1418</v>
      </c>
      <c r="M22" s="374" t="e">
        <f ca="1">INDIRECT("'数据-取费表'!Ak"&amp;$G$1)</f>
        <v>#N/A</v>
      </c>
    </row>
    <row r="23" spans="1:37" s="1861" customFormat="1" ht="18" customHeight="1">
      <c r="A23" s="1204"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3</v>
      </c>
      <c r="G23" s="1857"/>
      <c r="H23" s="1204" t="s">
        <v>1072</v>
      </c>
      <c r="I23" s="347" t="s">
        <v>1449</v>
      </c>
      <c r="J23" s="24" t="e">
        <f ca="1">ROUND(J13*M23,1)</f>
        <v>#N/A</v>
      </c>
      <c r="K23" s="2969" t="s">
        <v>1450</v>
      </c>
      <c r="L23" s="347" t="s">
        <v>1418</v>
      </c>
      <c r="M23" s="376" t="e">
        <f ca="1">INDIRECT("'数据-取费表'!Al"&amp;$G$1)</f>
        <v>#N/A</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1033</v>
      </c>
      <c r="B24" s="347" t="s">
        <v>1453</v>
      </c>
      <c r="C24" s="24">
        <f ca="1">ROUND(IF('数据-取费表'!B22&lt;=1,F21*F24*F23/2,F21*(POWER((1+F24),F23/2)-1)),4)</f>
        <v>2.2000000000000001E-3</v>
      </c>
      <c r="D24" s="375" t="str">
        <f>IF(F23&lt;=1,"销售费用×利率×(建设周期÷2)","销售费用×((1+利率)^(建设周期÷2)-1)")</f>
        <v>销售费用×((1+利率)^(建设周期÷2)-1)</v>
      </c>
      <c r="E24" s="347" t="s">
        <v>1454</v>
      </c>
      <c r="F24" s="377">
        <f ca="1">'数据-取费表'!B40</f>
        <v>4.7500000000000001E-2</v>
      </c>
      <c r="G24" s="1857"/>
      <c r="H24" s="1342" t="s">
        <v>1388</v>
      </c>
      <c r="I24" s="1343" t="s">
        <v>1435</v>
      </c>
      <c r="J24" s="1344" t="e">
        <f ca="1">ROUND(J5*M24,1)</f>
        <v>#N/A</v>
      </c>
      <c r="K24" s="1345" t="s">
        <v>1455</v>
      </c>
      <c r="L24" s="1343" t="s">
        <v>1418</v>
      </c>
      <c r="M24" s="1339" t="e">
        <f ca="1">INDIRECT("'数据-取费表'!Am"&amp;$G$1)</f>
        <v>#N/A</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2974"/>
      <c r="F25" s="26"/>
      <c r="G25" s="1854"/>
      <c r="H25" s="1332" t="s">
        <v>1028</v>
      </c>
      <c r="I25" s="1347" t="s">
        <v>1459</v>
      </c>
      <c r="J25" s="355" t="e">
        <f ca="1">J5-J16</f>
        <v>#N/A</v>
      </c>
      <c r="K25" s="1348" t="s">
        <v>1460</v>
      </c>
      <c r="L25" s="1349"/>
      <c r="M25" s="1350"/>
    </row>
    <row r="26" spans="1:37">
      <c r="A26" s="1204" t="s">
        <v>1031</v>
      </c>
      <c r="B26" s="347" t="s">
        <v>1461</v>
      </c>
      <c r="C26" s="24" t="e">
        <f ca="1">ROUND((C19+C20)*F26,0)</f>
        <v>#N/A</v>
      </c>
      <c r="D26" s="369" t="s">
        <v>1462</v>
      </c>
      <c r="E26" s="358" t="s">
        <v>1463</v>
      </c>
      <c r="F26" s="357" t="e">
        <f ca="1">INDIRECT("'数据-取费表'!q"&amp;$G$1)</f>
        <v>#N/A</v>
      </c>
      <c r="G26" s="1854"/>
      <c r="H26" s="344" t="s">
        <v>1029</v>
      </c>
      <c r="I26" s="345" t="s">
        <v>1464</v>
      </c>
      <c r="J26" s="346" t="e">
        <f ca="1">IF(J5&lt;&gt;0,ROUND(J25*(1-((1+M28)/(1+M26))^M27)/(M26-M28),0),0)</f>
        <v>#N/A</v>
      </c>
      <c r="K26" s="370" t="s">
        <v>1465</v>
      </c>
      <c r="L26" s="347" t="s">
        <v>1466</v>
      </c>
      <c r="M26" s="357" t="e">
        <f ca="1">INDIRECT("'数据-取费表'!I"&amp;$G$1)</f>
        <v>#N/A</v>
      </c>
    </row>
    <row r="27" spans="1:37" ht="18" customHeight="1">
      <c r="A27" s="1204" t="s">
        <v>1033</v>
      </c>
      <c r="B27" s="347" t="s">
        <v>1467</v>
      </c>
      <c r="C27" s="24" t="e">
        <f ca="1">ROUND(F21*F26,4)</f>
        <v>#N/A</v>
      </c>
      <c r="D27" s="369" t="s">
        <v>1468</v>
      </c>
      <c r="E27" s="365"/>
      <c r="F27" s="366"/>
      <c r="G27" s="1854"/>
      <c r="H27" s="349"/>
      <c r="I27" s="350"/>
      <c r="J27" s="351"/>
      <c r="K27" s="378" t="s">
        <v>1469</v>
      </c>
      <c r="L27" s="347" t="s">
        <v>1470</v>
      </c>
      <c r="M27" s="379" t="e">
        <f ca="1">INDIRECT("'数据-取费表'!ag"&amp;$G$1)</f>
        <v>#N/A</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t="e">
        <f ca="1">INDIRECT("'数据-取费表'!aa"&amp;$G$1)</f>
        <v>#N/A</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t="e">
        <f ca="1">ROUND((C19+C20+C23+C26)/(1-F21-C24-C27-C28),0)</f>
        <v>#N/A</v>
      </c>
      <c r="D29" s="1345"/>
      <c r="E29" s="1343"/>
      <c r="F29" s="1346"/>
      <c r="G29" s="1857"/>
      <c r="H29" s="380" t="s">
        <v>1030</v>
      </c>
      <c r="I29" s="381" t="s">
        <v>1475</v>
      </c>
      <c r="J29" s="382" t="e">
        <f ca="1">ROUND(J26/(1+F40)^F41,0)</f>
        <v>#N/A</v>
      </c>
      <c r="K29" s="383" t="s">
        <v>1476</v>
      </c>
      <c r="L29" s="384"/>
      <c r="M29" s="385" t="e">
        <f ca="1">INDIRECT("'数据-取费表'!k"&amp;$G$1)</f>
        <v>#N/A</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t="e">
        <f ca="1">ROUND(C31+C36+C37+C38,0)</f>
        <v>#N/A</v>
      </c>
      <c r="D30" s="1340" t="s">
        <v>1421</v>
      </c>
      <c r="E30" s="2971"/>
      <c r="F30" s="1297"/>
      <c r="G30" s="1854"/>
      <c r="H30" s="745"/>
      <c r="I30" s="746"/>
      <c r="J30" s="747"/>
      <c r="K30" s="748"/>
      <c r="L30" s="749"/>
      <c r="M30" s="750"/>
    </row>
    <row r="31" spans="1:37" ht="18" customHeight="1">
      <c r="A31" s="1204" t="s">
        <v>1032</v>
      </c>
      <c r="B31" s="347" t="s">
        <v>1425</v>
      </c>
      <c r="C31" s="24" t="e">
        <f ca="1">ROUND(IF(项目基本情况!B11="自然人",C5*F31,C32+C33+C34),1)</f>
        <v>#N/A</v>
      </c>
      <c r="D31" s="2970" t="s">
        <v>1426</v>
      </c>
      <c r="E31" s="2969"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t="e">
        <f ca="1">IF(项目基本情况!B11="自然人","——",ROUND(C5*F32/(1+'数据-取费表'!C42),2))</f>
        <v>#N/A</v>
      </c>
      <c r="D32" s="2969" t="s">
        <v>1430</v>
      </c>
      <c r="E32" s="347" t="s">
        <v>1418</v>
      </c>
      <c r="F32" s="377">
        <f>'数据-取费表'!B41</f>
        <v>5.6000000000000001E-2</v>
      </c>
      <c r="G32" s="1854"/>
      <c r="H32" s="745"/>
      <c r="I32" s="746"/>
      <c r="J32" s="747"/>
      <c r="K32" s="748"/>
      <c r="L32" s="749"/>
      <c r="M32" s="750"/>
    </row>
    <row r="33" spans="1:18" ht="18" customHeight="1">
      <c r="A33" s="1204" t="s">
        <v>1033</v>
      </c>
      <c r="B33" s="347" t="s">
        <v>1433</v>
      </c>
      <c r="C33" s="24" t="e">
        <f ca="1">IF(项目基本情况!B11="自然人","——",IF(D33="按租金收入计税",ROUND(C5*F33,2),IF(D33="按房产原值计税",ROUND(C29*F33*0.7,2),INDIRECT("'数据-取费表'!Aj"&amp;$G$1))))</f>
        <v>#N/A</v>
      </c>
      <c r="D33" s="1831" t="s">
        <v>3289</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t="e">
        <f ca="1">IF(项目基本情况!B11="自然人","——",ROUND(F34*F35/10000,2))</f>
        <v>#N/A</v>
      </c>
      <c r="D34" s="370" t="s">
        <v>1438</v>
      </c>
      <c r="E34" s="347" t="s">
        <v>1439</v>
      </c>
      <c r="F34" s="371">
        <f>'数据-取费表'!B52</f>
        <v>5</v>
      </c>
      <c r="G34" s="1854"/>
      <c r="H34" s="745"/>
      <c r="I34" s="1863"/>
      <c r="J34" s="1864"/>
      <c r="K34" s="1866"/>
      <c r="L34" s="1867"/>
      <c r="M34" s="1867"/>
    </row>
    <row r="35" spans="1:18" ht="18" customHeight="1">
      <c r="A35" s="1356"/>
      <c r="B35" s="1354"/>
      <c r="C35" s="29"/>
      <c r="D35" s="373"/>
      <c r="E35" s="347" t="s">
        <v>1443</v>
      </c>
      <c r="F35" s="348" t="e">
        <f ca="1">INDIRECT("'数据-取费表'!r"&amp;$G$1)</f>
        <v>#N/A</v>
      </c>
      <c r="G35" s="1854"/>
      <c r="H35" s="745"/>
      <c r="I35" s="1863"/>
      <c r="J35" s="1864"/>
      <c r="K35" s="1865"/>
      <c r="L35" s="1862"/>
      <c r="M35" s="1862"/>
    </row>
    <row r="36" spans="1:18" ht="18" customHeight="1">
      <c r="A36" s="1355" t="s">
        <v>1036</v>
      </c>
      <c r="B36" s="347" t="s">
        <v>1445</v>
      </c>
      <c r="C36" s="24" t="e">
        <f ca="1">ROUND(C29*F36,1)</f>
        <v>#N/A</v>
      </c>
      <c r="D36" s="2969" t="s">
        <v>1478</v>
      </c>
      <c r="E36" s="347" t="s">
        <v>1418</v>
      </c>
      <c r="F36" s="374" t="e">
        <f ca="1">INDIRECT("'数据-取费表'!Ak"&amp;$G$1)</f>
        <v>#N/A</v>
      </c>
      <c r="G36" s="1854"/>
      <c r="H36" s="1862"/>
      <c r="I36" s="1863"/>
      <c r="J36" s="1864"/>
      <c r="K36" s="751"/>
      <c r="L36" s="1862"/>
      <c r="M36" s="1862"/>
    </row>
    <row r="37" spans="1:18" ht="18" customHeight="1">
      <c r="A37" s="1204" t="s">
        <v>1072</v>
      </c>
      <c r="B37" s="347" t="s">
        <v>1449</v>
      </c>
      <c r="C37" s="24" t="e">
        <f ca="1">ROUND(C13*F37,1)</f>
        <v>#N/A</v>
      </c>
      <c r="D37" s="2969" t="s">
        <v>1450</v>
      </c>
      <c r="E37" s="347" t="s">
        <v>1418</v>
      </c>
      <c r="F37" s="376" t="e">
        <f ca="1">INDIRECT("'数据-取费表'!Al"&amp;$G$1)</f>
        <v>#N/A</v>
      </c>
      <c r="G37" s="1854"/>
      <c r="H37" s="1862"/>
      <c r="I37" s="1863"/>
      <c r="J37" s="1864"/>
      <c r="K37" s="751"/>
      <c r="L37" s="1862"/>
      <c r="M37" s="1862"/>
    </row>
    <row r="38" spans="1:18" ht="18" customHeight="1" thickBot="1">
      <c r="A38" s="1342" t="s">
        <v>1388</v>
      </c>
      <c r="B38" s="1343" t="s">
        <v>1435</v>
      </c>
      <c r="C38" s="1344" t="e">
        <f ca="1">ROUND(C5*F38,1)</f>
        <v>#N/A</v>
      </c>
      <c r="D38" s="1345" t="s">
        <v>1455</v>
      </c>
      <c r="E38" s="1343" t="s">
        <v>1418</v>
      </c>
      <c r="F38" s="1339" t="e">
        <f ca="1">INDIRECT("'数据-取费表'!Am"&amp;$G$1)</f>
        <v>#N/A</v>
      </c>
      <c r="G38" s="1854"/>
      <c r="H38" s="1862"/>
      <c r="I38" s="1863"/>
      <c r="J38" s="1864"/>
      <c r="K38" s="1868"/>
      <c r="L38" s="1862"/>
      <c r="M38" s="1862"/>
    </row>
    <row r="39" spans="1:18" ht="24.6" customHeight="1" thickTop="1">
      <c r="A39" s="1332" t="s">
        <v>1028</v>
      </c>
      <c r="B39" s="1347" t="s">
        <v>1459</v>
      </c>
      <c r="C39" s="355" t="e">
        <f ca="1">C5-C30</f>
        <v>#N/A</v>
      </c>
      <c r="D39" s="1348" t="s">
        <v>1460</v>
      </c>
      <c r="E39" s="1349"/>
      <c r="F39" s="1350"/>
      <c r="G39" s="1854"/>
      <c r="H39" s="1862"/>
      <c r="I39" s="1863"/>
      <c r="J39" s="1864"/>
      <c r="K39" s="1868"/>
      <c r="L39" s="1862"/>
      <c r="M39" s="1862"/>
    </row>
    <row r="40" spans="1:18" ht="18" customHeight="1">
      <c r="A40" s="344" t="s">
        <v>1029</v>
      </c>
      <c r="B40" s="345" t="s">
        <v>1481</v>
      </c>
      <c r="C40" s="346" t="e">
        <f ca="1">ROUND(C39*(1-((1+F42)/(1+F40))^F41)/(F40-F42),0)</f>
        <v>#N/A</v>
      </c>
      <c r="D40" s="370" t="s">
        <v>1465</v>
      </c>
      <c r="E40" s="347" t="s">
        <v>1466</v>
      </c>
      <c r="F40" s="357" t="e">
        <f ca="1">INDIRECT("'数据-取费表'!I"&amp;$G$1)</f>
        <v>#N/A</v>
      </c>
      <c r="G40" s="1854"/>
      <c r="H40" s="1842"/>
      <c r="I40" s="1863"/>
      <c r="J40" s="1864"/>
      <c r="K40" s="1868"/>
      <c r="L40" s="1842"/>
      <c r="M40" s="1842"/>
    </row>
    <row r="41" spans="1:18" ht="18" customHeight="1">
      <c r="A41" s="349"/>
      <c r="B41" s="350"/>
      <c r="C41" s="351"/>
      <c r="D41" s="378" t="s">
        <v>1482</v>
      </c>
      <c r="E41" s="347" t="s">
        <v>1470</v>
      </c>
      <c r="F41" s="379" t="e">
        <f ca="1">IF(INDIRECT("'数据-取费表'!af"&amp;$G$1)=0,INDIRECT("'数据-取费表'!ae"&amp;$G$1),INDIRECT("'数据-取费表'!af"&amp;$G$1))</f>
        <v>#N/A</v>
      </c>
      <c r="G41" s="1854"/>
      <c r="H41" s="732"/>
      <c r="I41" s="1863"/>
      <c r="J41" s="1864"/>
      <c r="K41" s="751"/>
      <c r="L41" s="732"/>
      <c r="M41" s="732"/>
    </row>
    <row r="42" spans="1:18" ht="18" customHeight="1">
      <c r="A42" s="353"/>
      <c r="B42" s="354"/>
      <c r="C42" s="355"/>
      <c r="D42" s="373"/>
      <c r="E42" s="347" t="s">
        <v>1473</v>
      </c>
      <c r="F42" s="357" t="e">
        <f ca="1">INDIRECT("'数据-取费表'!v"&amp;$G$1)</f>
        <v>#N/A</v>
      </c>
      <c r="G42" s="1854"/>
      <c r="H42" s="732"/>
      <c r="I42" s="1863"/>
      <c r="J42" s="1864"/>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t="e">
        <f ca="1">C68-C40</f>
        <v>#N/A</v>
      </c>
      <c r="D46" s="1875" t="str">
        <f>C2</f>
        <v>万元</v>
      </c>
      <c r="E46" s="1869"/>
      <c r="F46" s="1869"/>
      <c r="I46" s="1876" t="s">
        <v>1517</v>
      </c>
      <c r="J46" s="1877"/>
      <c r="K46" s="1878"/>
      <c r="L46" s="1879" t="e">
        <f ca="1">IF(M47="住宅",0,IF(L48&gt;J51,L60,J60))</f>
        <v>#N/A</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3290</v>
      </c>
      <c r="K47" s="1885" t="s">
        <v>1523</v>
      </c>
      <c r="L47" s="1886" t="e">
        <f ca="1">INDIRECT("'数据-取费表'!d"&amp;$G$1)</f>
        <v>#N/A</v>
      </c>
      <c r="M47" s="1841" t="str">
        <f>IF(ISNUMBER(FIND("住宅",C1)),"住宅","非住宅")</f>
        <v>非住宅</v>
      </c>
      <c r="O47" s="1887" t="s">
        <v>1037</v>
      </c>
      <c r="P47" s="1888" t="s">
        <v>1524</v>
      </c>
      <c r="Q47" s="1889" t="e">
        <f ca="1">C40+J29</f>
        <v>#N/A</v>
      </c>
      <c r="R47" s="1889" t="s">
        <v>1525</v>
      </c>
    </row>
    <row r="48" spans="1:18" s="1845" customFormat="1" ht="28.5" thickBot="1">
      <c r="A48" s="1363" t="s">
        <v>1132</v>
      </c>
      <c r="B48" s="345" t="s">
        <v>1397</v>
      </c>
      <c r="C48" s="2973" t="e">
        <f ca="1">C49+C53+C55</f>
        <v>#N/A</v>
      </c>
      <c r="D48" s="1365"/>
      <c r="E48" s="1366"/>
      <c r="F48" s="1184"/>
      <c r="G48" s="792"/>
      <c r="H48" s="793"/>
      <c r="I48" s="1890" t="s">
        <v>1526</v>
      </c>
      <c r="J48" s="1891" t="s">
        <v>3291</v>
      </c>
      <c r="K48" s="1892" t="s">
        <v>1527</v>
      </c>
      <c r="L48" s="1893" t="e">
        <f ca="1">INDIRECT("'数据-取费表'!f"&amp;$G$1)</f>
        <v>#N/A</v>
      </c>
      <c r="O48" s="1887" t="s">
        <v>1038</v>
      </c>
      <c r="P48" s="1888" t="s">
        <v>1528</v>
      </c>
      <c r="Q48" s="1889" t="e">
        <f ca="1">J60</f>
        <v>#N/A</v>
      </c>
      <c r="R48" s="1889" t="s">
        <v>1529</v>
      </c>
    </row>
    <row r="49" spans="1:18" s="1845" customFormat="1" ht="13.5" thickBot="1">
      <c r="A49" s="1197" t="s">
        <v>1133</v>
      </c>
      <c r="B49" s="1832" t="s">
        <v>1486</v>
      </c>
      <c r="C49" s="1367" t="e">
        <f ca="1">ROUND(F49*F51*F50*(1-F52)/10000,0)</f>
        <v>#N/A</v>
      </c>
      <c r="D49" s="1279" t="s">
        <v>3031</v>
      </c>
      <c r="E49" s="1833" t="s">
        <v>1487</v>
      </c>
      <c r="F49" s="1284"/>
      <c r="G49" s="1894"/>
      <c r="H49" s="793"/>
      <c r="I49" s="1890" t="s">
        <v>1530</v>
      </c>
      <c r="J49" s="1895">
        <v>2017</v>
      </c>
      <c r="K49" s="1892" t="s">
        <v>1531</v>
      </c>
      <c r="L49" s="1896"/>
      <c r="O49" s="1897" t="s">
        <v>1039</v>
      </c>
      <c r="P49" s="1888" t="s">
        <v>1532</v>
      </c>
      <c r="Q49" s="1889" t="e">
        <f ca="1">C29</f>
        <v>#N/A</v>
      </c>
      <c r="R49" s="1889" t="s">
        <v>1525</v>
      </c>
    </row>
    <row r="50" spans="1:18" s="1845" customFormat="1" ht="13.5" thickBot="1">
      <c r="A50" s="1198"/>
      <c r="B50" s="1201"/>
      <c r="C50" s="1371"/>
      <c r="D50" s="1175"/>
      <c r="E50" s="1280" t="s">
        <v>1402</v>
      </c>
      <c r="F50" s="1281" t="e">
        <f ca="1">F7</f>
        <v>#N/A</v>
      </c>
      <c r="H50" s="793"/>
      <c r="I50" s="1890" t="s">
        <v>1533</v>
      </c>
      <c r="J50" s="1898">
        <f>SUMPRODUCT((I63:I65=J47)*(J62:L62=J48)*(J63:L65))</f>
        <v>60</v>
      </c>
      <c r="K50" s="1892" t="s">
        <v>1534</v>
      </c>
      <c r="L50" s="1896"/>
      <c r="M50" s="1899"/>
      <c r="O50" s="1897" t="s">
        <v>1040</v>
      </c>
      <c r="P50" s="1888" t="s">
        <v>1535</v>
      </c>
      <c r="Q50" s="1900" t="e">
        <f ca="1">J58</f>
        <v>#N/A</v>
      </c>
      <c r="R50" s="1889"/>
    </row>
    <row r="51" spans="1:18" s="1845" customFormat="1" ht="13.5" thickBot="1">
      <c r="A51" s="1199"/>
      <c r="B51" s="1201"/>
      <c r="C51" s="1202"/>
      <c r="D51" s="1175"/>
      <c r="E51" s="1203" t="s">
        <v>1403</v>
      </c>
      <c r="F51" s="348" t="e">
        <f ca="1">F8</f>
        <v>#N/A</v>
      </c>
      <c r="I51" s="1901" t="s">
        <v>1536</v>
      </c>
      <c r="J51" s="1902">
        <f>IF(J49="",J50,J49+J50-YEAR('数据-取费表'!B2))</f>
        <v>58</v>
      </c>
      <c r="K51" s="1903" t="s">
        <v>1537</v>
      </c>
      <c r="L51" s="1904" t="e">
        <f ca="1">ROUND(-PV(INDIRECT("'数据-取费表'!h"&amp;$G$1),L48,(C39-C13*C76),0),0)</f>
        <v>#N/A</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e">
        <f ca="1">J53</f>
        <v>#N/A</v>
      </c>
      <c r="R52" s="1889" t="s">
        <v>1542</v>
      </c>
    </row>
    <row r="53" spans="1:18" s="1845" customFormat="1" ht="24.75" thickBot="1">
      <c r="A53" s="1408" t="s">
        <v>1134</v>
      </c>
      <c r="B53" s="1834" t="s">
        <v>1405</v>
      </c>
      <c r="C53" s="361">
        <f ca="1">ROUND(IF(F53="押一",C49/12*F11,IF(F53="押二",C49/12*2*F11,IF(F53="押三",C49/12*3*F11,C54*F11))),0)</f>
        <v>0</v>
      </c>
      <c r="D53" s="1827" t="s">
        <v>3040</v>
      </c>
      <c r="E53" s="358" t="s">
        <v>1406</v>
      </c>
      <c r="F53" s="1369"/>
      <c r="I53" s="1908" t="s">
        <v>1543</v>
      </c>
      <c r="J53" s="1909" t="e">
        <f ca="1">IF(M47="住宅",IF(D1="——",MAX(J51,L48),IF(D1="在建（套用方法）",MAX(J51,L48-'数据-取费表'!B24),MAX(J51,L48-'数据-取费表'!B20))),IF(D1="——",MIN(J51,L48),IF(D1="在建（套用方法）",MIN(J51,L48-'数据-取费表'!B24),IF(D1="土地（套用方法）",MIN(J51,L48-'数据-取费表'!B20)))))</f>
        <v>#N/A</v>
      </c>
      <c r="K53" s="3237" t="s">
        <v>1544</v>
      </c>
      <c r="L53" s="3238"/>
      <c r="O53" s="1887" t="s">
        <v>1043</v>
      </c>
      <c r="P53" s="1888" t="s">
        <v>1545</v>
      </c>
      <c r="Q53" s="1889" t="e">
        <f ca="1">Q47+Q48</f>
        <v>#N/A</v>
      </c>
      <c r="R53" s="1889" t="s">
        <v>1044</v>
      </c>
    </row>
    <row r="54" spans="1:18" s="1845" customFormat="1" ht="13.5" thickBot="1">
      <c r="A54" s="1409"/>
      <c r="B54" s="1828" t="s">
        <v>1384</v>
      </c>
      <c r="C54" s="1181"/>
      <c r="D54" s="1827"/>
      <c r="E54" s="2972"/>
      <c r="F54" s="1910"/>
      <c r="I54" s="191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2"/>
      <c r="K54" s="1912"/>
      <c r="L54" s="1912"/>
      <c r="M54" s="1894"/>
      <c r="O54" s="1872" t="s">
        <v>1546</v>
      </c>
      <c r="P54" s="1842"/>
      <c r="Q54" s="1842"/>
      <c r="R54" s="1842"/>
    </row>
    <row r="55" spans="1:18" s="1845" customFormat="1" ht="13.5" thickBot="1">
      <c r="A55" s="1336" t="s">
        <v>1072</v>
      </c>
      <c r="B55" s="1830" t="s">
        <v>1409</v>
      </c>
      <c r="C55" s="1337"/>
      <c r="D55" s="1827"/>
      <c r="E55" s="2972"/>
      <c r="F55" s="1910"/>
      <c r="I55" s="1913" t="s">
        <v>1547</v>
      </c>
      <c r="J55" s="1914" t="e">
        <f ca="1">ROUND(IF(J47="钢混",J57/J50,1-(1-2%)*(J50-J57)/J50),3)</f>
        <v>#N/A</v>
      </c>
      <c r="K55" s="1915" t="s">
        <v>1548</v>
      </c>
      <c r="L55" s="1916" t="s">
        <v>1549</v>
      </c>
      <c r="O55" s="1880" t="s">
        <v>1518</v>
      </c>
      <c r="P55" s="1881" t="s">
        <v>1519</v>
      </c>
      <c r="Q55" s="1882" t="s">
        <v>1520</v>
      </c>
      <c r="R55" s="1882" t="s">
        <v>1521</v>
      </c>
    </row>
    <row r="56" spans="1:18" s="1845" customFormat="1" ht="25.5" thickTop="1" thickBot="1">
      <c r="A56" s="1179">
        <v>2</v>
      </c>
      <c r="B56" s="1180" t="s">
        <v>1410</v>
      </c>
      <c r="C56" s="276" t="e">
        <f ca="1">C13</f>
        <v>#N/A</v>
      </c>
      <c r="D56" s="1917"/>
      <c r="E56" s="1918"/>
      <c r="F56" s="1910"/>
      <c r="I56" s="1919" t="s">
        <v>1550</v>
      </c>
      <c r="J56" s="1920" t="s">
        <v>3287</v>
      </c>
      <c r="K56" s="1890" t="s">
        <v>1551</v>
      </c>
      <c r="L56" s="1893" t="e">
        <f ca="1">IF(L48&lt;J51,"——",L48-J53)</f>
        <v>#N/A</v>
      </c>
      <c r="O56" s="1887" t="s">
        <v>1037</v>
      </c>
      <c r="P56" s="1888" t="s">
        <v>1524</v>
      </c>
      <c r="Q56" s="1889" t="e">
        <f ca="1">C40+J29</f>
        <v>#N/A</v>
      </c>
      <c r="R56" s="1889" t="s">
        <v>1525</v>
      </c>
    </row>
    <row r="57" spans="1:18" s="1845" customFormat="1" ht="24.75" thickBot="1">
      <c r="A57" s="1921"/>
      <c r="B57" s="1172" t="s">
        <v>1474</v>
      </c>
      <c r="C57" s="282" t="e">
        <f ca="1">C29</f>
        <v>#N/A</v>
      </c>
      <c r="D57" s="1922"/>
      <c r="E57" s="1923"/>
      <c r="F57" s="1924"/>
      <c r="I57" s="1925" t="s">
        <v>1552</v>
      </c>
      <c r="J57" s="1926" t="e">
        <f ca="1">IF(OR(M47="住宅",J51&lt;L48,J56="是"),"——",J51-L48)</f>
        <v>#N/A</v>
      </c>
      <c r="K57" s="1890" t="s">
        <v>1553</v>
      </c>
      <c r="L57" s="1893" t="e">
        <f ca="1">IF(L48&lt;J51,"——",IF(L55="比较法",L49,IF(L55="基准地价",L50,L51)))</f>
        <v>#N/A</v>
      </c>
      <c r="O57" s="1887" t="s">
        <v>1038</v>
      </c>
      <c r="P57" s="1888" t="s">
        <v>1554</v>
      </c>
      <c r="Q57" s="1889" t="e">
        <f ca="1">L60</f>
        <v>#N/A</v>
      </c>
      <c r="R57" s="1889" t="s">
        <v>1555</v>
      </c>
    </row>
    <row r="58" spans="1:18" s="1845" customFormat="1" ht="24.75" thickBot="1">
      <c r="A58" s="360" t="s">
        <v>1027</v>
      </c>
      <c r="B58" s="1180" t="s">
        <v>1420</v>
      </c>
      <c r="C58" s="361" t="e">
        <f ca="1">ROUND(C59+C64+C65+C66,0)</f>
        <v>#N/A</v>
      </c>
      <c r="D58" s="1182" t="s">
        <v>1421</v>
      </c>
      <c r="E58" s="1183"/>
      <c r="F58" s="1184"/>
      <c r="I58" s="1925" t="s">
        <v>1556</v>
      </c>
      <c r="J58" s="1927" t="e">
        <f ca="1">IF(J55&lt;0.4,0.4,J55)</f>
        <v>#N/A</v>
      </c>
      <c r="K58" s="1903" t="s">
        <v>1557</v>
      </c>
      <c r="L58" s="1893" t="e">
        <f ca="1">ROUND(POWER(1+L52,L47-L48)*(POWER(1+L52,L48)-1)/(POWER(1+L52,L47)-1),4)</f>
        <v>#N/A</v>
      </c>
      <c r="O58" s="1897" t="s">
        <v>1039</v>
      </c>
      <c r="P58" s="1888" t="s">
        <v>1558</v>
      </c>
      <c r="Q58" s="1889">
        <f>IF(L55="比较法",L49,IF(L55="基准地价",L50,0))</f>
        <v>0</v>
      </c>
      <c r="R58" s="1889" t="s">
        <v>1525</v>
      </c>
    </row>
    <row r="59" spans="1:18" s="1845" customFormat="1" ht="24.75" thickBot="1">
      <c r="A59" s="1204" t="s">
        <v>1032</v>
      </c>
      <c r="B59" s="1172" t="s">
        <v>1425</v>
      </c>
      <c r="C59" s="24" t="e">
        <f ca="1">ROUND(IF(项目基本情况!B11="自然人",C48*F59,C60+C61+C62),1)</f>
        <v>#N/A</v>
      </c>
      <c r="D59" s="1185" t="s">
        <v>1426</v>
      </c>
      <c r="E59" s="1186" t="s">
        <v>1427</v>
      </c>
      <c r="F59" s="368" t="str">
        <f ca="1">IF(项目基本情况!B11="企业","",IF(INDIRECT("'数据-取费表'!c"&amp;$G$1)="住宅",5%,IF(F49*F50*F51/12/(1+'数据-取费表'!C42)&gt;20000,12%,7%)))</f>
        <v/>
      </c>
      <c r="I59" s="1925" t="s">
        <v>1559</v>
      </c>
      <c r="J59" s="1926" t="e">
        <f ca="1">IF(OR(M47="住宅",J51&lt;L48,J56="是"),"——",ROUND(C29*J58,0))</f>
        <v>#N/A</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#N/A</v>
      </c>
      <c r="M59" s="1841" t="e">
        <f ca="1">ROUND(POWER(1+L52,L47-(J51+'数据-取费表'!B24))*(POWER(1+L52,(J51+'数据-取费表'!B24))-1)/(POWER(1+L52,L47)-1),4)</f>
        <v>#N/A</v>
      </c>
      <c r="N59" s="1841" t="e">
        <f ca="1">ROUND(POWER(1+L52,L47-(J51+'数据-取费表'!B20))*(POWER(1+L52,(J51+'数据-取费表'!B20))-1)/(POWER(1+L52,L47)-1),4)</f>
        <v>#N/A</v>
      </c>
      <c r="O59" s="1897" t="s">
        <v>1040</v>
      </c>
      <c r="P59" s="1888" t="s">
        <v>1560</v>
      </c>
      <c r="Q59" s="1900">
        <f>L52</f>
        <v>0</v>
      </c>
      <c r="R59" s="1889"/>
    </row>
    <row r="60" spans="1:18" s="1845" customFormat="1" ht="16.5" thickBot="1">
      <c r="A60" s="1204" t="s">
        <v>1031</v>
      </c>
      <c r="B60" s="1172" t="s">
        <v>1429</v>
      </c>
      <c r="C60" s="24" t="e">
        <f ca="1">IF(项目基本情况!B11="自然人","——",ROUND(C48*F60/(1+'数据-取费表'!C42),2))</f>
        <v>#N/A</v>
      </c>
      <c r="D60" s="1186" t="s">
        <v>1430</v>
      </c>
      <c r="E60" s="1172" t="s">
        <v>1418</v>
      </c>
      <c r="F60" s="377">
        <f t="shared" ref="F60:F66" si="0">F32</f>
        <v>5.6000000000000001E-2</v>
      </c>
      <c r="I60" s="1928" t="s">
        <v>1561</v>
      </c>
      <c r="J60" s="1929" t="e">
        <f ca="1">IF(OR(M47="住宅",J51&lt;L48,J56="是"),"0",ROUND(J59/(1+J52)^J53,0))</f>
        <v>#N/A</v>
      </c>
      <c r="K60" s="1930" t="s">
        <v>1562</v>
      </c>
      <c r="L60" s="1929" t="e">
        <f ca="1">IF(OR(M47="住宅",L48&lt;J51),0,ROUND(L57*(L58/L59-1),0))</f>
        <v>#N/A</v>
      </c>
      <c r="O60" s="1897" t="s">
        <v>1041</v>
      </c>
      <c r="P60" s="1888" t="s">
        <v>1563</v>
      </c>
      <c r="Q60" s="1889" t="e">
        <f ca="1">L58</f>
        <v>#N/A</v>
      </c>
      <c r="R60" s="1889" t="s">
        <v>1564</v>
      </c>
    </row>
    <row r="61" spans="1:18" s="1845" customFormat="1" ht="13.5" thickBot="1">
      <c r="A61" s="1204" t="s">
        <v>1488</v>
      </c>
      <c r="B61" s="1172" t="s">
        <v>1433</v>
      </c>
      <c r="C61" s="24" t="e">
        <f ca="1">IF(项目基本情况!B11="自然人","——",IF(D61="按租金收入计税",ROUND(C48*F61,2),IF(D61="按房产原值计税",ROUND(C57*F61*0.7,2),INDIRECT("'数据-取费表'!Aj"&amp;$G$1))))</f>
        <v>#N/A</v>
      </c>
      <c r="D61" s="1831" t="s">
        <v>1434</v>
      </c>
      <c r="E61" s="1172" t="s">
        <v>1418</v>
      </c>
      <c r="F61" s="367">
        <f t="shared" si="0"/>
        <v>0.12</v>
      </c>
      <c r="I61" s="1931"/>
      <c r="J61" s="1931"/>
      <c r="K61" s="1931"/>
      <c r="L61" s="1931"/>
      <c r="O61" s="1897" t="s">
        <v>1042</v>
      </c>
      <c r="P61" s="1888" t="str">
        <f>K59</f>
        <v>建筑物剩余耐用年限下的土地年期修正系数Kn</v>
      </c>
      <c r="Q61" s="1889" t="e">
        <f ca="1">L59</f>
        <v>#N/A</v>
      </c>
      <c r="R61" s="1889" t="s">
        <v>1565</v>
      </c>
    </row>
    <row r="62" spans="1:18" s="1845" customFormat="1" ht="13.5" thickBot="1">
      <c r="A62" s="1204" t="s">
        <v>1491</v>
      </c>
      <c r="B62" s="1171" t="s">
        <v>1437</v>
      </c>
      <c r="C62" s="25" t="e">
        <f ca="1">IF(项目基本情况!B11="自然人","——",ROUND(F62*F63/10000,2))</f>
        <v>#N/A</v>
      </c>
      <c r="D62" s="1187" t="s">
        <v>1438</v>
      </c>
      <c r="E62" s="1172" t="s">
        <v>1439</v>
      </c>
      <c r="F62" s="371">
        <f t="shared" si="0"/>
        <v>5</v>
      </c>
      <c r="I62" s="1932" t="s">
        <v>1566</v>
      </c>
      <c r="J62" s="1933" t="s">
        <v>1567</v>
      </c>
      <c r="K62" s="1933" t="s">
        <v>1568</v>
      </c>
      <c r="L62" s="1933" t="s">
        <v>1569</v>
      </c>
      <c r="M62" s="1934" t="s">
        <v>1570</v>
      </c>
      <c r="O62" s="1887" t="s">
        <v>1043</v>
      </c>
      <c r="P62" s="1888" t="s">
        <v>1545</v>
      </c>
      <c r="Q62" s="1889" t="e">
        <f ca="1">Q56+Q57</f>
        <v>#N/A</v>
      </c>
      <c r="R62" s="1889" t="s">
        <v>1044</v>
      </c>
    </row>
    <row r="63" spans="1:18" s="1845" customFormat="1" ht="13.5" thickBot="1">
      <c r="A63" s="372"/>
      <c r="B63" s="1178"/>
      <c r="C63" s="29"/>
      <c r="D63" s="1188"/>
      <c r="E63" s="1172" t="s">
        <v>1443</v>
      </c>
      <c r="F63" s="348" t="e">
        <f t="shared" ca="1" si="0"/>
        <v>#N/A</v>
      </c>
      <c r="I63" s="1932" t="s">
        <v>1572</v>
      </c>
      <c r="J63" s="1933">
        <v>70</v>
      </c>
      <c r="K63" s="1933">
        <v>50</v>
      </c>
      <c r="L63" s="1933">
        <v>80</v>
      </c>
      <c r="M63" s="1935">
        <v>0.02</v>
      </c>
      <c r="O63" s="1872" t="s">
        <v>1573</v>
      </c>
      <c r="P63" s="1842"/>
      <c r="Q63" s="1842"/>
      <c r="R63" s="1842"/>
    </row>
    <row r="64" spans="1:18" s="1845" customFormat="1" ht="13.5" thickBot="1">
      <c r="A64" s="1204" t="s">
        <v>1036</v>
      </c>
      <c r="B64" s="1172" t="s">
        <v>1445</v>
      </c>
      <c r="C64" s="24" t="e">
        <f ca="1">ROUND(C57*F64,1)</f>
        <v>#N/A</v>
      </c>
      <c r="D64" s="1186" t="s">
        <v>1478</v>
      </c>
      <c r="E64" s="1172" t="s">
        <v>1418</v>
      </c>
      <c r="F64" s="374" t="e">
        <f t="shared" ca="1" si="0"/>
        <v>#N/A</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t="e">
        <f ca="1">ROUND(C56*F65,1)</f>
        <v>#N/A</v>
      </c>
      <c r="D65" s="1186" t="s">
        <v>1450</v>
      </c>
      <c r="E65" s="1172" t="s">
        <v>1418</v>
      </c>
      <c r="F65" s="376" t="e">
        <f t="shared" ca="1" si="0"/>
        <v>#N/A</v>
      </c>
      <c r="I65" s="1932" t="s">
        <v>1575</v>
      </c>
      <c r="J65" s="1933">
        <v>40</v>
      </c>
      <c r="K65" s="1933">
        <v>30</v>
      </c>
      <c r="L65" s="1933">
        <v>50</v>
      </c>
      <c r="M65" s="1935">
        <v>0.02</v>
      </c>
      <c r="O65" s="1887" t="s">
        <v>1037</v>
      </c>
      <c r="P65" s="1888" t="s">
        <v>1524</v>
      </c>
      <c r="Q65" s="1889" t="e">
        <f ca="1">C40+J29</f>
        <v>#N/A</v>
      </c>
      <c r="R65" s="1889" t="s">
        <v>1525</v>
      </c>
    </row>
    <row r="66" spans="1:18" s="1845" customFormat="1" ht="16.5" thickBot="1">
      <c r="A66" s="1204" t="s">
        <v>1500</v>
      </c>
      <c r="B66" s="1172" t="s">
        <v>1435</v>
      </c>
      <c r="C66" s="24" t="e">
        <f ca="1">ROUND(C48*F66,1)</f>
        <v>#N/A</v>
      </c>
      <c r="D66" s="1186" t="s">
        <v>1455</v>
      </c>
      <c r="E66" s="1172" t="s">
        <v>1418</v>
      </c>
      <c r="F66" s="357" t="e">
        <f t="shared" ca="1" si="0"/>
        <v>#N/A</v>
      </c>
      <c r="O66" s="1887" t="s">
        <v>1038</v>
      </c>
      <c r="P66" s="1888" t="s">
        <v>1554</v>
      </c>
      <c r="Q66" s="1889" t="e">
        <f ca="1">L60</f>
        <v>#N/A</v>
      </c>
      <c r="R66" s="1889" t="s">
        <v>1577</v>
      </c>
    </row>
    <row r="67" spans="1:18" s="1845" customFormat="1" ht="16.5" thickBot="1">
      <c r="A67" s="1179" t="s">
        <v>1028</v>
      </c>
      <c r="B67" s="1189" t="s">
        <v>1459</v>
      </c>
      <c r="C67" s="361" t="e">
        <f ca="1">C48-C58</f>
        <v>#N/A</v>
      </c>
      <c r="D67" s="1185" t="s">
        <v>1460</v>
      </c>
      <c r="E67" s="1190"/>
      <c r="F67" s="1191"/>
      <c r="O67" s="1897" t="s">
        <v>1039</v>
      </c>
      <c r="P67" s="1888" t="s">
        <v>1558</v>
      </c>
      <c r="Q67" s="1936" t="e">
        <f ca="1">L51</f>
        <v>#N/A</v>
      </c>
      <c r="R67" s="1889" t="s">
        <v>1578</v>
      </c>
    </row>
    <row r="68" spans="1:18" s="1845" customFormat="1" ht="16.5" thickBot="1">
      <c r="A68" s="1169" t="s">
        <v>1029</v>
      </c>
      <c r="B68" s="1170" t="s">
        <v>1481</v>
      </c>
      <c r="C68" s="346" t="e">
        <f ca="1">ROUND(C67*(1-((1+F70)/(1+F68))^F69)/(F68-F70),0)</f>
        <v>#N/A</v>
      </c>
      <c r="D68" s="1187" t="s">
        <v>1465</v>
      </c>
      <c r="E68" s="1172" t="s">
        <v>1466</v>
      </c>
      <c r="F68" s="357" t="e">
        <f ca="1">F40</f>
        <v>#N/A</v>
      </c>
      <c r="O68" s="1897" t="s">
        <v>1040</v>
      </c>
      <c r="P68" s="1937" t="s">
        <v>1579</v>
      </c>
      <c r="Q68" s="1889" t="e">
        <f ca="1">ROUND(Q69-Q70*Q71,0)</f>
        <v>#N/A</v>
      </c>
      <c r="R68" s="1889" t="s">
        <v>1048</v>
      </c>
    </row>
    <row r="69" spans="1:18" s="1845" customFormat="1" ht="13.5" thickBot="1">
      <c r="A69" s="1173"/>
      <c r="B69" s="1174"/>
      <c r="C69" s="351"/>
      <c r="D69" s="1192" t="s">
        <v>1469</v>
      </c>
      <c r="E69" s="1172" t="s">
        <v>1470</v>
      </c>
      <c r="F69" s="379" t="e">
        <f ca="1">F41</f>
        <v>#N/A</v>
      </c>
      <c r="O69" s="1897" t="s">
        <v>1045</v>
      </c>
      <c r="P69" s="1937" t="s">
        <v>1580</v>
      </c>
      <c r="Q69" s="1889" t="e">
        <f ca="1">C39</f>
        <v>#N/A</v>
      </c>
      <c r="R69" s="1889" t="s">
        <v>1525</v>
      </c>
    </row>
    <row r="70" spans="1:18" s="1845" customFormat="1" ht="13.5" thickBot="1">
      <c r="A70" s="1176"/>
      <c r="B70" s="1177"/>
      <c r="C70" s="355"/>
      <c r="D70" s="1188"/>
      <c r="E70" s="1172" t="s">
        <v>1473</v>
      </c>
      <c r="F70" s="1278"/>
      <c r="O70" s="1897" t="s">
        <v>1046</v>
      </c>
      <c r="P70" s="1937" t="s">
        <v>1581</v>
      </c>
      <c r="Q70" s="1889" t="e">
        <f ca="1">C13</f>
        <v>#N/A</v>
      </c>
      <c r="R70" s="1889" t="s">
        <v>1525</v>
      </c>
    </row>
    <row r="71" spans="1:18" s="1845" customFormat="1" ht="13.5" thickBot="1">
      <c r="A71" s="1193" t="s">
        <v>1030</v>
      </c>
      <c r="B71" s="1194" t="s">
        <v>1483</v>
      </c>
      <c r="C71" s="382" t="e">
        <f ca="1">ROUND(C68*10000/F71,0)</f>
        <v>#N/A</v>
      </c>
      <c r="D71" s="1195" t="s">
        <v>1484</v>
      </c>
      <c r="E71" s="1196" t="s">
        <v>1485</v>
      </c>
      <c r="F71" s="385" t="e">
        <f ca="1">F43</f>
        <v>#N/A</v>
      </c>
      <c r="O71" s="1897" t="s">
        <v>1047</v>
      </c>
      <c r="P71" s="1937" t="s">
        <v>1582</v>
      </c>
      <c r="Q71" s="1900" t="e">
        <f ca="1">C76</f>
        <v>#N/A</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#N/A</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#N/A</v>
      </c>
      <c r="R74" s="1889" t="s">
        <v>1565</v>
      </c>
    </row>
    <row r="75" spans="1:18" ht="13.5" thickBot="1">
      <c r="A75" s="1845"/>
      <c r="B75" s="386" t="s">
        <v>1502</v>
      </c>
      <c r="C75" s="387" t="e">
        <f ca="1">ROUND(C13*C76,0)</f>
        <v>#N/A</v>
      </c>
      <c r="D75" s="1845"/>
      <c r="E75" s="1845"/>
      <c r="F75" s="1845"/>
      <c r="K75" s="1871"/>
      <c r="L75" s="1845"/>
      <c r="O75" s="1887" t="s">
        <v>1043</v>
      </c>
      <c r="P75" s="1888" t="s">
        <v>1545</v>
      </c>
      <c r="Q75" s="1889" t="e">
        <f ca="1">Q65+Q66</f>
        <v>#N/A</v>
      </c>
      <c r="R75" s="1889" t="s">
        <v>1044</v>
      </c>
    </row>
    <row r="76" spans="1:18">
      <c r="B76" s="388" t="s">
        <v>1503</v>
      </c>
      <c r="C76" s="389" t="e">
        <f ca="1">INDIRECT("'数据-取费表'!j"&amp;$G$1)</f>
        <v>#N/A</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37" priority="4">
      <formula>$L$48&gt;$J$51</formula>
    </cfRule>
  </conditionalFormatting>
  <conditionalFormatting sqref="I55 I60">
    <cfRule type="expression" dxfId="36" priority="5">
      <formula>$J$51&gt;$L$48</formula>
    </cfRule>
  </conditionalFormatting>
  <conditionalFormatting sqref="C11">
    <cfRule type="expression" dxfId="35" priority="3">
      <formula>$F$10="自定义"</formula>
    </cfRule>
  </conditionalFormatting>
  <conditionalFormatting sqref="J11">
    <cfRule type="expression" dxfId="34" priority="2">
      <formula>$M$10="自定义"</formula>
    </cfRule>
  </conditionalFormatting>
  <conditionalFormatting sqref="C54">
    <cfRule type="expression" dxfId="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topLeftCell="B1" workbookViewId="0">
      <selection activeCell="C38" sqref="C38"/>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6" t="s">
        <v>2525</v>
      </c>
      <c r="B1" s="2567"/>
      <c r="C1" s="2567"/>
      <c r="D1" s="2567"/>
      <c r="E1" s="2568"/>
    </row>
    <row r="2" spans="1:6" ht="15.75">
      <c r="A2" s="2569" t="s">
        <v>2326</v>
      </c>
      <c r="B2" s="2570">
        <f ca="1">SUMIF(B6:B13,"&lt;&gt;#ref!",B6:B13)</f>
        <v>23324</v>
      </c>
      <c r="C2" s="2571" t="s">
        <v>2518</v>
      </c>
      <c r="D2" s="2572" t="s">
        <v>2519</v>
      </c>
      <c r="E2" s="2573">
        <f>SUM(E6:E13)</f>
        <v>20447.539999999997</v>
      </c>
    </row>
    <row r="3" spans="1:6" ht="15.75">
      <c r="A3" s="2569" t="s">
        <v>1391</v>
      </c>
      <c r="B3" s="2570">
        <f ca="1">ROUND(B2*10000/E2,0)</f>
        <v>11407</v>
      </c>
      <c r="C3" s="2571" t="s">
        <v>2526</v>
      </c>
      <c r="D3" s="2574"/>
      <c r="E3" s="2575"/>
    </row>
    <row r="4" spans="1:6" ht="15.75">
      <c r="A4" s="2576"/>
      <c r="B4" s="2574"/>
      <c r="C4" s="2574"/>
      <c r="D4" s="2574"/>
      <c r="E4" s="2575"/>
    </row>
    <row r="5" spans="1:6" ht="15">
      <c r="A5" s="2577" t="s">
        <v>2520</v>
      </c>
      <c r="B5" s="3325" t="s">
        <v>2521</v>
      </c>
      <c r="C5" s="3325"/>
      <c r="D5" s="2578"/>
      <c r="E5" s="2579" t="s">
        <v>2522</v>
      </c>
      <c r="F5" s="2580" t="s">
        <v>2523</v>
      </c>
    </row>
    <row r="6" spans="1:6">
      <c r="A6" s="2581" t="str">
        <f>'数据-取费表'!AN6</f>
        <v>收益法</v>
      </c>
      <c r="B6" s="2580">
        <f ca="1">IF(F6="是",'数据-取费表'!AO6,0)</f>
        <v>23324</v>
      </c>
      <c r="C6" s="2571" t="s">
        <v>2518</v>
      </c>
      <c r="D6" s="2574"/>
      <c r="E6" s="2582">
        <f>IF(OR(A6=0,F6="否"),0,'数据-取费表'!K6+'数据-取费表'!S6)</f>
        <v>20447.539999999997</v>
      </c>
      <c r="F6" s="2583" t="s">
        <v>2524</v>
      </c>
    </row>
    <row r="7" spans="1:6">
      <c r="A7" s="2581">
        <f>'数据-取费表'!AN7</f>
        <v>0</v>
      </c>
      <c r="B7" s="2580" t="e">
        <f ca="1">IF(F7="是",'数据-取费表'!AO7,0)</f>
        <v>#REF!</v>
      </c>
      <c r="C7" s="2571" t="s">
        <v>2518</v>
      </c>
      <c r="D7" s="2574"/>
      <c r="E7" s="2582">
        <f>IF(OR(A7=0,F7="否"),0,'数据-取费表'!K7+'数据-取费表'!S7)</f>
        <v>0</v>
      </c>
      <c r="F7" s="2583" t="s">
        <v>2524</v>
      </c>
    </row>
    <row r="8" spans="1:6">
      <c r="A8" s="2581">
        <f>'数据-取费表'!AN8</f>
        <v>0</v>
      </c>
      <c r="B8" s="2580" t="e">
        <f ca="1">IF(F8="是",'数据-取费表'!AO8,0)</f>
        <v>#REF!</v>
      </c>
      <c r="C8" s="2571" t="s">
        <v>2518</v>
      </c>
      <c r="D8" s="2574"/>
      <c r="E8" s="2582">
        <f>IF(OR(A8=0,F8="否"),0,'数据-取费表'!K8+'数据-取费表'!S8)</f>
        <v>0</v>
      </c>
      <c r="F8" s="2583" t="s">
        <v>2524</v>
      </c>
    </row>
    <row r="9" spans="1:6">
      <c r="A9" s="2581">
        <f>'数据-取费表'!AN9</f>
        <v>0</v>
      </c>
      <c r="B9" s="2580" t="e">
        <f ca="1">IF(F9="是",'数据-取费表'!AO9,0)</f>
        <v>#REF!</v>
      </c>
      <c r="C9" s="2571" t="s">
        <v>2518</v>
      </c>
      <c r="D9" s="2574"/>
      <c r="E9" s="2582">
        <f>IF(OR(A9=0,F9="否"),0,'数据-取费表'!K9+'数据-取费表'!S9)</f>
        <v>0</v>
      </c>
      <c r="F9" s="2583" t="s">
        <v>2524</v>
      </c>
    </row>
    <row r="10" spans="1:6">
      <c r="A10" s="2581">
        <f>'数据-取费表'!AN10</f>
        <v>0</v>
      </c>
      <c r="B10" s="2580" t="e">
        <f ca="1">IF(F10="是",'数据-取费表'!AO10,0)</f>
        <v>#REF!</v>
      </c>
      <c r="C10" s="2571" t="s">
        <v>2518</v>
      </c>
      <c r="D10" s="2574"/>
      <c r="E10" s="2582">
        <f>IF(OR(A10=0,F10="否"),0,'数据-取费表'!K10+'数据-取费表'!S10)</f>
        <v>0</v>
      </c>
      <c r="F10" s="2583" t="s">
        <v>2524</v>
      </c>
    </row>
    <row r="11" spans="1:6">
      <c r="A11" s="2581">
        <f>'数据-取费表'!AN11</f>
        <v>0</v>
      </c>
      <c r="B11" s="2580" t="e">
        <f ca="1">IF(F11="是",'数据-取费表'!AO11,0)</f>
        <v>#REF!</v>
      </c>
      <c r="C11" s="2571" t="s">
        <v>2518</v>
      </c>
      <c r="D11" s="2574"/>
      <c r="E11" s="2582">
        <f>IF(OR(A11=0,F11="否"),0,'数据-取费表'!K11+'数据-取费表'!S11)</f>
        <v>0</v>
      </c>
      <c r="F11" s="2583" t="s">
        <v>2524</v>
      </c>
    </row>
    <row r="12" spans="1:6">
      <c r="A12" s="2581">
        <f>'数据-取费表'!AN12</f>
        <v>0</v>
      </c>
      <c r="B12" s="2580" t="e">
        <f ca="1">IF(F12="是",'数据-取费表'!AO12,0)</f>
        <v>#REF!</v>
      </c>
      <c r="C12" s="2571" t="s">
        <v>2518</v>
      </c>
      <c r="D12" s="2574"/>
      <c r="E12" s="2582">
        <f>IF(OR(A12=0,F12="否"),0,'数据-取费表'!K12+'数据-取费表'!S12)</f>
        <v>0</v>
      </c>
      <c r="F12" s="2583" t="s">
        <v>2524</v>
      </c>
    </row>
    <row r="13" spans="1:6" ht="15" thickBot="1">
      <c r="A13" s="2584">
        <f>'数据-取费表'!AN13</f>
        <v>0</v>
      </c>
      <c r="B13" s="2580" t="e">
        <f ca="1">IF(F13="是",'数据-取费表'!AO13,0)</f>
        <v>#REF!</v>
      </c>
      <c r="C13" s="2585" t="s">
        <v>2518</v>
      </c>
      <c r="D13" s="2586"/>
      <c r="E13" s="2582">
        <f>IF(OR(A13=0,F13="否"),0,'数据-取费表'!K13+'数据-取费表'!S13)</f>
        <v>0</v>
      </c>
      <c r="F13" s="2583"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3" zoomScale="80" zoomScaleNormal="80" workbookViewId="0">
      <selection activeCell="G21" sqref="G21"/>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7.125" style="403" bestFit="1"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f>F66</f>
        <v>6758</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2328</v>
      </c>
      <c r="B3" s="609">
        <f>ROUND(IF(D3="",B2*10000/'数据-汇总表'!E3,B2*10000/D3),0)</f>
        <v>3305</v>
      </c>
      <c r="C3" s="247" t="s">
        <v>2745</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91" t="s">
        <v>2646</v>
      </c>
      <c r="S4" s="3292"/>
      <c r="T4" s="3291" t="s">
        <v>2647</v>
      </c>
      <c r="U4" s="3292"/>
      <c r="V4" s="3297" t="s">
        <v>2648</v>
      </c>
      <c r="W4" s="3297"/>
      <c r="X4" s="1816"/>
      <c r="Y4" s="3291" t="s">
        <v>2650</v>
      </c>
      <c r="Z4" s="3292"/>
      <c r="AA4" s="3278" t="s">
        <v>2646</v>
      </c>
      <c r="AB4" s="3279" t="s">
        <v>2647</v>
      </c>
      <c r="AC4" s="3278" t="s">
        <v>2648</v>
      </c>
    </row>
    <row r="5" spans="1:30" ht="15">
      <c r="A5" s="404"/>
      <c r="B5" s="405"/>
      <c r="C5" s="3300" t="s">
        <v>3348</v>
      </c>
      <c r="D5" s="3301"/>
      <c r="E5" s="3307" t="s">
        <v>3361</v>
      </c>
      <c r="F5" s="3308"/>
      <c r="G5" s="3300" t="s">
        <v>3324</v>
      </c>
      <c r="H5" s="3301"/>
      <c r="I5" s="3300" t="s">
        <v>3328</v>
      </c>
      <c r="J5" s="3301"/>
      <c r="K5" s="610"/>
      <c r="L5" s="1133"/>
      <c r="M5" s="1134"/>
      <c r="N5" s="1134"/>
      <c r="O5" s="1134"/>
      <c r="P5" s="3287"/>
      <c r="Q5" s="3288"/>
      <c r="R5" s="3293"/>
      <c r="S5" s="3294"/>
      <c r="T5" s="3293"/>
      <c r="U5" s="3294"/>
      <c r="V5" s="3297"/>
      <c r="W5" s="3297"/>
      <c r="X5" s="1816"/>
      <c r="Y5" s="3293"/>
      <c r="Z5" s="3294"/>
      <c r="AA5" s="3279"/>
      <c r="AB5" s="3279"/>
      <c r="AC5" s="3279"/>
    </row>
    <row r="6" spans="1:30" ht="15.75" thickBot="1">
      <c r="A6" s="406"/>
      <c r="B6" s="407"/>
      <c r="C6" s="3298" t="s">
        <v>3349</v>
      </c>
      <c r="D6" s="3299"/>
      <c r="E6" s="3305" t="s">
        <v>3349</v>
      </c>
      <c r="F6" s="3306"/>
      <c r="G6" s="3298" t="s">
        <v>3349</v>
      </c>
      <c r="H6" s="3299"/>
      <c r="I6" s="3298" t="s">
        <v>3349</v>
      </c>
      <c r="J6" s="3299"/>
      <c r="K6" s="610" t="s">
        <v>2546</v>
      </c>
      <c r="L6" s="1133"/>
      <c r="M6" s="1134"/>
      <c r="N6" s="1134"/>
      <c r="O6" s="1134"/>
      <c r="P6" s="3289"/>
      <c r="Q6" s="3290"/>
      <c r="R6" s="3293"/>
      <c r="S6" s="3294"/>
      <c r="T6" s="3295"/>
      <c r="U6" s="3296"/>
      <c r="V6" s="3297"/>
      <c r="W6" s="3297"/>
      <c r="X6" s="1816"/>
      <c r="Y6" s="3295"/>
      <c r="Z6" s="3296"/>
      <c r="AA6" s="3280"/>
      <c r="AB6" s="3280"/>
      <c r="AC6" s="3280"/>
    </row>
    <row r="7" spans="1:30" s="117" customFormat="1" ht="15.75" thickBot="1">
      <c r="A7" s="408" t="s">
        <v>2547</v>
      </c>
      <c r="B7" s="409"/>
      <c r="C7" s="410">
        <f>'数据-取费表'!B2</f>
        <v>43598</v>
      </c>
      <c r="D7" s="411">
        <v>100</v>
      </c>
      <c r="E7" s="412">
        <v>42706</v>
      </c>
      <c r="F7" s="413">
        <f>SUMIF(70:70,YEAR(E7)&amp;"-"&amp;INT((MONTH(E7)+2)/3),71:71)</f>
        <v>100</v>
      </c>
      <c r="G7" s="2701">
        <v>42615</v>
      </c>
      <c r="H7" s="411">
        <f>SUMIF(70:70,YEAR(G7)&amp;"-"&amp;INT((MONTH(G7)+2)/3),71:71)</f>
        <v>100</v>
      </c>
      <c r="I7" s="2701">
        <v>42587</v>
      </c>
      <c r="J7" s="411">
        <f>SUMIF(70:70,YEAR(I7)&amp;"-"&amp;INT((MONTH(I7)+2)/3),71:71)</f>
        <v>100</v>
      </c>
      <c r="K7" s="611"/>
      <c r="L7" s="1135"/>
      <c r="M7" s="1136"/>
      <c r="N7" s="1136"/>
      <c r="O7" s="1136"/>
      <c r="P7" s="3302" t="s">
        <v>2548</v>
      </c>
      <c r="Q7" s="3304"/>
      <c r="R7" s="770" t="s">
        <v>17</v>
      </c>
      <c r="S7" s="771">
        <f t="shared" ref="S7:S15" si="0">F7</f>
        <v>100</v>
      </c>
      <c r="T7" s="770" t="s">
        <v>17</v>
      </c>
      <c r="U7" s="771">
        <f t="shared" ref="U7:U15" si="1">H7</f>
        <v>100</v>
      </c>
      <c r="V7" s="770" t="s">
        <v>17</v>
      </c>
      <c r="W7" s="771">
        <f t="shared" ref="W7:W15" si="2">J7</f>
        <v>100</v>
      </c>
      <c r="X7" s="772"/>
      <c r="Y7" s="3302" t="s">
        <v>2548</v>
      </c>
      <c r="Z7" s="3303"/>
      <c r="AA7" s="773">
        <f>D7/F7</f>
        <v>1</v>
      </c>
      <c r="AB7" s="773">
        <f>D7/H7</f>
        <v>1</v>
      </c>
      <c r="AC7" s="773">
        <f>D7/J7</f>
        <v>1</v>
      </c>
    </row>
    <row r="8" spans="1:30" s="117" customFormat="1" ht="15.75" thickBot="1">
      <c r="A8" s="408" t="s">
        <v>2549</v>
      </c>
      <c r="B8" s="409"/>
      <c r="C8" s="414" t="s">
        <v>2550</v>
      </c>
      <c r="D8" s="411">
        <v>100</v>
      </c>
      <c r="E8" s="414" t="s">
        <v>3292</v>
      </c>
      <c r="F8" s="413">
        <f>SUMIF(73:73,E8,74:74)-SUMIF(73:73,C8,74:74)+100</f>
        <v>100</v>
      </c>
      <c r="G8" s="414" t="s">
        <v>3292</v>
      </c>
      <c r="H8" s="411">
        <f>SUMIF(73:73,G8,74:74)-SUMIF(73:73,C8,74:74)+100</f>
        <v>100</v>
      </c>
      <c r="I8" s="414" t="s">
        <v>3292</v>
      </c>
      <c r="J8" s="411">
        <f>SUMIF(73:73,I8,74:74)-SUMIF(73:73,C8,74:74)+100</f>
        <v>100</v>
      </c>
      <c r="K8" s="611"/>
      <c r="L8" s="1135"/>
      <c r="M8" s="1136"/>
      <c r="N8" s="1136"/>
      <c r="O8" s="1136"/>
      <c r="P8" s="3302" t="s">
        <v>2551</v>
      </c>
      <c r="Q8" s="3303"/>
      <c r="R8" s="770" t="s">
        <v>17</v>
      </c>
      <c r="S8" s="771">
        <f t="shared" si="0"/>
        <v>100</v>
      </c>
      <c r="T8" s="770" t="s">
        <v>17</v>
      </c>
      <c r="U8" s="771">
        <f t="shared" si="1"/>
        <v>100</v>
      </c>
      <c r="V8" s="770" t="s">
        <v>17</v>
      </c>
      <c r="W8" s="771">
        <f t="shared" si="2"/>
        <v>100</v>
      </c>
      <c r="X8" s="772"/>
      <c r="Y8" s="3302" t="s">
        <v>2551</v>
      </c>
      <c r="Z8" s="3303"/>
      <c r="AA8" s="773">
        <f t="shared" ref="AA8:AA45" si="3">D8/F8</f>
        <v>1</v>
      </c>
      <c r="AB8" s="773">
        <f t="shared" ref="AB8:AB45" si="4">D8/H8</f>
        <v>1</v>
      </c>
      <c r="AC8" s="773">
        <f t="shared" ref="AC8:AC45" si="5">D8/J8</f>
        <v>1</v>
      </c>
    </row>
    <row r="9" spans="1:30" s="117" customFormat="1">
      <c r="A9" s="415" t="s">
        <v>2552</v>
      </c>
      <c r="B9" s="71" t="s">
        <v>2553</v>
      </c>
      <c r="C9" s="2704" t="s">
        <v>1373</v>
      </c>
      <c r="D9" s="135">
        <v>100</v>
      </c>
      <c r="E9" s="2704" t="s">
        <v>1373</v>
      </c>
      <c r="F9" s="135">
        <f>SUMIF(75:75,E9,76:76)-SUMIF(75:75,C9,76:76)+100</f>
        <v>100</v>
      </c>
      <c r="G9" s="2704" t="s">
        <v>1373</v>
      </c>
      <c r="H9" s="135">
        <f>SUMIF(75:75,G9,76:76)-SUMIF(75:75,C9,76:76)+100</f>
        <v>100</v>
      </c>
      <c r="I9" s="2704" t="s">
        <v>1373</v>
      </c>
      <c r="J9" s="135">
        <f>SUMIF(75:75,I9,76:76)-SUMIF(75:75,C9,76:76)+100</f>
        <v>100</v>
      </c>
      <c r="K9" s="611"/>
      <c r="L9" s="1135"/>
      <c r="M9" s="1136"/>
      <c r="N9" s="1136"/>
      <c r="O9" s="1137"/>
      <c r="P9" s="3266" t="s">
        <v>2554</v>
      </c>
      <c r="Q9" s="1798" t="str">
        <f t="shared" ref="Q9:Q15" si="6">B9</f>
        <v>用途</v>
      </c>
      <c r="R9" s="770" t="s">
        <v>17</v>
      </c>
      <c r="S9" s="771">
        <f t="shared" si="0"/>
        <v>100</v>
      </c>
      <c r="T9" s="770" t="s">
        <v>17</v>
      </c>
      <c r="U9" s="771">
        <f t="shared" si="1"/>
        <v>100</v>
      </c>
      <c r="V9" s="770" t="s">
        <v>17</v>
      </c>
      <c r="W9" s="771">
        <f t="shared" si="2"/>
        <v>100</v>
      </c>
      <c r="X9" s="772"/>
      <c r="Y9" s="3080"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ROUND(100/'数据-取费表'!G16,0)</f>
        <v>105</v>
      </c>
      <c r="G10" s="463"/>
      <c r="H10" s="136">
        <f>ROUND(100/'数据-取费表'!G16,0)</f>
        <v>105</v>
      </c>
      <c r="I10" s="463"/>
      <c r="J10" s="136">
        <f>ROUND(100/'数据-取费表'!G16,0)</f>
        <v>105</v>
      </c>
      <c r="K10" s="672"/>
      <c r="L10" s="1138"/>
      <c r="M10" s="1139"/>
      <c r="N10" s="1139"/>
      <c r="O10" s="1140"/>
      <c r="P10" s="3266"/>
      <c r="Q10" s="1798" t="str">
        <f t="shared" si="6"/>
        <v>土地使用年限（年）</v>
      </c>
      <c r="R10" s="770" t="s">
        <v>17</v>
      </c>
      <c r="S10" s="771">
        <f t="shared" si="0"/>
        <v>105</v>
      </c>
      <c r="T10" s="770" t="s">
        <v>17</v>
      </c>
      <c r="U10" s="771">
        <f t="shared" si="1"/>
        <v>105</v>
      </c>
      <c r="V10" s="770" t="s">
        <v>17</v>
      </c>
      <c r="W10" s="771">
        <f t="shared" si="2"/>
        <v>105</v>
      </c>
      <c r="X10" s="772"/>
      <c r="Y10" s="3080"/>
      <c r="Z10" s="55" t="str">
        <f t="shared" si="7"/>
        <v>土地使用年限（年）</v>
      </c>
      <c r="AA10" s="773">
        <f t="shared" si="3"/>
        <v>0.95238095238095233</v>
      </c>
      <c r="AB10" s="773">
        <f t="shared" si="4"/>
        <v>0.95238095238095233</v>
      </c>
      <c r="AC10" s="773">
        <f t="shared" si="5"/>
        <v>0.95238095238095233</v>
      </c>
    </row>
    <row r="11" spans="1:30" ht="15">
      <c r="A11" s="428"/>
      <c r="B11" s="422" t="s">
        <v>2557</v>
      </c>
      <c r="C11" s="429">
        <f>'数据-汇总表'!I6</f>
        <v>0.51</v>
      </c>
      <c r="D11" s="136">
        <v>100</v>
      </c>
      <c r="E11" s="429">
        <v>3</v>
      </c>
      <c r="F11" s="136">
        <f>LOOKUP(E11,80:80,81:81)-LOOKUP(C11,80:80,81:81)+100</f>
        <v>118</v>
      </c>
      <c r="G11" s="430">
        <v>2.7</v>
      </c>
      <c r="H11" s="136">
        <f>LOOKUP(G11,80:80,81:81)-LOOKUP(C11,80:80,81:81)+100</f>
        <v>112</v>
      </c>
      <c r="I11" s="429">
        <v>3.1</v>
      </c>
      <c r="J11" s="136">
        <f>LOOKUP(I11,80:80,81:81)-LOOKUP(C11,80:80,81:81)+100</f>
        <v>118</v>
      </c>
      <c r="K11" s="673">
        <v>6</v>
      </c>
      <c r="L11" s="1141"/>
      <c r="M11" s="1134"/>
      <c r="N11" s="1134"/>
      <c r="O11" s="1142"/>
      <c r="P11" s="3266"/>
      <c r="Q11" s="1798" t="str">
        <f t="shared" si="6"/>
        <v>容积率</v>
      </c>
      <c r="R11" s="770" t="s">
        <v>17</v>
      </c>
      <c r="S11" s="771">
        <f t="shared" si="0"/>
        <v>118</v>
      </c>
      <c r="T11" s="770" t="s">
        <v>17</v>
      </c>
      <c r="U11" s="771">
        <f t="shared" si="1"/>
        <v>112</v>
      </c>
      <c r="V11" s="770" t="s">
        <v>17</v>
      </c>
      <c r="W11" s="771">
        <f t="shared" si="2"/>
        <v>118</v>
      </c>
      <c r="X11" s="772"/>
      <c r="Y11" s="3080"/>
      <c r="Z11" s="55" t="str">
        <f t="shared" si="7"/>
        <v>容积率</v>
      </c>
      <c r="AA11" s="773">
        <f t="shared" si="3"/>
        <v>0.84745762711864403</v>
      </c>
      <c r="AB11" s="773">
        <f t="shared" si="4"/>
        <v>0.8928571428571429</v>
      </c>
      <c r="AC11" s="773">
        <f t="shared" si="5"/>
        <v>0.84745762711864403</v>
      </c>
    </row>
    <row r="12" spans="1:30" s="117" customFormat="1" ht="15">
      <c r="A12" s="431"/>
      <c r="B12" s="2605" t="s">
        <v>2746</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66"/>
      <c r="Q12" s="1798" t="str">
        <f t="shared" si="6"/>
        <v>配建</v>
      </c>
      <c r="R12" s="770" t="s">
        <v>17</v>
      </c>
      <c r="S12" s="771">
        <f t="shared" si="0"/>
        <v>100</v>
      </c>
      <c r="T12" s="770" t="s">
        <v>17</v>
      </c>
      <c r="U12" s="771">
        <f t="shared" si="1"/>
        <v>100</v>
      </c>
      <c r="V12" s="770" t="s">
        <v>17</v>
      </c>
      <c r="W12" s="771">
        <f t="shared" si="2"/>
        <v>100</v>
      </c>
      <c r="X12" s="772"/>
      <c r="Y12" s="3080"/>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66"/>
      <c r="Q13" s="1798">
        <f t="shared" si="6"/>
        <v>111</v>
      </c>
      <c r="R13" s="770" t="s">
        <v>17</v>
      </c>
      <c r="S13" s="771">
        <f t="shared" si="0"/>
        <v>100</v>
      </c>
      <c r="T13" s="770" t="s">
        <v>17</v>
      </c>
      <c r="U13" s="771">
        <f t="shared" si="1"/>
        <v>100</v>
      </c>
      <c r="V13" s="770" t="s">
        <v>17</v>
      </c>
      <c r="W13" s="771">
        <f t="shared" si="2"/>
        <v>100</v>
      </c>
      <c r="X13" s="772"/>
      <c r="Y13" s="3080"/>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66"/>
      <c r="Q14" s="1798">
        <f t="shared" si="6"/>
        <v>111</v>
      </c>
      <c r="R14" s="770" t="s">
        <v>17</v>
      </c>
      <c r="S14" s="771">
        <f t="shared" si="0"/>
        <v>100</v>
      </c>
      <c r="T14" s="770" t="s">
        <v>17</v>
      </c>
      <c r="U14" s="771">
        <f t="shared" si="1"/>
        <v>100</v>
      </c>
      <c r="V14" s="770" t="s">
        <v>17</v>
      </c>
      <c r="W14" s="771">
        <f t="shared" si="2"/>
        <v>100</v>
      </c>
      <c r="X14" s="772"/>
      <c r="Y14" s="3080"/>
      <c r="Z14" s="55">
        <f t="shared" si="7"/>
        <v>111</v>
      </c>
      <c r="AA14" s="773">
        <f>D14/F14</f>
        <v>1</v>
      </c>
      <c r="AB14" s="773">
        <f>D14/H14</f>
        <v>1</v>
      </c>
      <c r="AC14" s="773">
        <f>D14/J14</f>
        <v>1</v>
      </c>
    </row>
    <row r="15" spans="1:30" ht="99.75">
      <c r="A15" s="440" t="s">
        <v>2558</v>
      </c>
      <c r="B15" s="69" t="s">
        <v>2084</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68" t="s">
        <v>2559</v>
      </c>
      <c r="Q15" s="1813" t="str">
        <f t="shared" si="6"/>
        <v>居住社区成熟度</v>
      </c>
      <c r="R15" s="774" t="s">
        <v>17</v>
      </c>
      <c r="S15" s="775">
        <f t="shared" si="0"/>
        <v>100</v>
      </c>
      <c r="T15" s="774" t="s">
        <v>17</v>
      </c>
      <c r="U15" s="775">
        <f t="shared" si="1"/>
        <v>100</v>
      </c>
      <c r="V15" s="774" t="s">
        <v>17</v>
      </c>
      <c r="W15" s="775">
        <f t="shared" si="2"/>
        <v>100</v>
      </c>
      <c r="X15" s="1816"/>
      <c r="Y15" s="3268" t="s">
        <v>2559</v>
      </c>
      <c r="Z15" s="1817" t="str">
        <f t="shared" si="7"/>
        <v>居住社区成熟度</v>
      </c>
      <c r="AA15" s="1814">
        <f t="shared" si="3"/>
        <v>1</v>
      </c>
      <c r="AB15" s="1814">
        <f t="shared" si="4"/>
        <v>1</v>
      </c>
      <c r="AC15" s="1814">
        <f t="shared" si="5"/>
        <v>1</v>
      </c>
    </row>
    <row r="16" spans="1:30" ht="15">
      <c r="A16" s="428"/>
      <c r="B16" s="446"/>
      <c r="C16" s="447"/>
      <c r="D16" s="448"/>
      <c r="E16" s="2610"/>
      <c r="F16" s="448"/>
      <c r="G16" s="2610"/>
      <c r="H16" s="450"/>
      <c r="I16" s="2609"/>
      <c r="J16" s="448"/>
      <c r="K16" s="672"/>
      <c r="L16" s="1143"/>
      <c r="M16" s="1134"/>
      <c r="N16" s="1134"/>
      <c r="O16" s="1142"/>
      <c r="P16" s="3269"/>
      <c r="Q16" s="1813"/>
      <c r="R16" s="774"/>
      <c r="S16" s="775"/>
      <c r="T16" s="774"/>
      <c r="U16" s="775"/>
      <c r="V16" s="774"/>
      <c r="W16" s="775"/>
      <c r="X16" s="1816"/>
      <c r="Y16" s="3269"/>
      <c r="Z16" s="1817"/>
      <c r="AA16" s="1814">
        <v>1</v>
      </c>
      <c r="AB16" s="1814">
        <v>1</v>
      </c>
      <c r="AC16" s="1814">
        <v>1</v>
      </c>
    </row>
    <row r="17" spans="1:29" ht="71.25">
      <c r="A17" s="428"/>
      <c r="B17" s="451" t="s">
        <v>2652</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5</v>
      </c>
      <c r="L17" s="1143"/>
      <c r="M17" s="1134"/>
      <c r="N17" s="1134"/>
      <c r="O17" s="1142"/>
      <c r="P17" s="3269"/>
      <c r="Q17" s="1813" t="str">
        <f>B17</f>
        <v>商业繁华度</v>
      </c>
      <c r="R17" s="774" t="s">
        <v>17</v>
      </c>
      <c r="S17" s="775">
        <f>F17</f>
        <v>100</v>
      </c>
      <c r="T17" s="774" t="s">
        <v>17</v>
      </c>
      <c r="U17" s="775">
        <f>H17</f>
        <v>100</v>
      </c>
      <c r="V17" s="774" t="s">
        <v>17</v>
      </c>
      <c r="W17" s="775">
        <f>J17</f>
        <v>100</v>
      </c>
      <c r="X17" s="1816"/>
      <c r="Y17" s="3269"/>
      <c r="Z17" s="1817" t="str">
        <f>Q17</f>
        <v>商业繁华度</v>
      </c>
      <c r="AA17" s="1814">
        <f t="shared" si="3"/>
        <v>1</v>
      </c>
      <c r="AB17" s="1814">
        <f t="shared" si="4"/>
        <v>1</v>
      </c>
      <c r="AC17" s="1814">
        <f t="shared" si="5"/>
        <v>1</v>
      </c>
    </row>
    <row r="18" spans="1:29" ht="15">
      <c r="A18" s="428"/>
      <c r="B18" s="456"/>
      <c r="C18" s="2613" t="s">
        <v>3293</v>
      </c>
      <c r="D18" s="450"/>
      <c r="E18" s="2615" t="s">
        <v>3293</v>
      </c>
      <c r="F18" s="450"/>
      <c r="G18" s="2615" t="s">
        <v>3293</v>
      </c>
      <c r="H18" s="448"/>
      <c r="I18" s="2614" t="s">
        <v>3293</v>
      </c>
      <c r="J18" s="448"/>
      <c r="K18" s="672"/>
      <c r="L18" s="1143"/>
      <c r="M18" s="1134"/>
      <c r="N18" s="1134"/>
      <c r="O18" s="1142"/>
      <c r="P18" s="3269"/>
      <c r="Q18" s="1813"/>
      <c r="R18" s="774"/>
      <c r="S18" s="775"/>
      <c r="T18" s="774"/>
      <c r="U18" s="775"/>
      <c r="V18" s="774"/>
      <c r="W18" s="775"/>
      <c r="X18" s="1816"/>
      <c r="Y18" s="3269"/>
      <c r="Z18" s="1817"/>
      <c r="AA18" s="1814">
        <v>1</v>
      </c>
      <c r="AB18" s="1814">
        <v>1</v>
      </c>
      <c r="AC18" s="1814">
        <v>1</v>
      </c>
    </row>
    <row r="19" spans="1:29" ht="71.25">
      <c r="A19" s="428"/>
      <c r="B19" s="451" t="s">
        <v>2686</v>
      </c>
      <c r="C19" s="2669" t="str">
        <f>估价对象房地状况!C17</f>
        <v>估价对象位于XX商圈，周边办公楼项目较多，入驻率高，办公集聚程度较好</v>
      </c>
      <c r="D19" s="455">
        <v>100</v>
      </c>
      <c r="E19" s="457"/>
      <c r="F19" s="455">
        <f>SUMIF(92:92,E20,93:93)-SUMIF(92:92,C20,93:93)+100</f>
        <v>102</v>
      </c>
      <c r="G19" s="457"/>
      <c r="H19" s="450">
        <f>SUMIF(92:92,G20,93:93)-SUMIF(92:92,C20,93:93)+100</f>
        <v>102</v>
      </c>
      <c r="I19" s="459"/>
      <c r="J19" s="450">
        <f>SUMIF(92:92,I20,93:93)-SUMIF(92:92,C20,93:93)+100</f>
        <v>102</v>
      </c>
      <c r="K19" s="673">
        <v>2</v>
      </c>
      <c r="L19" s="1143"/>
      <c r="M19" s="1134"/>
      <c r="N19" s="1134"/>
      <c r="O19" s="1142"/>
      <c r="P19" s="3269"/>
      <c r="Q19" s="1813" t="str">
        <f>B19</f>
        <v>办公集聚程度</v>
      </c>
      <c r="R19" s="774" t="s">
        <v>17</v>
      </c>
      <c r="S19" s="775">
        <f>F19</f>
        <v>102</v>
      </c>
      <c r="T19" s="774" t="s">
        <v>17</v>
      </c>
      <c r="U19" s="775">
        <f>H19</f>
        <v>102</v>
      </c>
      <c r="V19" s="774" t="s">
        <v>17</v>
      </c>
      <c r="W19" s="775">
        <f>J19</f>
        <v>102</v>
      </c>
      <c r="X19" s="1816"/>
      <c r="Y19" s="3269"/>
      <c r="Z19" s="1817" t="str">
        <f>Q19</f>
        <v>办公集聚程度</v>
      </c>
      <c r="AA19" s="1814">
        <f t="shared" si="3"/>
        <v>0.98039215686274506</v>
      </c>
      <c r="AB19" s="1814">
        <f t="shared" si="4"/>
        <v>0.98039215686274506</v>
      </c>
      <c r="AC19" s="1814">
        <f t="shared" si="5"/>
        <v>0.98039215686274506</v>
      </c>
    </row>
    <row r="20" spans="1:29" ht="15">
      <c r="A20" s="428"/>
      <c r="B20" s="456"/>
      <c r="C20" s="447" t="s">
        <v>3293</v>
      </c>
      <c r="D20" s="448"/>
      <c r="E20" s="2610" t="s">
        <v>3294</v>
      </c>
      <c r="F20" s="448"/>
      <c r="G20" s="2610" t="s">
        <v>3294</v>
      </c>
      <c r="H20" s="448"/>
      <c r="I20" s="2609" t="s">
        <v>3294</v>
      </c>
      <c r="J20" s="448"/>
      <c r="K20" s="672"/>
      <c r="L20" s="1143"/>
      <c r="M20" s="1134"/>
      <c r="N20" s="1134"/>
      <c r="O20" s="1142"/>
      <c r="P20" s="3269"/>
      <c r="Q20" s="1813"/>
      <c r="R20" s="774"/>
      <c r="S20" s="775"/>
      <c r="T20" s="774"/>
      <c r="U20" s="775"/>
      <c r="V20" s="774"/>
      <c r="W20" s="775"/>
      <c r="X20" s="1816"/>
      <c r="Y20" s="3269"/>
      <c r="Z20" s="1817"/>
      <c r="AA20" s="1814">
        <v>1</v>
      </c>
      <c r="AB20" s="1814">
        <v>1</v>
      </c>
      <c r="AC20" s="1814">
        <v>1</v>
      </c>
    </row>
    <row r="21" spans="1:29" ht="85.5">
      <c r="A21" s="428"/>
      <c r="B21" s="451" t="s">
        <v>2708</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69"/>
      <c r="Q21" s="1813" t="str">
        <f>B21</f>
        <v>交通便捷度</v>
      </c>
      <c r="R21" s="774" t="s">
        <v>17</v>
      </c>
      <c r="S21" s="775">
        <f>F21</f>
        <v>100</v>
      </c>
      <c r="T21" s="774" t="s">
        <v>17</v>
      </c>
      <c r="U21" s="775">
        <f>H21</f>
        <v>100</v>
      </c>
      <c r="V21" s="774" t="s">
        <v>17</v>
      </c>
      <c r="W21" s="775">
        <f>J21</f>
        <v>100</v>
      </c>
      <c r="X21" s="1816"/>
      <c r="Y21" s="3269"/>
      <c r="Z21" s="1817" t="str">
        <f>Q21</f>
        <v>交通便捷度</v>
      </c>
      <c r="AA21" s="1814">
        <f t="shared" si="3"/>
        <v>1</v>
      </c>
      <c r="AB21" s="1814">
        <f t="shared" si="4"/>
        <v>1</v>
      </c>
      <c r="AC21" s="1814">
        <f t="shared" si="5"/>
        <v>1</v>
      </c>
    </row>
    <row r="22" spans="1:29" ht="15">
      <c r="A22" s="428"/>
      <c r="B22" s="1387"/>
      <c r="C22" s="447" t="s">
        <v>3294</v>
      </c>
      <c r="D22" s="450"/>
      <c r="E22" s="2610" t="s">
        <v>3294</v>
      </c>
      <c r="F22" s="448"/>
      <c r="G22" s="2610" t="s">
        <v>3294</v>
      </c>
      <c r="H22" s="448"/>
      <c r="I22" s="2609" t="s">
        <v>3294</v>
      </c>
      <c r="J22" s="448"/>
      <c r="K22" s="672"/>
      <c r="L22" s="1143"/>
      <c r="M22" s="1134"/>
      <c r="N22" s="1134"/>
      <c r="O22" s="1142"/>
      <c r="P22" s="3269"/>
      <c r="Q22" s="1813"/>
      <c r="R22" s="774"/>
      <c r="S22" s="775"/>
      <c r="T22" s="774"/>
      <c r="U22" s="775"/>
      <c r="V22" s="774"/>
      <c r="W22" s="775"/>
      <c r="X22" s="1816"/>
      <c r="Y22" s="3269"/>
      <c r="Z22" s="1817"/>
      <c r="AA22" s="1814">
        <v>1</v>
      </c>
      <c r="AB22" s="1814">
        <v>1</v>
      </c>
      <c r="AC22" s="1814">
        <v>1</v>
      </c>
    </row>
    <row r="23" spans="1:29" ht="15">
      <c r="A23" s="404"/>
      <c r="B23" s="451" t="s">
        <v>2747</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69"/>
      <c r="Q23" s="1813" t="str">
        <f t="shared" ref="Q23:Q37" si="8">B23</f>
        <v>区域土地利用方向</v>
      </c>
      <c r="R23" s="774" t="s">
        <v>17</v>
      </c>
      <c r="S23" s="775">
        <f>F23</f>
        <v>100</v>
      </c>
      <c r="T23" s="774" t="s">
        <v>17</v>
      </c>
      <c r="U23" s="775">
        <f>H23</f>
        <v>100</v>
      </c>
      <c r="V23" s="774" t="s">
        <v>17</v>
      </c>
      <c r="W23" s="775">
        <f>J23</f>
        <v>100</v>
      </c>
      <c r="X23" s="1816"/>
      <c r="Y23" s="3269"/>
      <c r="Z23" s="1817" t="str">
        <f>Q23</f>
        <v>区域土地利用方向</v>
      </c>
      <c r="AA23" s="1814">
        <f t="shared" si="3"/>
        <v>1</v>
      </c>
      <c r="AB23" s="1814">
        <f t="shared" si="4"/>
        <v>1</v>
      </c>
      <c r="AC23" s="1814">
        <f t="shared" si="5"/>
        <v>1</v>
      </c>
    </row>
    <row r="24" spans="1:29" ht="15">
      <c r="A24" s="404"/>
      <c r="B24" s="456"/>
      <c r="C24" s="616" t="s">
        <v>3294</v>
      </c>
      <c r="D24" s="448"/>
      <c r="E24" s="2610" t="s">
        <v>3294</v>
      </c>
      <c r="F24" s="448"/>
      <c r="G24" s="2609" t="s">
        <v>3294</v>
      </c>
      <c r="H24" s="448"/>
      <c r="I24" s="2609" t="s">
        <v>3294</v>
      </c>
      <c r="J24" s="448"/>
      <c r="K24" s="812"/>
      <c r="L24" s="1143"/>
      <c r="M24" s="1134"/>
      <c r="N24" s="1134"/>
      <c r="O24" s="1142"/>
      <c r="P24" s="3269"/>
      <c r="Q24" s="1813"/>
      <c r="R24" s="774"/>
      <c r="S24" s="775"/>
      <c r="T24" s="774"/>
      <c r="U24" s="775"/>
      <c r="V24" s="774"/>
      <c r="W24" s="775"/>
      <c r="X24" s="1816"/>
      <c r="Y24" s="3269"/>
      <c r="Z24" s="1817"/>
      <c r="AA24" s="1814"/>
      <c r="AB24" s="1814"/>
      <c r="AC24" s="1814"/>
    </row>
    <row r="25" spans="1:29" ht="57">
      <c r="A25" s="404"/>
      <c r="B25" s="1387" t="s">
        <v>2748</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69"/>
      <c r="Q25" s="1813" t="str">
        <f t="shared" si="8"/>
        <v>自然及人文环境状况</v>
      </c>
      <c r="R25" s="774" t="s">
        <v>17</v>
      </c>
      <c r="S25" s="775">
        <f>F25</f>
        <v>100</v>
      </c>
      <c r="T25" s="774" t="s">
        <v>17</v>
      </c>
      <c r="U25" s="775">
        <f>H25</f>
        <v>100</v>
      </c>
      <c r="V25" s="774" t="s">
        <v>17</v>
      </c>
      <c r="W25" s="775">
        <f>J25</f>
        <v>100</v>
      </c>
      <c r="X25" s="1816"/>
      <c r="Y25" s="3269"/>
      <c r="Z25" s="1817" t="str">
        <f>Q25</f>
        <v>自然及人文环境状况</v>
      </c>
      <c r="AA25" s="1814">
        <f t="shared" si="3"/>
        <v>1</v>
      </c>
      <c r="AB25" s="1814">
        <f t="shared" si="4"/>
        <v>1</v>
      </c>
      <c r="AC25" s="1814">
        <f t="shared" si="5"/>
        <v>1</v>
      </c>
    </row>
    <row r="26" spans="1:29" ht="15">
      <c r="A26" s="404"/>
      <c r="B26" s="456"/>
      <c r="C26" s="447" t="s">
        <v>3352</v>
      </c>
      <c r="D26" s="448"/>
      <c r="E26" s="2616" t="s">
        <v>3352</v>
      </c>
      <c r="F26" s="448"/>
      <c r="G26" s="2616" t="s">
        <v>3352</v>
      </c>
      <c r="H26" s="448"/>
      <c r="I26" s="447" t="s">
        <v>3352</v>
      </c>
      <c r="J26" s="448"/>
      <c r="K26" s="672"/>
      <c r="L26" s="1143"/>
      <c r="M26" s="1134"/>
      <c r="N26" s="1134"/>
      <c r="O26" s="1142"/>
      <c r="P26" s="3269"/>
      <c r="Q26" s="1813"/>
      <c r="R26" s="774"/>
      <c r="S26" s="775"/>
      <c r="T26" s="774"/>
      <c r="U26" s="775"/>
      <c r="V26" s="774"/>
      <c r="W26" s="775"/>
      <c r="X26" s="1816"/>
      <c r="Y26" s="3269"/>
      <c r="Z26" s="1817"/>
      <c r="AA26" s="1814">
        <v>1</v>
      </c>
      <c r="AB26" s="1814">
        <v>1</v>
      </c>
      <c r="AC26" s="1814">
        <v>1</v>
      </c>
    </row>
    <row r="27" spans="1:29" s="117" customFormat="1" ht="42.75">
      <c r="A27" s="649"/>
      <c r="B27" s="1387" t="s">
        <v>2653</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69"/>
      <c r="Q27" s="1798" t="str">
        <f t="shared" si="8"/>
        <v>公共配套设施</v>
      </c>
      <c r="R27" s="770" t="s">
        <v>17</v>
      </c>
      <c r="S27" s="771">
        <f>F27</f>
        <v>100</v>
      </c>
      <c r="T27" s="770" t="s">
        <v>17</v>
      </c>
      <c r="U27" s="771">
        <f>H27</f>
        <v>100</v>
      </c>
      <c r="V27" s="770" t="s">
        <v>17</v>
      </c>
      <c r="W27" s="771">
        <f>J27</f>
        <v>100</v>
      </c>
      <c r="X27" s="772"/>
      <c r="Y27" s="3269"/>
      <c r="Z27" s="55" t="str">
        <f>Q27</f>
        <v>公共配套设施</v>
      </c>
      <c r="AA27" s="1814">
        <f>D27/F27</f>
        <v>1</v>
      </c>
      <c r="AB27" s="1814">
        <f>D27/H27</f>
        <v>1</v>
      </c>
      <c r="AC27" s="1814">
        <f>D27/J27</f>
        <v>1</v>
      </c>
    </row>
    <row r="28" spans="1:29" s="117" customFormat="1" ht="15">
      <c r="A28" s="649"/>
      <c r="B28" s="456"/>
      <c r="C28" s="2705" t="s">
        <v>3293</v>
      </c>
      <c r="D28" s="448"/>
      <c r="E28" s="2616" t="s">
        <v>3293</v>
      </c>
      <c r="F28" s="448"/>
      <c r="G28" s="2616" t="s">
        <v>3293</v>
      </c>
      <c r="H28" s="448"/>
      <c r="I28" s="447" t="s">
        <v>3293</v>
      </c>
      <c r="J28" s="448"/>
      <c r="K28" s="672"/>
      <c r="L28" s="1135"/>
      <c r="M28" s="1136"/>
      <c r="N28" s="1136"/>
      <c r="O28" s="1137"/>
      <c r="P28" s="3269"/>
      <c r="Q28" s="1798"/>
      <c r="R28" s="770"/>
      <c r="S28" s="771"/>
      <c r="T28" s="770"/>
      <c r="U28" s="771"/>
      <c r="V28" s="770"/>
      <c r="W28" s="771"/>
      <c r="X28" s="772"/>
      <c r="Y28" s="3269"/>
      <c r="Z28" s="55"/>
      <c r="AA28" s="1814">
        <v>1</v>
      </c>
      <c r="AB28" s="1814">
        <v>1</v>
      </c>
      <c r="AC28" s="1814">
        <v>1</v>
      </c>
    </row>
    <row r="29" spans="1:29" s="117" customFormat="1" ht="28.5">
      <c r="A29" s="649"/>
      <c r="B29" s="1387" t="s">
        <v>2654</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69"/>
      <c r="Q29" s="1798" t="str">
        <f t="shared" ref="Q29" si="9">B29</f>
        <v>基础设施水平</v>
      </c>
      <c r="R29" s="770" t="s">
        <v>17</v>
      </c>
      <c r="S29" s="771">
        <f>F29</f>
        <v>100</v>
      </c>
      <c r="T29" s="770" t="s">
        <v>17</v>
      </c>
      <c r="U29" s="771">
        <f>H29</f>
        <v>100</v>
      </c>
      <c r="V29" s="770" t="s">
        <v>17</v>
      </c>
      <c r="W29" s="771">
        <f>J29</f>
        <v>100</v>
      </c>
      <c r="X29" s="772"/>
      <c r="Y29" s="3269"/>
      <c r="Z29" s="55" t="str">
        <f>Q29</f>
        <v>基础设施水平</v>
      </c>
      <c r="AA29" s="1814">
        <f>D29/F29</f>
        <v>1</v>
      </c>
      <c r="AB29" s="1814">
        <f>D29/H29</f>
        <v>1</v>
      </c>
      <c r="AC29" s="1814">
        <f>D29/J29</f>
        <v>1</v>
      </c>
    </row>
    <row r="30" spans="1:29" s="117" customFormat="1" ht="15">
      <c r="A30" s="649"/>
      <c r="B30" s="456"/>
      <c r="C30" s="2705" t="s">
        <v>3295</v>
      </c>
      <c r="D30" s="448"/>
      <c r="E30" s="2706" t="s">
        <v>3295</v>
      </c>
      <c r="F30" s="448"/>
      <c r="G30" s="2706" t="s">
        <v>3295</v>
      </c>
      <c r="H30" s="448"/>
      <c r="I30" s="2706" t="s">
        <v>3295</v>
      </c>
      <c r="J30" s="448"/>
      <c r="K30" s="672"/>
      <c r="L30" s="1135"/>
      <c r="M30" s="1136"/>
      <c r="N30" s="1136"/>
      <c r="O30" s="1137"/>
      <c r="P30" s="3269"/>
      <c r="Q30" s="1798"/>
      <c r="R30" s="770"/>
      <c r="S30" s="771"/>
      <c r="T30" s="770"/>
      <c r="U30" s="771"/>
      <c r="V30" s="770"/>
      <c r="W30" s="771"/>
      <c r="X30" s="772"/>
      <c r="Y30" s="3269"/>
      <c r="Z30" s="55"/>
      <c r="AA30" s="1814">
        <v>1</v>
      </c>
      <c r="AB30" s="1814">
        <v>1</v>
      </c>
      <c r="AC30" s="1814">
        <v>1</v>
      </c>
    </row>
    <row r="31" spans="1:29" ht="15">
      <c r="A31" s="428"/>
      <c r="B31" s="456" t="s">
        <v>2655</v>
      </c>
      <c r="C31" s="616" t="s">
        <v>3296</v>
      </c>
      <c r="D31" s="435">
        <v>100</v>
      </c>
      <c r="E31" s="634" t="s">
        <v>3296</v>
      </c>
      <c r="F31" s="435">
        <f>SUMIF(104:104,E31,105:105)-SUMIF(104:104,C31,105:105)+100</f>
        <v>100</v>
      </c>
      <c r="G31" s="634" t="s">
        <v>3296</v>
      </c>
      <c r="H31" s="435">
        <f>SUMIF(104:104,G31,105:105)-SUMIF(104:104,C31,105:105)+100</f>
        <v>100</v>
      </c>
      <c r="I31" s="634" t="s">
        <v>3296</v>
      </c>
      <c r="J31" s="435">
        <f>SUMIF(104:104,I31,105:105)-SUMIF(104:104,C31,105:105)+100</f>
        <v>100</v>
      </c>
      <c r="K31" s="673"/>
      <c r="L31" s="1143"/>
      <c r="M31" s="1134"/>
      <c r="N31" s="1134"/>
      <c r="O31" s="1142"/>
      <c r="P31" s="3269"/>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69"/>
      <c r="Z31" s="1817" t="str">
        <f t="shared" ref="Z31:Z45" si="13">Q31</f>
        <v>临街状况</v>
      </c>
      <c r="AA31" s="1814">
        <f t="shared" si="3"/>
        <v>1</v>
      </c>
      <c r="AB31" s="1814">
        <f t="shared" si="4"/>
        <v>1</v>
      </c>
      <c r="AC31" s="1814">
        <f t="shared" si="5"/>
        <v>1</v>
      </c>
    </row>
    <row r="32" spans="1:29" ht="27">
      <c r="A32" s="428"/>
      <c r="B32" s="1387"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69"/>
      <c r="Q32" s="1813" t="str">
        <f t="shared" si="8"/>
        <v>毗邻道路的类型与等级</v>
      </c>
      <c r="R32" s="774" t="s">
        <v>17</v>
      </c>
      <c r="S32" s="775">
        <f t="shared" si="10"/>
        <v>100</v>
      </c>
      <c r="T32" s="774" t="s">
        <v>17</v>
      </c>
      <c r="U32" s="775">
        <f t="shared" si="11"/>
        <v>100</v>
      </c>
      <c r="V32" s="774" t="s">
        <v>17</v>
      </c>
      <c r="W32" s="775">
        <f t="shared" si="12"/>
        <v>100</v>
      </c>
      <c r="X32" s="1816"/>
      <c r="Y32" s="3269"/>
      <c r="Z32" s="1817" t="str">
        <f t="shared" si="13"/>
        <v>毗邻道路的类型与等级</v>
      </c>
      <c r="AA32" s="1814">
        <f t="shared" si="3"/>
        <v>1</v>
      </c>
      <c r="AB32" s="1814">
        <f t="shared" si="4"/>
        <v>1</v>
      </c>
      <c r="AC32" s="1814">
        <f t="shared" si="5"/>
        <v>1</v>
      </c>
    </row>
    <row r="33" spans="1:29" ht="15">
      <c r="A33" s="428"/>
      <c r="B33" s="456"/>
      <c r="C33" s="447" t="s">
        <v>3297</v>
      </c>
      <c r="D33" s="448"/>
      <c r="E33" s="2616" t="s">
        <v>3297</v>
      </c>
      <c r="F33" s="448"/>
      <c r="G33" s="2616" t="s">
        <v>3297</v>
      </c>
      <c r="H33" s="448"/>
      <c r="I33" s="447" t="s">
        <v>3297</v>
      </c>
      <c r="J33" s="448"/>
      <c r="K33" s="613"/>
      <c r="L33" s="1143"/>
      <c r="M33" s="1134"/>
      <c r="N33" s="1134"/>
      <c r="O33" s="1142"/>
      <c r="P33" s="3269"/>
      <c r="Q33" s="1813"/>
      <c r="R33" s="774"/>
      <c r="S33" s="775"/>
      <c r="T33" s="774"/>
      <c r="U33" s="775"/>
      <c r="V33" s="774"/>
      <c r="W33" s="775"/>
      <c r="X33" s="1816"/>
      <c r="Y33" s="3269"/>
      <c r="Z33" s="1817"/>
      <c r="AA33" s="1814">
        <v>1</v>
      </c>
      <c r="AB33" s="1814">
        <v>1</v>
      </c>
      <c r="AC33" s="1814">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69"/>
      <c r="Q34" s="1813" t="str">
        <f t="shared" si="8"/>
        <v>土地级别</v>
      </c>
      <c r="R34" s="774" t="s">
        <v>17</v>
      </c>
      <c r="S34" s="775">
        <f t="shared" si="10"/>
        <v>100</v>
      </c>
      <c r="T34" s="774" t="s">
        <v>17</v>
      </c>
      <c r="U34" s="775">
        <f t="shared" si="11"/>
        <v>100</v>
      </c>
      <c r="V34" s="774" t="s">
        <v>17</v>
      </c>
      <c r="W34" s="775">
        <f t="shared" si="12"/>
        <v>100</v>
      </c>
      <c r="X34" s="1816"/>
      <c r="Y34" s="3269"/>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69"/>
      <c r="Q35" s="1813">
        <f t="shared" si="8"/>
        <v>111</v>
      </c>
      <c r="R35" s="774" t="s">
        <v>17</v>
      </c>
      <c r="S35" s="775">
        <f t="shared" si="10"/>
        <v>100</v>
      </c>
      <c r="T35" s="774" t="s">
        <v>17</v>
      </c>
      <c r="U35" s="775">
        <f t="shared" si="11"/>
        <v>100</v>
      </c>
      <c r="V35" s="774" t="s">
        <v>17</v>
      </c>
      <c r="W35" s="775">
        <f t="shared" si="12"/>
        <v>100</v>
      </c>
      <c r="X35" s="1816"/>
      <c r="Y35" s="3269"/>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324" t="s">
        <v>2564</v>
      </c>
      <c r="Q36" s="1813">
        <f t="shared" si="8"/>
        <v>111</v>
      </c>
      <c r="R36" s="774" t="s">
        <v>17</v>
      </c>
      <c r="S36" s="775">
        <f t="shared" si="10"/>
        <v>100</v>
      </c>
      <c r="T36" s="774" t="s">
        <v>17</v>
      </c>
      <c r="U36" s="775">
        <f t="shared" si="11"/>
        <v>100</v>
      </c>
      <c r="V36" s="774" t="s">
        <v>17</v>
      </c>
      <c r="W36" s="775">
        <f t="shared" si="12"/>
        <v>100</v>
      </c>
      <c r="X36" s="1816"/>
      <c r="Y36" s="3273" t="s">
        <v>2564</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73"/>
      <c r="Q37" s="1813">
        <f t="shared" si="8"/>
        <v>111</v>
      </c>
      <c r="R37" s="777" t="s">
        <v>17</v>
      </c>
      <c r="S37" s="778">
        <f t="shared" si="10"/>
        <v>100</v>
      </c>
      <c r="T37" s="777" t="s">
        <v>17</v>
      </c>
      <c r="U37" s="778">
        <f t="shared" si="11"/>
        <v>100</v>
      </c>
      <c r="V37" s="777" t="s">
        <v>17</v>
      </c>
      <c r="W37" s="778">
        <f t="shared" si="12"/>
        <v>100</v>
      </c>
      <c r="X37" s="779"/>
      <c r="Y37" s="3273"/>
      <c r="Z37" s="780">
        <f t="shared" si="13"/>
        <v>111</v>
      </c>
      <c r="AA37" s="1814">
        <f t="shared" si="3"/>
        <v>1</v>
      </c>
      <c r="AB37" s="1814">
        <f t="shared" si="4"/>
        <v>1</v>
      </c>
      <c r="AC37" s="1814">
        <f t="shared" si="5"/>
        <v>1</v>
      </c>
    </row>
    <row r="38" spans="1:29" ht="15">
      <c r="A38" s="472" t="s">
        <v>2562</v>
      </c>
      <c r="B38" s="456" t="s">
        <v>2750</v>
      </c>
      <c r="C38" s="679">
        <f>面积表!G27</f>
        <v>229635.6</v>
      </c>
      <c r="D38" s="467">
        <v>100</v>
      </c>
      <c r="E38" s="679">
        <f>土地案例!E2</f>
        <v>45336</v>
      </c>
      <c r="F38" s="467">
        <f>LOOKUP(E38,117:117,118:118)-LOOKUP(C38,117:117,118:118)+100</f>
        <v>96</v>
      </c>
      <c r="G38" s="679">
        <f>土地案例!D4</f>
        <v>16688</v>
      </c>
      <c r="H38" s="467">
        <f>LOOKUP(G38,117:117,118:118)-LOOKUP(C38,117:117,118:118)+100</f>
        <v>95</v>
      </c>
      <c r="I38" s="530">
        <f>土地案例!D5</f>
        <v>29583</v>
      </c>
      <c r="J38" s="467">
        <f>LOOKUP(I38,117:117,118:118)-LOOKUP(C38,117:117,118:118)+100</f>
        <v>96</v>
      </c>
      <c r="K38" s="613"/>
      <c r="L38" s="1143"/>
      <c r="M38" s="1134"/>
      <c r="N38" s="1134"/>
      <c r="O38" s="1142"/>
      <c r="P38" s="3273"/>
      <c r="Q38" s="1813" t="str">
        <f>B38</f>
        <v>宗地面积</v>
      </c>
      <c r="R38" s="774" t="s">
        <v>17</v>
      </c>
      <c r="S38" s="775">
        <f t="shared" si="10"/>
        <v>96</v>
      </c>
      <c r="T38" s="774" t="s">
        <v>17</v>
      </c>
      <c r="U38" s="775">
        <f t="shared" si="11"/>
        <v>95</v>
      </c>
      <c r="V38" s="774" t="s">
        <v>17</v>
      </c>
      <c r="W38" s="775">
        <f t="shared" si="12"/>
        <v>96</v>
      </c>
      <c r="X38" s="1816"/>
      <c r="Y38" s="3273"/>
      <c r="Z38" s="1817" t="str">
        <f t="shared" si="13"/>
        <v>宗地面积</v>
      </c>
      <c r="AA38" s="1814">
        <f t="shared" si="3"/>
        <v>1.0416666666666667</v>
      </c>
      <c r="AB38" s="1814">
        <f t="shared" si="4"/>
        <v>1.0526315789473684</v>
      </c>
      <c r="AC38" s="1814">
        <f t="shared" si="5"/>
        <v>1.0416666666666667</v>
      </c>
    </row>
    <row r="39" spans="1:29" ht="15">
      <c r="A39" s="472"/>
      <c r="B39" s="422" t="s">
        <v>2751</v>
      </c>
      <c r="C39" s="2618" t="s">
        <v>3362</v>
      </c>
      <c r="D39" s="435">
        <v>100</v>
      </c>
      <c r="E39" s="2618" t="s">
        <v>3362</v>
      </c>
      <c r="F39" s="435">
        <f>SUMIF(119:119,E39,120:120)-SUMIF(119:119,C39,120:120)+100</f>
        <v>100</v>
      </c>
      <c r="G39" s="2618" t="s">
        <v>3362</v>
      </c>
      <c r="H39" s="435">
        <f>SUMIF(119:119,G39,120:120)-SUMIF(119:119,C39,120:120)+100</f>
        <v>100</v>
      </c>
      <c r="I39" s="2618" t="s">
        <v>3362</v>
      </c>
      <c r="J39" s="435">
        <f>SUMIF(119:119,I39,120:120)-SUMIF(119:119,C39,120:120)+100</f>
        <v>100</v>
      </c>
      <c r="K39" s="612">
        <v>2</v>
      </c>
      <c r="L39" s="1143"/>
      <c r="M39" s="1134"/>
      <c r="N39" s="1134"/>
      <c r="O39" s="1142"/>
      <c r="P39" s="3273"/>
      <c r="Q39" s="1813" t="str">
        <f t="shared" ref="Q39:Q45" si="14">B39</f>
        <v>宗地形状</v>
      </c>
      <c r="R39" s="774" t="s">
        <v>17</v>
      </c>
      <c r="S39" s="775">
        <f t="shared" si="10"/>
        <v>100</v>
      </c>
      <c r="T39" s="774" t="s">
        <v>17</v>
      </c>
      <c r="U39" s="775">
        <f t="shared" si="11"/>
        <v>100</v>
      </c>
      <c r="V39" s="774" t="s">
        <v>17</v>
      </c>
      <c r="W39" s="775">
        <f t="shared" si="12"/>
        <v>100</v>
      </c>
      <c r="X39" s="1816"/>
      <c r="Y39" s="3273"/>
      <c r="Z39" s="1817" t="str">
        <f t="shared" si="13"/>
        <v>宗地形状</v>
      </c>
      <c r="AA39" s="1814">
        <f t="shared" si="3"/>
        <v>1</v>
      </c>
      <c r="AB39" s="1814">
        <f t="shared" si="4"/>
        <v>1</v>
      </c>
      <c r="AC39" s="1814">
        <f t="shared" si="5"/>
        <v>1</v>
      </c>
    </row>
    <row r="40" spans="1:29" ht="15">
      <c r="A40" s="472"/>
      <c r="B40" s="422" t="s">
        <v>2752</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273"/>
      <c r="Q40" s="1813" t="str">
        <f t="shared" si="14"/>
        <v>临街宽度及深度</v>
      </c>
      <c r="R40" s="774" t="s">
        <v>17</v>
      </c>
      <c r="S40" s="775">
        <f t="shared" si="10"/>
        <v>100</v>
      </c>
      <c r="T40" s="774" t="s">
        <v>17</v>
      </c>
      <c r="U40" s="775">
        <f t="shared" si="11"/>
        <v>100</v>
      </c>
      <c r="V40" s="774" t="s">
        <v>17</v>
      </c>
      <c r="W40" s="775">
        <f t="shared" si="12"/>
        <v>100</v>
      </c>
      <c r="X40" s="1816"/>
      <c r="Y40" s="3273"/>
      <c r="Z40" s="1817" t="str">
        <f t="shared" si="13"/>
        <v>临街宽度及深度</v>
      </c>
      <c r="AA40" s="1814">
        <f t="shared" si="3"/>
        <v>1</v>
      </c>
      <c r="AB40" s="1814">
        <f t="shared" si="4"/>
        <v>1</v>
      </c>
      <c r="AC40" s="1814">
        <f t="shared" si="5"/>
        <v>1</v>
      </c>
    </row>
    <row r="41" spans="1:29" s="117" customFormat="1" ht="15">
      <c r="A41" s="473"/>
      <c r="B41" s="422" t="s">
        <v>2753</v>
      </c>
      <c r="C41" s="2707" t="s">
        <v>3295</v>
      </c>
      <c r="D41" s="136">
        <v>100</v>
      </c>
      <c r="E41" s="2707" t="s">
        <v>3298</v>
      </c>
      <c r="F41" s="435">
        <f>SUMIF(123:123,E41,124:124)-SUMIF(123:123,C41,124:124)+100</f>
        <v>94</v>
      </c>
      <c r="G41" s="2707" t="s">
        <v>3298</v>
      </c>
      <c r="H41" s="435">
        <f>SUMIF(123:123,G41,124:124)-SUMIF(123:123,C41,124:124)+100</f>
        <v>94</v>
      </c>
      <c r="I41" s="2707" t="s">
        <v>3298</v>
      </c>
      <c r="J41" s="435">
        <f>SUMIF(123:123,I41,124:124)-SUMIF(123:123,C41,124:124)+100</f>
        <v>94</v>
      </c>
      <c r="K41" s="612">
        <v>2</v>
      </c>
      <c r="L41" s="1135"/>
      <c r="M41" s="1136"/>
      <c r="N41" s="1136"/>
      <c r="O41" s="1137"/>
      <c r="P41" s="3273"/>
      <c r="Q41" s="1813" t="str">
        <f t="shared" si="14"/>
        <v>宗地开发程度</v>
      </c>
      <c r="R41" s="770" t="s">
        <v>17</v>
      </c>
      <c r="S41" s="771">
        <f t="shared" si="10"/>
        <v>94</v>
      </c>
      <c r="T41" s="770" t="s">
        <v>17</v>
      </c>
      <c r="U41" s="771">
        <f t="shared" si="11"/>
        <v>94</v>
      </c>
      <c r="V41" s="770" t="s">
        <v>17</v>
      </c>
      <c r="W41" s="771">
        <f t="shared" si="12"/>
        <v>94</v>
      </c>
      <c r="X41" s="772"/>
      <c r="Y41" s="3273"/>
      <c r="Z41" s="55" t="str">
        <f t="shared" si="13"/>
        <v>宗地开发程度</v>
      </c>
      <c r="AA41" s="773">
        <f t="shared" si="3"/>
        <v>1.0638297872340425</v>
      </c>
      <c r="AB41" s="773">
        <f t="shared" si="4"/>
        <v>1.0638297872340425</v>
      </c>
      <c r="AC41" s="773">
        <f t="shared" si="5"/>
        <v>1.0638297872340425</v>
      </c>
    </row>
    <row r="42" spans="1:29" ht="15">
      <c r="A42" s="472"/>
      <c r="B42" s="422" t="s">
        <v>2754</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273" t="s">
        <v>2564</v>
      </c>
      <c r="Q42" s="1813" t="str">
        <f t="shared" si="14"/>
        <v>工程地质条件</v>
      </c>
      <c r="R42" s="774" t="s">
        <v>17</v>
      </c>
      <c r="S42" s="775">
        <f t="shared" si="10"/>
        <v>100</v>
      </c>
      <c r="T42" s="774" t="s">
        <v>17</v>
      </c>
      <c r="U42" s="775">
        <f t="shared" si="11"/>
        <v>100</v>
      </c>
      <c r="V42" s="774" t="s">
        <v>17</v>
      </c>
      <c r="W42" s="775">
        <f t="shared" si="12"/>
        <v>100</v>
      </c>
      <c r="X42" s="1816"/>
      <c r="Y42" s="3273" t="s">
        <v>2564</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73"/>
      <c r="Q43" s="1813">
        <f t="shared" si="14"/>
        <v>111</v>
      </c>
      <c r="R43" s="774" t="s">
        <v>17</v>
      </c>
      <c r="S43" s="775">
        <f t="shared" si="10"/>
        <v>100</v>
      </c>
      <c r="T43" s="774" t="s">
        <v>17</v>
      </c>
      <c r="U43" s="775">
        <f t="shared" si="11"/>
        <v>100</v>
      </c>
      <c r="V43" s="774" t="s">
        <v>17</v>
      </c>
      <c r="W43" s="775">
        <f t="shared" si="12"/>
        <v>100</v>
      </c>
      <c r="X43" s="1816"/>
      <c r="Y43" s="3273"/>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73"/>
      <c r="Q44" s="1813">
        <f t="shared" si="14"/>
        <v>111</v>
      </c>
      <c r="R44" s="774" t="s">
        <v>17</v>
      </c>
      <c r="S44" s="775">
        <f t="shared" si="10"/>
        <v>100</v>
      </c>
      <c r="T44" s="774" t="s">
        <v>17</v>
      </c>
      <c r="U44" s="775">
        <f t="shared" si="11"/>
        <v>100</v>
      </c>
      <c r="V44" s="774" t="s">
        <v>17</v>
      </c>
      <c r="W44" s="775">
        <f t="shared" si="12"/>
        <v>100</v>
      </c>
      <c r="X44" s="1816"/>
      <c r="Y44" s="3273"/>
      <c r="Z44" s="1817">
        <f t="shared" si="13"/>
        <v>111</v>
      </c>
      <c r="AA44" s="1814">
        <f t="shared" si="3"/>
        <v>1</v>
      </c>
      <c r="AB44" s="1814">
        <f t="shared" si="4"/>
        <v>1</v>
      </c>
      <c r="AC44" s="1814">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73"/>
      <c r="Q45" s="1813">
        <f t="shared" si="14"/>
        <v>111</v>
      </c>
      <c r="R45" s="777" t="s">
        <v>17</v>
      </c>
      <c r="S45" s="778">
        <f t="shared" si="10"/>
        <v>100</v>
      </c>
      <c r="T45" s="777" t="s">
        <v>17</v>
      </c>
      <c r="U45" s="778">
        <f t="shared" si="11"/>
        <v>100</v>
      </c>
      <c r="V45" s="777" t="s">
        <v>17</v>
      </c>
      <c r="W45" s="778">
        <f t="shared" si="12"/>
        <v>100</v>
      </c>
      <c r="X45" s="779"/>
      <c r="Y45" s="3273"/>
      <c r="Z45" s="780">
        <f t="shared" si="13"/>
        <v>111</v>
      </c>
      <c r="AA45" s="1814">
        <f t="shared" si="3"/>
        <v>1</v>
      </c>
      <c r="AB45" s="1814">
        <f t="shared" si="4"/>
        <v>1</v>
      </c>
      <c r="AC45" s="1814">
        <f t="shared" si="5"/>
        <v>1</v>
      </c>
    </row>
    <row r="46" spans="1:29" ht="15">
      <c r="A46" s="479" t="s">
        <v>2719</v>
      </c>
      <c r="B46" s="2709" t="s">
        <v>3299</v>
      </c>
      <c r="C46" s="682" t="s">
        <v>1</v>
      </c>
      <c r="D46" s="481"/>
      <c r="E46" s="482">
        <f>土地案例!M2</f>
        <v>2148</v>
      </c>
      <c r="F46" s="483"/>
      <c r="G46" s="484">
        <f>土地案例!M4</f>
        <v>1620</v>
      </c>
      <c r="H46" s="485"/>
      <c r="I46" s="482">
        <f>土地案例!M5</f>
        <v>1860</v>
      </c>
      <c r="J46" s="485"/>
      <c r="K46" s="783"/>
      <c r="L46" s="1146"/>
      <c r="M46" s="1147"/>
      <c r="N46" s="1134"/>
      <c r="O46" s="1147"/>
      <c r="P46" s="3266" t="str">
        <f>A46</f>
        <v>成交单价</v>
      </c>
      <c r="Q46" s="3266"/>
      <c r="R46" s="3297">
        <f>E46</f>
        <v>2148</v>
      </c>
      <c r="S46" s="3297"/>
      <c r="T46" s="3297">
        <f>G46</f>
        <v>1620</v>
      </c>
      <c r="U46" s="3297"/>
      <c r="V46" s="3297">
        <f>I46</f>
        <v>1860</v>
      </c>
      <c r="W46" s="3297"/>
      <c r="X46" s="759"/>
      <c r="Y46" s="781"/>
      <c r="Z46" s="759"/>
      <c r="AA46" s="759"/>
      <c r="AB46" s="759"/>
      <c r="AC46" s="759"/>
    </row>
    <row r="47" spans="1:29" ht="15.75" thickBot="1">
      <c r="A47" s="486" t="s">
        <v>2668</v>
      </c>
      <c r="B47" s="683"/>
      <c r="C47" s="490">
        <f>R48</f>
        <v>1675</v>
      </c>
      <c r="D47" s="489"/>
      <c r="E47" s="490">
        <f>R47</f>
        <v>1883</v>
      </c>
      <c r="F47" s="491"/>
      <c r="G47" s="488">
        <f>T47</f>
        <v>1512</v>
      </c>
      <c r="H47" s="489"/>
      <c r="I47" s="490">
        <f>V47</f>
        <v>1631</v>
      </c>
      <c r="J47" s="489"/>
      <c r="K47" s="784"/>
      <c r="L47" s="1146"/>
      <c r="M47" s="1147">
        <v>3</v>
      </c>
      <c r="N47" s="1147"/>
      <c r="O47" s="1147"/>
      <c r="P47" s="3266" t="str">
        <f>A47</f>
        <v>比较价值（元/平方米）</v>
      </c>
      <c r="Q47" s="3266"/>
      <c r="R47" s="3326">
        <f>ROUND(PRODUCT(R46,AA7:AA45),0)</f>
        <v>1883</v>
      </c>
      <c r="S47" s="3326"/>
      <c r="T47" s="3326">
        <f>ROUND(PRODUCT(T46,AB7:AB45),0)</f>
        <v>1512</v>
      </c>
      <c r="U47" s="3326"/>
      <c r="V47" s="3326">
        <f>ROUND(PRODUCT(V46,AC7:AC45),0)</f>
        <v>1631</v>
      </c>
      <c r="W47" s="3326"/>
      <c r="X47" s="759"/>
      <c r="Y47" s="759"/>
      <c r="Z47" s="759"/>
      <c r="AA47" s="759"/>
      <c r="AB47" s="759"/>
      <c r="AC47" s="759"/>
    </row>
    <row r="48" spans="1:29" ht="15.75" thickBot="1">
      <c r="A48" s="492" t="s">
        <v>2755</v>
      </c>
      <c r="B48" s="493"/>
      <c r="C48" s="494">
        <f>R48</f>
        <v>1675</v>
      </c>
      <c r="D48" s="494"/>
      <c r="E48" s="494"/>
      <c r="F48" s="494"/>
      <c r="G48" s="494"/>
      <c r="H48" s="494"/>
      <c r="I48" s="494"/>
      <c r="J48" s="494"/>
      <c r="K48" s="785"/>
      <c r="L48" s="1146"/>
      <c r="M48" s="1147">
        <v>7</v>
      </c>
      <c r="N48" s="1147"/>
      <c r="O48" s="1147"/>
      <c r="P48" s="3263" t="str">
        <f>A48</f>
        <v>估价对象XX用房的比较价值（楼面单价，元/平方米）</v>
      </c>
      <c r="Q48" s="3264"/>
      <c r="R48" s="3327">
        <f>ROUND(AVERAGE(R47:V47),0)</f>
        <v>1675</v>
      </c>
      <c r="S48" s="3327"/>
      <c r="T48" s="3327"/>
      <c r="U48" s="3327"/>
      <c r="V48" s="3327"/>
      <c r="W48" s="332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2670</v>
      </c>
      <c r="D51" s="498"/>
      <c r="E51" s="499">
        <f>IF(E46&lt;E47,E47/E46-1,E46/E47-1)</f>
        <v>0.14073287307488047</v>
      </c>
      <c r="F51" s="500" t="str">
        <f>IF(OR(E51&gt;=0.3,E51&lt;=-0.3),"超过30%","")</f>
        <v/>
      </c>
      <c r="G51" s="499">
        <f>IF(G46&lt;G47,G47/G46-1,G46/G47-1)</f>
        <v>7.1428571428571397E-2</v>
      </c>
      <c r="H51" s="500" t="str">
        <f>IF(OR(G51&gt;=0.3,G51&lt;=-0.3),"超过30%","")</f>
        <v/>
      </c>
      <c r="I51" s="499">
        <f>IF(I46&lt;I47,I47/I46-1,I46/I47-1)</f>
        <v>0.14040465971796445</v>
      </c>
      <c r="J51" s="500" t="str">
        <f>IF(OR(I51&gt;=0.3,I51&lt;=-0.3),"超过30%","")</f>
        <v/>
      </c>
      <c r="K51" s="1108"/>
      <c r="L51" s="1109"/>
      <c r="M51" s="1147"/>
      <c r="N51" s="1147"/>
      <c r="O51" s="1147"/>
    </row>
    <row r="52" spans="1:15" ht="13.5" customHeight="1">
      <c r="A52" s="1147"/>
      <c r="B52" s="1147"/>
      <c r="C52" s="497" t="s">
        <v>2671</v>
      </c>
      <c r="D52" s="501"/>
      <c r="E52" s="499">
        <f>IF(E47&lt;G47,G47/E47-1,E47/G47-1)</f>
        <v>0.24537037037037046</v>
      </c>
      <c r="F52" s="500" t="str">
        <f>IF(OR(E52&gt;=0.2,E52&lt;=-0.2),"超过20%","")</f>
        <v>超过20%</v>
      </c>
      <c r="G52" s="499">
        <f>IF(G47&lt;I47,I47/G47-1,G47/I47-1)</f>
        <v>7.870370370370372E-2</v>
      </c>
      <c r="H52" s="500" t="str">
        <f>IF(OR(G52&gt;=0.2,G52&lt;=-0.2),"超过20%","")</f>
        <v/>
      </c>
      <c r="I52" s="499">
        <f>IF(I47&lt;E47,E47/I47-1,I47/E47-1)</f>
        <v>0.15450643776824036</v>
      </c>
      <c r="J52" s="500" t="str">
        <f>IF(OR(I52&gt;=0.2,I52&lt;=-0.2),"超过20%","")</f>
        <v/>
      </c>
      <c r="K52" s="1108"/>
      <c r="L52" s="1109"/>
      <c r="M52" s="1147"/>
      <c r="N52" s="1147"/>
      <c r="O52" s="1147"/>
    </row>
    <row r="53" spans="1:15" s="502" customFormat="1" ht="13.5" customHeight="1">
      <c r="A53" s="1148"/>
      <c r="B53" s="1148"/>
      <c r="C53" s="497" t="s">
        <v>2672</v>
      </c>
      <c r="D53" s="501"/>
      <c r="E53" s="499">
        <f>IF(E46&lt;G46,G46/E46-1,E46/G46-1)</f>
        <v>0.32592592592592595</v>
      </c>
      <c r="F53" s="500" t="str">
        <f>IF(OR(E53&gt;=0.3,E53&lt;=-0.3),"超过30%","")</f>
        <v>超过30%</v>
      </c>
      <c r="G53" s="499">
        <f>IF(G46&lt;I46,I46/G46-1,G46/I46-1)</f>
        <v>0.14814814814814814</v>
      </c>
      <c r="H53" s="500" t="str">
        <f>IF(OR(G53&gt;=0.3,G53&lt;=-0.3),"超过30%","")</f>
        <v/>
      </c>
      <c r="I53" s="499">
        <f>IF(I46&lt;E46,E46/I46-1,I46/E46-1)</f>
        <v>0.15483870967741931</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10" t="s">
        <v>2758</v>
      </c>
      <c r="D55" s="2711" t="s">
        <v>2759</v>
      </c>
      <c r="E55" s="686" t="s">
        <v>2760</v>
      </c>
      <c r="F55" s="1110" t="s">
        <v>2761</v>
      </c>
      <c r="G55" s="3281" t="s">
        <v>2762</v>
      </c>
      <c r="H55" s="3328"/>
      <c r="I55" s="144" t="s">
        <v>2763</v>
      </c>
      <c r="J55" s="2712">
        <f>项目基本情况!F35</f>
        <v>0</v>
      </c>
      <c r="K55" s="2713" t="s">
        <v>2764</v>
      </c>
      <c r="L55" s="1109"/>
      <c r="M55" s="1147"/>
      <c r="N55" s="1147"/>
      <c r="O55" s="1147"/>
    </row>
    <row r="56" spans="1:15" s="692" customFormat="1">
      <c r="A56" s="688" t="s">
        <v>2765</v>
      </c>
      <c r="B56" s="689">
        <f>C48</f>
        <v>1675</v>
      </c>
      <c r="C56" s="690">
        <v>1</v>
      </c>
      <c r="D56" s="1166">
        <v>1</v>
      </c>
      <c r="E56" s="690">
        <f>'数据-汇总表'!E8+'数据-汇总表'!E9</f>
        <v>20447.539999999997</v>
      </c>
      <c r="F56" s="1106">
        <f t="shared" ref="F56:F65" si="15">ROUND(B56*E56/10000,0)</f>
        <v>3425</v>
      </c>
      <c r="G56" s="3277"/>
      <c r="H56" s="3266"/>
      <c r="I56" s="1111">
        <v>1</v>
      </c>
      <c r="J56" s="1114">
        <v>1</v>
      </c>
      <c r="K56" s="1148"/>
      <c r="L56" s="944"/>
      <c r="M56" s="944"/>
      <c r="N56" s="944"/>
      <c r="O56" s="944"/>
    </row>
    <row r="57" spans="1:15" s="692" customFormat="1">
      <c r="A57" s="693" t="s">
        <v>2766</v>
      </c>
      <c r="B57" s="262">
        <f>ROUND($C$48*C57*D57,0)</f>
        <v>0</v>
      </c>
      <c r="C57" s="200">
        <f t="shared" ref="C57:C65" si="16">IF($C$55="北京市系数",I57,J57)</f>
        <v>0</v>
      </c>
      <c r="D57" s="1167">
        <v>0.25</v>
      </c>
      <c r="E57" s="694"/>
      <c r="F57" s="1106">
        <f t="shared" si="15"/>
        <v>0</v>
      </c>
      <c r="G57" s="3329" t="s">
        <v>2767</v>
      </c>
      <c r="H57" s="1107">
        <f>项目基本情况!B37</f>
        <v>0</v>
      </c>
      <c r="I57" s="1111">
        <f>SUMIF(修正!A45:A56,H57,修正!B45:B56)</f>
        <v>0</v>
      </c>
      <c r="J57" s="1115"/>
      <c r="K57" s="1147"/>
      <c r="L57" s="944"/>
      <c r="M57" s="944"/>
      <c r="N57" s="944"/>
      <c r="O57" s="944"/>
    </row>
    <row r="58" spans="1:15" s="692" customFormat="1">
      <c r="A58" s="693" t="s">
        <v>2768</v>
      </c>
      <c r="B58" s="262">
        <f t="shared" ref="B58:B65" si="17">ROUND($C$48*C58*D58,0)</f>
        <v>0</v>
      </c>
      <c r="C58" s="200">
        <f t="shared" si="16"/>
        <v>0</v>
      </c>
      <c r="D58" s="1167">
        <v>0.25</v>
      </c>
      <c r="E58" s="694"/>
      <c r="F58" s="1106">
        <f t="shared" si="15"/>
        <v>0</v>
      </c>
      <c r="G58" s="3329"/>
      <c r="H58" s="1107">
        <f>项目基本情况!B37</f>
        <v>0</v>
      </c>
      <c r="I58" s="1111">
        <f>SUMIF(修正!A45:A56,H58,修正!C45:C56)</f>
        <v>0</v>
      </c>
      <c r="J58" s="1115"/>
      <c r="K58" s="1148"/>
      <c r="L58" s="944"/>
      <c r="M58" s="944"/>
      <c r="N58" s="944"/>
      <c r="O58" s="944"/>
    </row>
    <row r="59" spans="1:15" s="692" customFormat="1">
      <c r="A59" s="693" t="s">
        <v>2769</v>
      </c>
      <c r="B59" s="262">
        <f t="shared" si="17"/>
        <v>0</v>
      </c>
      <c r="C59" s="200">
        <f t="shared" si="16"/>
        <v>0</v>
      </c>
      <c r="D59" s="1167">
        <v>0.25</v>
      </c>
      <c r="E59" s="694"/>
      <c r="F59" s="1106">
        <f t="shared" si="15"/>
        <v>0</v>
      </c>
      <c r="G59" s="3329"/>
      <c r="H59" s="1107">
        <f>项目基本情况!B37</f>
        <v>0</v>
      </c>
      <c r="I59" s="1111">
        <f>SUMIF(修正!A45:A56,H59,修正!D45:D56)</f>
        <v>0</v>
      </c>
      <c r="J59" s="1115"/>
      <c r="K59" s="1147"/>
      <c r="L59" s="944"/>
      <c r="M59" s="944"/>
      <c r="N59" s="944"/>
      <c r="O59" s="944"/>
    </row>
    <row r="60" spans="1:15" s="692" customFormat="1">
      <c r="A60" s="693" t="s">
        <v>2770</v>
      </c>
      <c r="B60" s="262">
        <f t="shared" si="17"/>
        <v>0</v>
      </c>
      <c r="C60" s="200">
        <f t="shared" si="16"/>
        <v>0</v>
      </c>
      <c r="D60" s="1167">
        <v>0.25</v>
      </c>
      <c r="E60" s="694"/>
      <c r="F60" s="1106">
        <f t="shared" si="15"/>
        <v>0</v>
      </c>
      <c r="G60" s="3329"/>
      <c r="H60" s="1107">
        <f>项目基本情况!B37</f>
        <v>0</v>
      </c>
      <c r="I60" s="1111">
        <f>SUMIF(修正!A45:A56,H60,修正!E45:E56)</f>
        <v>0</v>
      </c>
      <c r="J60" s="1115"/>
      <c r="K60" s="1148"/>
      <c r="L60" s="944"/>
      <c r="M60" s="944"/>
      <c r="N60" s="944"/>
      <c r="O60" s="944"/>
    </row>
    <row r="61" spans="1:15" s="692" customFormat="1">
      <c r="A61" s="693" t="s">
        <v>2771</v>
      </c>
      <c r="B61" s="262">
        <f t="shared" si="17"/>
        <v>0</v>
      </c>
      <c r="C61" s="200">
        <f t="shared" si="16"/>
        <v>0</v>
      </c>
      <c r="D61" s="1167">
        <v>0.25</v>
      </c>
      <c r="E61" s="261">
        <f>'数据-汇总表'!E11</f>
        <v>0</v>
      </c>
      <c r="F61" s="1106">
        <f t="shared" si="15"/>
        <v>0</v>
      </c>
      <c r="G61" s="2714" t="s">
        <v>2772</v>
      </c>
      <c r="H61" s="1107">
        <f>项目基本情况!C37</f>
        <v>0</v>
      </c>
      <c r="I61" s="1111">
        <f>SUMIF(修正!A45:A56,H61,修正!F45:F56)</f>
        <v>0</v>
      </c>
      <c r="J61" s="1115"/>
      <c r="K61" s="1147"/>
      <c r="L61" s="944"/>
      <c r="M61" s="944"/>
      <c r="N61" s="944"/>
      <c r="O61" s="944"/>
    </row>
    <row r="62" spans="1:15" s="692" customFormat="1">
      <c r="A62" s="693" t="s">
        <v>2773</v>
      </c>
      <c r="B62" s="262">
        <f t="shared" si="17"/>
        <v>0</v>
      </c>
      <c r="C62" s="200">
        <f t="shared" si="16"/>
        <v>0</v>
      </c>
      <c r="D62" s="1167">
        <v>0.25</v>
      </c>
      <c r="E62" s="261">
        <f>'数据-汇总表'!E12</f>
        <v>0</v>
      </c>
      <c r="F62" s="1106">
        <f t="shared" si="15"/>
        <v>0</v>
      </c>
      <c r="G62" s="1112" t="s">
        <v>2774</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2775</v>
      </c>
      <c r="B63" s="262">
        <f t="shared" si="17"/>
        <v>0</v>
      </c>
      <c r="C63" s="200">
        <f t="shared" si="16"/>
        <v>0</v>
      </c>
      <c r="D63" s="1167">
        <v>0.25</v>
      </c>
      <c r="E63" s="261">
        <f>'数据-汇总表'!E13</f>
        <v>0</v>
      </c>
      <c r="F63" s="1106">
        <f t="shared" si="15"/>
        <v>0</v>
      </c>
      <c r="G63" s="1112" t="s">
        <v>2776</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2777</v>
      </c>
      <c r="B64" s="262">
        <f t="shared" si="17"/>
        <v>0</v>
      </c>
      <c r="C64" s="200">
        <f t="shared" si="16"/>
        <v>0</v>
      </c>
      <c r="D64" s="1167">
        <v>0.25</v>
      </c>
      <c r="E64" s="261">
        <f>'数据-汇总表'!E14</f>
        <v>0</v>
      </c>
      <c r="F64" s="1106">
        <f t="shared" si="15"/>
        <v>0</v>
      </c>
      <c r="G64" s="2714" t="s">
        <v>2767</v>
      </c>
      <c r="H64" s="1107">
        <f>项目基本情况!B37</f>
        <v>0</v>
      </c>
      <c r="I64" s="1111">
        <f>SUMIF(修正!A45:A56,H64,修正!H45:H56)</f>
        <v>0</v>
      </c>
      <c r="J64" s="1115"/>
      <c r="K64" s="1148"/>
      <c r="L64" s="944"/>
      <c r="M64" s="944"/>
      <c r="N64" s="944"/>
      <c r="O64" s="944"/>
    </row>
    <row r="65" spans="1:17" s="692" customFormat="1" ht="15" thickBot="1">
      <c r="A65" s="693" t="s">
        <v>2778</v>
      </c>
      <c r="B65" s="262">
        <f t="shared" si="17"/>
        <v>0</v>
      </c>
      <c r="C65" s="200">
        <f t="shared" si="16"/>
        <v>0</v>
      </c>
      <c r="D65" s="1167">
        <v>0.25</v>
      </c>
      <c r="E65" s="261">
        <f>'数据-汇总表'!E15</f>
        <v>0</v>
      </c>
      <c r="F65" s="1106">
        <f t="shared" si="15"/>
        <v>0</v>
      </c>
      <c r="G65" s="2715" t="s">
        <v>2772</v>
      </c>
      <c r="H65" s="1117">
        <f>项目基本情况!C37</f>
        <v>0</v>
      </c>
      <c r="I65" s="1113">
        <f>SUMIF(修正!A45:A56,H65,修正!H45:H56)</f>
        <v>0</v>
      </c>
      <c r="J65" s="1116"/>
      <c r="K65" s="1147"/>
      <c r="L65" s="944"/>
      <c r="M65" s="944"/>
      <c r="N65" s="944"/>
      <c r="O65" s="944"/>
    </row>
    <row r="66" spans="1:17" s="692" customFormat="1" ht="13.5" thickBot="1">
      <c r="A66" s="695" t="s">
        <v>2779</v>
      </c>
      <c r="B66" s="696" t="s">
        <v>28</v>
      </c>
      <c r="C66" s="696" t="s">
        <v>29</v>
      </c>
      <c r="D66" s="696" t="s">
        <v>1026</v>
      </c>
      <c r="E66" s="696">
        <f>IF(B46="楼面地价",SUM(E56:E65),'数据-汇总表'!D3)</f>
        <v>40347.69</v>
      </c>
      <c r="F66" s="697">
        <f>IF(B46="楼面地价",SUM(F56:F65),ROUND(C48*E66/10000,0))</f>
        <v>6758</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2673</v>
      </c>
      <c r="B69" s="759"/>
      <c r="C69" s="764"/>
      <c r="D69" s="764"/>
      <c r="E69" s="764"/>
      <c r="F69" s="765"/>
      <c r="G69" s="765"/>
      <c r="H69" s="764"/>
      <c r="I69" s="764"/>
      <c r="J69" s="1162"/>
      <c r="K69" s="1163"/>
      <c r="L69" s="1164"/>
      <c r="M69" s="1162"/>
      <c r="N69" s="1162"/>
      <c r="O69" s="1162"/>
      <c r="P69" s="503"/>
      <c r="Q69" s="504"/>
    </row>
    <row r="70" spans="1:17" s="508" customFormat="1" ht="15">
      <c r="A70" s="2716" t="s">
        <v>2780</v>
      </c>
      <c r="B70" s="1362"/>
      <c r="C70" s="1575" t="str">
        <f>YEAR(C68)&amp;"-"&amp;ROUNDUP(MONTH(C68)/3,0)</f>
        <v>2019-2</v>
      </c>
      <c r="D70" s="1575" t="str">
        <f>YEAR(D68)&amp;"-"&amp;ROUNDUP(MONTH(D68)/3,0)</f>
        <v>2019-1</v>
      </c>
      <c r="E70" s="1575" t="str">
        <f t="shared" ref="E70:O70" si="19">YEAR(E68)&amp;"-"&amp;ROUNDUP(MONTH(E68)/3,0)</f>
        <v>2018-4</v>
      </c>
      <c r="F70" s="1575" t="str">
        <f t="shared" si="19"/>
        <v>2018-3</v>
      </c>
      <c r="G70" s="1575" t="str">
        <f t="shared" si="19"/>
        <v>2018-2</v>
      </c>
      <c r="H70" s="1575" t="str">
        <f t="shared" si="19"/>
        <v>2018-1</v>
      </c>
      <c r="I70" s="1575" t="str">
        <f t="shared" si="19"/>
        <v>2017-4</v>
      </c>
      <c r="J70" s="1575" t="str">
        <f t="shared" si="19"/>
        <v>2017-3</v>
      </c>
      <c r="K70" s="1575" t="str">
        <f t="shared" si="19"/>
        <v>2017-2</v>
      </c>
      <c r="L70" s="1575" t="str">
        <f t="shared" si="19"/>
        <v>2017-1</v>
      </c>
      <c r="M70" s="1575" t="str">
        <f t="shared" si="19"/>
        <v>2016-4</v>
      </c>
      <c r="N70" s="1575" t="str">
        <f t="shared" si="19"/>
        <v>2016-3</v>
      </c>
      <c r="O70" s="1575" t="str">
        <f t="shared" si="19"/>
        <v>2016-2</v>
      </c>
      <c r="P70" s="507"/>
    </row>
    <row r="71" spans="1:17" s="117" customFormat="1" ht="30" customHeight="1">
      <c r="A71" s="2717" t="s">
        <v>2781</v>
      </c>
      <c r="B71" s="332" t="str">
        <f>"北京市平均增长率"&amp;TEXT(SUMIF(基准地价修正!N21:N25,A71,基准地价修正!P21:P25),"0.00%")</f>
        <v>北京市平均增长率0.00%</v>
      </c>
      <c r="C71" s="603">
        <v>100</v>
      </c>
      <c r="D71" s="595">
        <v>100</v>
      </c>
      <c r="E71" s="595">
        <v>100</v>
      </c>
      <c r="F71" s="595">
        <v>100</v>
      </c>
      <c r="G71" s="595">
        <v>100</v>
      </c>
      <c r="H71" s="595">
        <v>100</v>
      </c>
      <c r="I71" s="595">
        <v>100</v>
      </c>
      <c r="J71" s="595">
        <v>100</v>
      </c>
      <c r="K71" s="595">
        <v>100</v>
      </c>
      <c r="L71" s="595">
        <v>100</v>
      </c>
      <c r="M71" s="1570">
        <v>100</v>
      </c>
      <c r="N71" s="595">
        <v>100</v>
      </c>
      <c r="O71" s="1571"/>
      <c r="P71" s="504"/>
    </row>
    <row r="72" spans="1:17" s="117" customFormat="1" ht="15.75" thickBot="1">
      <c r="A72" s="515" t="s">
        <v>2584</v>
      </c>
      <c r="B72" s="516"/>
      <c r="C72" s="517"/>
      <c r="D72" s="518"/>
      <c r="E72" s="518"/>
      <c r="F72" s="518"/>
      <c r="G72" s="518"/>
      <c r="H72" s="518"/>
      <c r="I72" s="518"/>
      <c r="J72" s="518"/>
      <c r="K72" s="518"/>
      <c r="L72" s="518"/>
      <c r="M72" s="519"/>
      <c r="N72" s="518"/>
      <c r="O72" s="1165"/>
      <c r="P72" s="504"/>
      <c r="Q72" s="504"/>
    </row>
    <row r="73" spans="1:17" s="117" customFormat="1" ht="15">
      <c r="A73" s="521" t="s">
        <v>2549</v>
      </c>
      <c r="B73" s="510"/>
      <c r="C73" s="522" t="s">
        <v>2651</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2587</v>
      </c>
      <c r="B75" s="528" t="s">
        <v>2553</v>
      </c>
      <c r="C75" s="2964" t="s">
        <v>3350</v>
      </c>
      <c r="D75" s="530"/>
      <c r="E75" s="530"/>
      <c r="F75" s="530"/>
      <c r="G75" s="530"/>
      <c r="H75" s="530"/>
      <c r="I75" s="530"/>
      <c r="J75" s="530"/>
      <c r="K75" s="531"/>
      <c r="L75" s="532"/>
      <c r="M75" s="533"/>
      <c r="N75" s="1155"/>
      <c r="O75" s="1155"/>
      <c r="P75" s="45"/>
      <c r="Q75" s="504"/>
    </row>
    <row r="76" spans="1:17" ht="15.75" thickBot="1">
      <c r="A76" s="534"/>
      <c r="B76" s="535"/>
      <c r="C76" s="536">
        <v>100</v>
      </c>
      <c r="D76" s="536"/>
      <c r="E76" s="536"/>
      <c r="F76" s="536"/>
      <c r="G76" s="536"/>
      <c r="H76" s="536"/>
      <c r="I76" s="536"/>
      <c r="J76" s="536"/>
      <c r="K76" s="536"/>
      <c r="L76" s="536"/>
      <c r="M76" s="537"/>
      <c r="N76" s="1156"/>
      <c r="O76" s="1156"/>
      <c r="P76" s="45"/>
      <c r="Q76" s="504"/>
    </row>
    <row r="77" spans="1:17" ht="27.75" thickTop="1">
      <c r="A77" s="534"/>
      <c r="B77" s="538" t="s">
        <v>2556</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2557</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1</v>
      </c>
      <c r="E80" s="549">
        <v>2</v>
      </c>
      <c r="F80" s="549">
        <v>3</v>
      </c>
      <c r="G80" s="549">
        <v>4</v>
      </c>
      <c r="H80" s="549">
        <v>5</v>
      </c>
      <c r="I80" s="549">
        <v>6</v>
      </c>
      <c r="J80" s="549"/>
      <c r="K80" s="550"/>
      <c r="L80" s="551"/>
      <c r="M80" s="552"/>
      <c r="N80" s="1155"/>
      <c r="O80" s="1155"/>
      <c r="P80" s="45"/>
      <c r="Q80" s="504"/>
    </row>
    <row r="81" spans="1:17" ht="15.75" thickBot="1">
      <c r="A81" s="534"/>
      <c r="B81" s="535"/>
      <c r="C81" s="544">
        <v>100</v>
      </c>
      <c r="D81" s="544">
        <f t="shared" ref="D81:M81" si="21">IF($B$46="单位面积地价",C81+$K11,C81-$K11)</f>
        <v>106</v>
      </c>
      <c r="E81" s="544">
        <f t="shared" si="21"/>
        <v>112</v>
      </c>
      <c r="F81" s="544">
        <f t="shared" si="21"/>
        <v>118</v>
      </c>
      <c r="G81" s="544">
        <f t="shared" si="21"/>
        <v>124</v>
      </c>
      <c r="H81" s="544">
        <f t="shared" si="21"/>
        <v>130</v>
      </c>
      <c r="I81" s="544">
        <f t="shared" si="21"/>
        <v>136</v>
      </c>
      <c r="J81" s="544">
        <f t="shared" si="21"/>
        <v>142</v>
      </c>
      <c r="K81" s="544">
        <f t="shared" si="21"/>
        <v>148</v>
      </c>
      <c r="L81" s="544">
        <f t="shared" si="21"/>
        <v>154</v>
      </c>
      <c r="M81" s="544">
        <f t="shared" si="21"/>
        <v>160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2782</v>
      </c>
      <c r="C90" s="578" t="s">
        <v>2596</v>
      </c>
      <c r="D90" s="578" t="s">
        <v>2597</v>
      </c>
      <c r="E90" s="578" t="s">
        <v>2598</v>
      </c>
      <c r="F90" s="578" t="s">
        <v>2599</v>
      </c>
      <c r="G90" s="578" t="s">
        <v>2600</v>
      </c>
      <c r="H90" s="539"/>
      <c r="I90" s="539"/>
      <c r="J90" s="539"/>
      <c r="K90" s="540"/>
      <c r="L90" s="541"/>
      <c r="M90" s="542"/>
      <c r="N90" s="1155"/>
      <c r="O90" s="1155"/>
      <c r="P90" s="45"/>
      <c r="Q90" s="504"/>
    </row>
    <row r="91" spans="1:17" ht="15.75" thickBot="1">
      <c r="A91" s="534"/>
      <c r="B91" s="543"/>
      <c r="C91" s="544">
        <v>100</v>
      </c>
      <c r="D91" s="544">
        <f>C91-$K17</f>
        <v>95</v>
      </c>
      <c r="E91" s="544">
        <f>D91-$K17</f>
        <v>90</v>
      </c>
      <c r="F91" s="544">
        <f>E91-$K17</f>
        <v>85</v>
      </c>
      <c r="G91" s="544">
        <f>F91-$K17</f>
        <v>80</v>
      </c>
      <c r="H91" s="544"/>
      <c r="I91" s="544"/>
      <c r="J91" s="544"/>
      <c r="K91" s="544"/>
      <c r="L91" s="544"/>
      <c r="M91" s="545"/>
      <c r="N91" s="1156"/>
      <c r="O91" s="1156"/>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2783</v>
      </c>
      <c r="C96" s="578" t="s">
        <v>2596</v>
      </c>
      <c r="D96" s="578" t="s">
        <v>2597</v>
      </c>
      <c r="E96" s="578" t="s">
        <v>2598</v>
      </c>
      <c r="F96" s="578" t="s">
        <v>2599</v>
      </c>
      <c r="G96" s="578" t="s">
        <v>2600</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2784</v>
      </c>
      <c r="C98" s="573" t="s">
        <v>2596</v>
      </c>
      <c r="D98" s="573" t="s">
        <v>2597</v>
      </c>
      <c r="E98" s="573" t="s">
        <v>2598</v>
      </c>
      <c r="F98" s="573" t="s">
        <v>2599</v>
      </c>
      <c r="G98" s="573" t="s">
        <v>2600</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2690</v>
      </c>
      <c r="C106" s="2965" t="s">
        <v>3353</v>
      </c>
      <c r="D106" s="2965" t="s">
        <v>3354</v>
      </c>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2749</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2562</v>
      </c>
      <c r="B116" s="528" t="s">
        <v>2789</v>
      </c>
      <c r="C116" s="529" t="str">
        <f>C117&amp;"(含)"&amp;"-"&amp;D117</f>
        <v>0(含)-10000</v>
      </c>
      <c r="D116" s="529" t="str">
        <f t="shared" ref="D116:M116" si="25">D117&amp;"(含)"&amp;"-"&amp;E117</f>
        <v>10000(含)-20000</v>
      </c>
      <c r="E116" s="529" t="str">
        <f t="shared" si="25"/>
        <v>20000(含)-50000</v>
      </c>
      <c r="F116" s="529" t="str">
        <f t="shared" si="25"/>
        <v>50000(含)-80000</v>
      </c>
      <c r="G116" s="529" t="str">
        <f t="shared" si="25"/>
        <v>80000(含)-130000</v>
      </c>
      <c r="H116" s="529" t="str">
        <f t="shared" si="25"/>
        <v>130000(含)-200000</v>
      </c>
      <c r="I116" s="529" t="str">
        <f t="shared" si="25"/>
        <v>200000(含)-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10000</v>
      </c>
      <c r="E117" s="595">
        <v>20000</v>
      </c>
      <c r="F117" s="595">
        <v>50000</v>
      </c>
      <c r="G117" s="595">
        <v>80000</v>
      </c>
      <c r="H117" s="595">
        <v>130000</v>
      </c>
      <c r="I117" s="595">
        <v>200000</v>
      </c>
      <c r="J117" s="596"/>
      <c r="K117" s="596"/>
      <c r="L117" s="597"/>
      <c r="M117" s="598"/>
      <c r="N117" s="1155"/>
      <c r="O117" s="1155"/>
      <c r="P117" s="45"/>
      <c r="Q117" s="504"/>
    </row>
    <row r="118" spans="1:17" ht="15.75" thickBot="1">
      <c r="A118" s="534"/>
      <c r="B118" s="543"/>
      <c r="C118" s="570">
        <v>94</v>
      </c>
      <c r="D118" s="591">
        <v>95</v>
      </c>
      <c r="E118" s="591">
        <v>96</v>
      </c>
      <c r="F118" s="591">
        <v>97</v>
      </c>
      <c r="G118" s="591">
        <v>98</v>
      </c>
      <c r="H118" s="591">
        <v>99</v>
      </c>
      <c r="I118" s="591">
        <v>100</v>
      </c>
      <c r="J118" s="591"/>
      <c r="K118" s="591"/>
      <c r="L118" s="591"/>
      <c r="M118" s="592"/>
      <c r="N118" s="1156"/>
      <c r="O118" s="1156"/>
      <c r="P118" s="45"/>
      <c r="Q118" s="504"/>
    </row>
    <row r="119" spans="1:17" ht="15" thickTop="1">
      <c r="A119" s="599"/>
      <c r="B119" s="538" t="s">
        <v>2790</v>
      </c>
      <c r="C119" s="2967" t="s">
        <v>3363</v>
      </c>
      <c r="D119" s="2967" t="s">
        <v>3364</v>
      </c>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98</v>
      </c>
      <c r="E120" s="544">
        <f t="shared" si="26"/>
        <v>96</v>
      </c>
      <c r="F120" s="544">
        <f t="shared" si="26"/>
        <v>94</v>
      </c>
      <c r="G120" s="544">
        <f t="shared" si="26"/>
        <v>92</v>
      </c>
      <c r="H120" s="544">
        <f t="shared" si="26"/>
        <v>90</v>
      </c>
      <c r="I120" s="544">
        <f t="shared" si="26"/>
        <v>88</v>
      </c>
      <c r="J120" s="544">
        <f t="shared" si="26"/>
        <v>86</v>
      </c>
      <c r="K120" s="544">
        <f t="shared" si="26"/>
        <v>84</v>
      </c>
      <c r="L120" s="544">
        <f t="shared" si="26"/>
        <v>82</v>
      </c>
      <c r="M120" s="545">
        <f t="shared" si="26"/>
        <v>80</v>
      </c>
      <c r="N120" s="1156"/>
      <c r="O120" s="1156"/>
      <c r="P120" s="45"/>
      <c r="Q120" s="504"/>
    </row>
    <row r="121" spans="1:17" ht="15" thickTop="1">
      <c r="A121" s="599"/>
      <c r="B121" s="538" t="s">
        <v>2791</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2792</v>
      </c>
      <c r="C123" s="2965" t="s">
        <v>3355</v>
      </c>
      <c r="D123" s="2965" t="s">
        <v>3357</v>
      </c>
      <c r="E123" s="2965" t="s">
        <v>3358</v>
      </c>
      <c r="F123" s="2965" t="s">
        <v>3356</v>
      </c>
      <c r="G123" s="554"/>
      <c r="H123" s="583"/>
      <c r="I123" s="583"/>
      <c r="J123" s="583"/>
      <c r="K123" s="584"/>
      <c r="L123" s="585"/>
      <c r="M123" s="586"/>
      <c r="N123" s="1157"/>
      <c r="O123" s="1157"/>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7"/>
      <c r="O124" s="1157"/>
      <c r="P124" s="558"/>
      <c r="Q124" s="559"/>
    </row>
    <row r="125" spans="1:17" ht="15" thickTop="1">
      <c r="A125" s="599"/>
      <c r="B125" s="538" t="s">
        <v>2793</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38" sqref="C38"/>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2745</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281" t="s">
        <v>2645</v>
      </c>
      <c r="D4" s="3282"/>
      <c r="E4" s="3283" t="s">
        <v>2646</v>
      </c>
      <c r="F4" s="3284"/>
      <c r="G4" s="3281" t="s">
        <v>2647</v>
      </c>
      <c r="H4" s="3282"/>
      <c r="I4" s="3281" t="s">
        <v>2648</v>
      </c>
      <c r="J4" s="3282"/>
      <c r="K4" s="610" t="s">
        <v>2649</v>
      </c>
      <c r="L4" s="1133"/>
      <c r="M4" s="1134"/>
      <c r="N4" s="1134"/>
      <c r="O4" s="1134"/>
      <c r="P4" s="3285" t="s">
        <v>2650</v>
      </c>
      <c r="Q4" s="3286"/>
      <c r="R4" s="3291" t="s">
        <v>2646</v>
      </c>
      <c r="S4" s="3292"/>
      <c r="T4" s="3291" t="s">
        <v>2647</v>
      </c>
      <c r="U4" s="3292"/>
      <c r="V4" s="3297" t="s">
        <v>2648</v>
      </c>
      <c r="W4" s="3297"/>
      <c r="X4" s="1816"/>
      <c r="Y4" s="3291" t="s">
        <v>2650</v>
      </c>
      <c r="Z4" s="3292"/>
      <c r="AA4" s="3278" t="s">
        <v>2646</v>
      </c>
      <c r="AB4" s="3279" t="s">
        <v>2647</v>
      </c>
      <c r="AC4" s="3278" t="s">
        <v>2648</v>
      </c>
    </row>
    <row r="5" spans="1:29" ht="15">
      <c r="A5" s="404"/>
      <c r="B5" s="405"/>
      <c r="C5" s="3300" t="s">
        <v>2541</v>
      </c>
      <c r="D5" s="3301"/>
      <c r="E5" s="3307" t="s">
        <v>2542</v>
      </c>
      <c r="F5" s="3308"/>
      <c r="G5" s="3300" t="s">
        <v>2543</v>
      </c>
      <c r="H5" s="3301"/>
      <c r="I5" s="3300" t="s">
        <v>2544</v>
      </c>
      <c r="J5" s="3301"/>
      <c r="K5" s="610"/>
      <c r="L5" s="1133"/>
      <c r="M5" s="1134"/>
      <c r="N5" s="1134"/>
      <c r="O5" s="1134"/>
      <c r="P5" s="3287"/>
      <c r="Q5" s="3288"/>
      <c r="R5" s="3293"/>
      <c r="S5" s="3294"/>
      <c r="T5" s="3293"/>
      <c r="U5" s="3294"/>
      <c r="V5" s="3297"/>
      <c r="W5" s="3297"/>
      <c r="X5" s="1816"/>
      <c r="Y5" s="3293"/>
      <c r="Z5" s="3294"/>
      <c r="AA5" s="3279"/>
      <c r="AB5" s="3279"/>
      <c r="AC5" s="3279"/>
    </row>
    <row r="6" spans="1:29" ht="15.75" thickBot="1">
      <c r="A6" s="406"/>
      <c r="B6" s="407"/>
      <c r="C6" s="3330" t="s">
        <v>2795</v>
      </c>
      <c r="D6" s="3331"/>
      <c r="E6" s="3332" t="s">
        <v>2795</v>
      </c>
      <c r="F6" s="3333"/>
      <c r="G6" s="3330" t="s">
        <v>2795</v>
      </c>
      <c r="H6" s="3331"/>
      <c r="I6" s="3330" t="s">
        <v>2795</v>
      </c>
      <c r="J6" s="3331"/>
      <c r="K6" s="610" t="s">
        <v>2546</v>
      </c>
      <c r="L6" s="1133"/>
      <c r="M6" s="1134"/>
      <c r="N6" s="1134"/>
      <c r="O6" s="1134"/>
      <c r="P6" s="3289"/>
      <c r="Q6" s="3290"/>
      <c r="R6" s="3293"/>
      <c r="S6" s="3294"/>
      <c r="T6" s="3295"/>
      <c r="U6" s="3296"/>
      <c r="V6" s="3297"/>
      <c r="W6" s="3297"/>
      <c r="X6" s="1816"/>
      <c r="Y6" s="3295"/>
      <c r="Z6" s="3296"/>
      <c r="AA6" s="3280"/>
      <c r="AB6" s="3280"/>
      <c r="AC6" s="3280"/>
    </row>
    <row r="7" spans="1:29" s="117" customFormat="1" ht="15.75" thickBot="1">
      <c r="A7" s="408" t="s">
        <v>2547</v>
      </c>
      <c r="B7" s="409"/>
      <c r="C7" s="410">
        <f>'数据-取费表'!B2</f>
        <v>43598</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302" t="s">
        <v>2548</v>
      </c>
      <c r="Q7" s="3304"/>
      <c r="R7" s="770" t="s">
        <v>17</v>
      </c>
      <c r="S7" s="771">
        <f t="shared" ref="S7:S15" si="0">F7</f>
        <v>0</v>
      </c>
      <c r="T7" s="770" t="s">
        <v>17</v>
      </c>
      <c r="U7" s="771">
        <f t="shared" ref="U7:U15" si="1">H7</f>
        <v>0</v>
      </c>
      <c r="V7" s="770" t="s">
        <v>17</v>
      </c>
      <c r="W7" s="771">
        <f t="shared" ref="W7:W15" si="2">J7</f>
        <v>0</v>
      </c>
      <c r="X7" s="772"/>
      <c r="Y7" s="3302" t="s">
        <v>2548</v>
      </c>
      <c r="Z7" s="3303"/>
      <c r="AA7" s="773" t="e">
        <f>D7/F7</f>
        <v>#DIV/0!</v>
      </c>
      <c r="AB7" s="773" t="e">
        <f>D7/H7</f>
        <v>#DIV/0!</v>
      </c>
      <c r="AC7" s="773"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302" t="s">
        <v>2551</v>
      </c>
      <c r="Q8" s="3303"/>
      <c r="R8" s="770" t="s">
        <v>17</v>
      </c>
      <c r="S8" s="771">
        <f t="shared" si="0"/>
        <v>0</v>
      </c>
      <c r="T8" s="770" t="s">
        <v>17</v>
      </c>
      <c r="U8" s="771">
        <f t="shared" si="1"/>
        <v>0</v>
      </c>
      <c r="V8" s="770" t="s">
        <v>17</v>
      </c>
      <c r="W8" s="771">
        <f t="shared" si="2"/>
        <v>0</v>
      </c>
      <c r="X8" s="772"/>
      <c r="Y8" s="3302" t="s">
        <v>2551</v>
      </c>
      <c r="Z8" s="3303"/>
      <c r="AA8" s="773" t="e">
        <f t="shared" ref="AA8:AA40" si="3">D8/F8</f>
        <v>#DIV/0!</v>
      </c>
      <c r="AB8" s="773" t="e">
        <f t="shared" ref="AB8:AB40" si="4">D8/H8</f>
        <v>#DIV/0!</v>
      </c>
      <c r="AC8" s="773" t="e">
        <f t="shared" ref="AC8:AC40" si="5">D8/J8</f>
        <v>#DIV/0!</v>
      </c>
    </row>
    <row r="9" spans="1:29" s="117" customFormat="1">
      <c r="A9" s="415" t="s">
        <v>2552</v>
      </c>
      <c r="B9" s="71" t="s">
        <v>2553</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266" t="s">
        <v>2554</v>
      </c>
      <c r="Q9" s="1798" t="str">
        <f t="shared" ref="Q9:Q15" si="6">B9</f>
        <v>用途</v>
      </c>
      <c r="R9" s="770" t="s">
        <v>17</v>
      </c>
      <c r="S9" s="771">
        <f t="shared" si="0"/>
        <v>100</v>
      </c>
      <c r="T9" s="770" t="s">
        <v>17</v>
      </c>
      <c r="U9" s="771">
        <f t="shared" si="1"/>
        <v>100</v>
      </c>
      <c r="V9" s="770" t="s">
        <v>17</v>
      </c>
      <c r="W9" s="771">
        <f t="shared" si="2"/>
        <v>100</v>
      </c>
      <c r="X9" s="772"/>
      <c r="Y9" s="3080" t="s">
        <v>2555</v>
      </c>
      <c r="Z9" s="55" t="str">
        <f t="shared" ref="Z9:Z15" si="7">Q9</f>
        <v>用途</v>
      </c>
      <c r="AA9" s="773">
        <f t="shared" si="3"/>
        <v>1</v>
      </c>
      <c r="AB9" s="773">
        <f t="shared" si="4"/>
        <v>1</v>
      </c>
      <c r="AC9" s="773">
        <f t="shared" si="5"/>
        <v>1</v>
      </c>
    </row>
    <row r="10" spans="1:29" s="427" customFormat="1" ht="27">
      <c r="A10" s="421"/>
      <c r="B10" s="422" t="s">
        <v>2556</v>
      </c>
      <c r="C10" s="432"/>
      <c r="D10" s="136">
        <v>100</v>
      </c>
      <c r="E10" s="432"/>
      <c r="F10" s="136">
        <f>ROUND(100/'数据-取费表'!G16,0)</f>
        <v>105</v>
      </c>
      <c r="G10" s="432"/>
      <c r="H10" s="136">
        <f>ROUND(100/'数据-取费表'!G16,0)</f>
        <v>105</v>
      </c>
      <c r="I10" s="432"/>
      <c r="J10" s="136">
        <f>ROUND(100/'数据-取费表'!G16,0)</f>
        <v>105</v>
      </c>
      <c r="K10" s="672"/>
      <c r="L10" s="1138"/>
      <c r="M10" s="1139"/>
      <c r="N10" s="1139"/>
      <c r="O10" s="1140"/>
      <c r="P10" s="3266"/>
      <c r="Q10" s="1798" t="str">
        <f t="shared" si="6"/>
        <v>土地使用年限（年）</v>
      </c>
      <c r="R10" s="770" t="s">
        <v>17</v>
      </c>
      <c r="S10" s="771">
        <f t="shared" si="0"/>
        <v>105</v>
      </c>
      <c r="T10" s="770" t="s">
        <v>17</v>
      </c>
      <c r="U10" s="771">
        <f t="shared" si="1"/>
        <v>105</v>
      </c>
      <c r="V10" s="770" t="s">
        <v>17</v>
      </c>
      <c r="W10" s="771">
        <f t="shared" si="2"/>
        <v>105</v>
      </c>
      <c r="X10" s="772"/>
      <c r="Y10" s="3080"/>
      <c r="Z10" s="55" t="str">
        <f t="shared" si="7"/>
        <v>土地使用年限（年）</v>
      </c>
      <c r="AA10" s="773">
        <f t="shared" si="3"/>
        <v>0.95238095238095233</v>
      </c>
      <c r="AB10" s="773">
        <f t="shared" si="4"/>
        <v>0.95238095238095233</v>
      </c>
      <c r="AC10" s="773">
        <f t="shared" si="5"/>
        <v>0.95238095238095233</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66"/>
      <c r="Q11" s="1798" t="str">
        <f t="shared" si="6"/>
        <v>容积率</v>
      </c>
      <c r="R11" s="770" t="s">
        <v>17</v>
      </c>
      <c r="S11" s="771" t="e">
        <f t="shared" si="0"/>
        <v>#N/A</v>
      </c>
      <c r="T11" s="770" t="s">
        <v>17</v>
      </c>
      <c r="U11" s="771" t="e">
        <f t="shared" si="1"/>
        <v>#N/A</v>
      </c>
      <c r="V11" s="770" t="s">
        <v>17</v>
      </c>
      <c r="W11" s="771" t="e">
        <f t="shared" si="2"/>
        <v>#N/A</v>
      </c>
      <c r="X11" s="772"/>
      <c r="Y11" s="3080"/>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66"/>
      <c r="Q12" s="1798">
        <f t="shared" si="6"/>
        <v>111</v>
      </c>
      <c r="R12" s="770" t="s">
        <v>17</v>
      </c>
      <c r="S12" s="771">
        <f t="shared" si="0"/>
        <v>100</v>
      </c>
      <c r="T12" s="770" t="s">
        <v>17</v>
      </c>
      <c r="U12" s="771">
        <f t="shared" si="1"/>
        <v>100</v>
      </c>
      <c r="V12" s="770" t="s">
        <v>17</v>
      </c>
      <c r="W12" s="771">
        <f t="shared" si="2"/>
        <v>100</v>
      </c>
      <c r="X12" s="772"/>
      <c r="Y12" s="3080"/>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66"/>
      <c r="Q13" s="1798">
        <f t="shared" si="6"/>
        <v>111</v>
      </c>
      <c r="R13" s="770" t="s">
        <v>17</v>
      </c>
      <c r="S13" s="771">
        <f t="shared" si="0"/>
        <v>100</v>
      </c>
      <c r="T13" s="770" t="s">
        <v>17</v>
      </c>
      <c r="U13" s="771">
        <f t="shared" si="1"/>
        <v>100</v>
      </c>
      <c r="V13" s="770" t="s">
        <v>17</v>
      </c>
      <c r="W13" s="771">
        <f t="shared" si="2"/>
        <v>100</v>
      </c>
      <c r="X13" s="772"/>
      <c r="Y13" s="3080"/>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66"/>
      <c r="Q14" s="1798">
        <f t="shared" si="6"/>
        <v>111</v>
      </c>
      <c r="R14" s="770" t="s">
        <v>17</v>
      </c>
      <c r="S14" s="771">
        <f t="shared" si="0"/>
        <v>100</v>
      </c>
      <c r="T14" s="770" t="s">
        <v>17</v>
      </c>
      <c r="U14" s="771">
        <f t="shared" si="1"/>
        <v>100</v>
      </c>
      <c r="V14" s="770" t="s">
        <v>17</v>
      </c>
      <c r="W14" s="771">
        <f t="shared" si="2"/>
        <v>100</v>
      </c>
      <c r="X14" s="772"/>
      <c r="Y14" s="3080"/>
      <c r="Z14" s="55">
        <f t="shared" si="7"/>
        <v>111</v>
      </c>
      <c r="AA14" s="773">
        <f t="shared" si="3"/>
        <v>1</v>
      </c>
      <c r="AB14" s="773">
        <f t="shared" si="4"/>
        <v>1</v>
      </c>
      <c r="AC14" s="773">
        <f t="shared" si="5"/>
        <v>1</v>
      </c>
    </row>
    <row r="15" spans="1:29" ht="57">
      <c r="A15" s="440" t="s">
        <v>2558</v>
      </c>
      <c r="B15" s="629" t="s">
        <v>2796</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68" t="s">
        <v>2559</v>
      </c>
      <c r="Q15" s="1813" t="str">
        <f t="shared" si="6"/>
        <v>产业集聚程度</v>
      </c>
      <c r="R15" s="774" t="s">
        <v>17</v>
      </c>
      <c r="S15" s="775">
        <f t="shared" si="0"/>
        <v>100</v>
      </c>
      <c r="T15" s="774" t="s">
        <v>17</v>
      </c>
      <c r="U15" s="775">
        <f t="shared" si="1"/>
        <v>100</v>
      </c>
      <c r="V15" s="774" t="s">
        <v>17</v>
      </c>
      <c r="W15" s="775">
        <f t="shared" si="2"/>
        <v>100</v>
      </c>
      <c r="X15" s="1816"/>
      <c r="Y15" s="3268" t="s">
        <v>2559</v>
      </c>
      <c r="Z15" s="1817" t="str">
        <f t="shared" si="7"/>
        <v>产业集聚程度</v>
      </c>
      <c r="AA15" s="1814">
        <f t="shared" si="3"/>
        <v>1</v>
      </c>
      <c r="AB15" s="1814">
        <f t="shared" si="4"/>
        <v>1</v>
      </c>
      <c r="AC15" s="1814">
        <f t="shared" si="5"/>
        <v>1</v>
      </c>
    </row>
    <row r="16" spans="1:29" ht="15">
      <c r="A16" s="428"/>
      <c r="B16" s="630"/>
      <c r="C16" s="447"/>
      <c r="D16" s="448"/>
      <c r="E16" s="2616"/>
      <c r="F16" s="448"/>
      <c r="G16" s="2616"/>
      <c r="H16" s="450"/>
      <c r="I16" s="2616"/>
      <c r="J16" s="448"/>
      <c r="K16" s="672"/>
      <c r="L16" s="1143"/>
      <c r="M16" s="1134"/>
      <c r="N16" s="1134"/>
      <c r="O16" s="1142"/>
      <c r="P16" s="3269"/>
      <c r="Q16" s="1813"/>
      <c r="R16" s="774"/>
      <c r="S16" s="775"/>
      <c r="T16" s="774"/>
      <c r="U16" s="775"/>
      <c r="V16" s="774"/>
      <c r="W16" s="775"/>
      <c r="X16" s="1816"/>
      <c r="Y16" s="3269"/>
      <c r="Z16" s="1817"/>
      <c r="AA16" s="1814">
        <v>1</v>
      </c>
      <c r="AB16" s="1814">
        <v>1</v>
      </c>
      <c r="AC16" s="1814">
        <v>1</v>
      </c>
    </row>
    <row r="17" spans="1:29" ht="85.5">
      <c r="A17" s="428"/>
      <c r="B17" s="631" t="s">
        <v>2708</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69"/>
      <c r="Q17" s="1813" t="str">
        <f>B17</f>
        <v>交通便捷度</v>
      </c>
      <c r="R17" s="774" t="s">
        <v>17</v>
      </c>
      <c r="S17" s="775">
        <f>F17</f>
        <v>100</v>
      </c>
      <c r="T17" s="774" t="s">
        <v>17</v>
      </c>
      <c r="U17" s="775">
        <f>H17</f>
        <v>100</v>
      </c>
      <c r="V17" s="774" t="s">
        <v>17</v>
      </c>
      <c r="W17" s="775">
        <f>J17</f>
        <v>100</v>
      </c>
      <c r="X17" s="1816"/>
      <c r="Y17" s="3269"/>
      <c r="Z17" s="1817" t="str">
        <f>Q17</f>
        <v>交通便捷度</v>
      </c>
      <c r="AA17" s="1814">
        <f t="shared" si="3"/>
        <v>1</v>
      </c>
      <c r="AB17" s="1814">
        <f t="shared" si="4"/>
        <v>1</v>
      </c>
      <c r="AC17" s="1814">
        <f t="shared" si="5"/>
        <v>1</v>
      </c>
    </row>
    <row r="18" spans="1:29" ht="15">
      <c r="A18" s="428"/>
      <c r="B18" s="632"/>
      <c r="C18" s="447"/>
      <c r="D18" s="448"/>
      <c r="E18" s="2610"/>
      <c r="F18" s="448"/>
      <c r="G18" s="2610"/>
      <c r="H18" s="448"/>
      <c r="I18" s="2609"/>
      <c r="J18" s="448"/>
      <c r="K18" s="672"/>
      <c r="L18" s="1143"/>
      <c r="M18" s="1134"/>
      <c r="N18" s="1134"/>
      <c r="O18" s="1142"/>
      <c r="P18" s="3269"/>
      <c r="Q18" s="1813"/>
      <c r="R18" s="774"/>
      <c r="S18" s="775"/>
      <c r="T18" s="774"/>
      <c r="U18" s="775"/>
      <c r="V18" s="774"/>
      <c r="W18" s="775"/>
      <c r="X18" s="1816"/>
      <c r="Y18" s="3269"/>
      <c r="Z18" s="1817"/>
      <c r="AA18" s="1814">
        <v>1</v>
      </c>
      <c r="AB18" s="1814">
        <v>1</v>
      </c>
      <c r="AC18" s="1814">
        <v>1</v>
      </c>
    </row>
    <row r="19" spans="1:29" ht="15">
      <c r="A19" s="428"/>
      <c r="B19" s="631" t="s">
        <v>2747</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69"/>
      <c r="Q19" s="1813" t="str">
        <f t="shared" ref="Q19:Q33" si="8">B19</f>
        <v>区域土地利用方向</v>
      </c>
      <c r="R19" s="774" t="s">
        <v>17</v>
      </c>
      <c r="S19" s="775">
        <f>F19</f>
        <v>100</v>
      </c>
      <c r="T19" s="774" t="s">
        <v>17</v>
      </c>
      <c r="U19" s="775">
        <f>H19</f>
        <v>100</v>
      </c>
      <c r="V19" s="774" t="s">
        <v>17</v>
      </c>
      <c r="W19" s="775">
        <f>J19</f>
        <v>100</v>
      </c>
      <c r="X19" s="1816"/>
      <c r="Y19" s="3269"/>
      <c r="Z19" s="1817" t="str">
        <f>Q19</f>
        <v>区域土地利用方向</v>
      </c>
      <c r="AA19" s="1814">
        <f t="shared" si="3"/>
        <v>1</v>
      </c>
      <c r="AB19" s="1814">
        <f t="shared" si="4"/>
        <v>1</v>
      </c>
      <c r="AC19" s="1814">
        <f t="shared" si="5"/>
        <v>1</v>
      </c>
    </row>
    <row r="20" spans="1:29" ht="15">
      <c r="A20" s="404"/>
      <c r="B20" s="632"/>
      <c r="C20" s="447"/>
      <c r="D20" s="448"/>
      <c r="E20" s="2610"/>
      <c r="F20" s="448"/>
      <c r="G20" s="2610"/>
      <c r="H20" s="448"/>
      <c r="I20" s="2610"/>
      <c r="J20" s="448"/>
      <c r="K20" s="812"/>
      <c r="L20" s="1143"/>
      <c r="M20" s="1134"/>
      <c r="N20" s="1134"/>
      <c r="O20" s="1142"/>
      <c r="P20" s="3269"/>
      <c r="Q20" s="1813"/>
      <c r="R20" s="774"/>
      <c r="S20" s="775"/>
      <c r="T20" s="774"/>
      <c r="U20" s="775"/>
      <c r="V20" s="774"/>
      <c r="W20" s="775"/>
      <c r="X20" s="1816"/>
      <c r="Y20" s="3269"/>
      <c r="Z20" s="1817"/>
      <c r="AA20" s="1814"/>
      <c r="AB20" s="1814"/>
      <c r="AC20" s="1814"/>
    </row>
    <row r="21" spans="1:29" ht="71.25">
      <c r="A21" s="404"/>
      <c r="B21" s="631" t="s">
        <v>2797</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69"/>
      <c r="Q21" s="1813" t="str">
        <f t="shared" si="8"/>
        <v>环境状况</v>
      </c>
      <c r="R21" s="774" t="s">
        <v>17</v>
      </c>
      <c r="S21" s="775">
        <f>F21</f>
        <v>100</v>
      </c>
      <c r="T21" s="774" t="s">
        <v>17</v>
      </c>
      <c r="U21" s="775">
        <f>H21</f>
        <v>100</v>
      </c>
      <c r="V21" s="774" t="s">
        <v>17</v>
      </c>
      <c r="W21" s="775">
        <f>J21</f>
        <v>100</v>
      </c>
      <c r="X21" s="1816"/>
      <c r="Y21" s="3269"/>
      <c r="Z21" s="1817" t="str">
        <f>Q21</f>
        <v>环境状况</v>
      </c>
      <c r="AA21" s="1814">
        <f t="shared" si="3"/>
        <v>1</v>
      </c>
      <c r="AB21" s="1814">
        <f t="shared" si="4"/>
        <v>1</v>
      </c>
      <c r="AC21" s="1814">
        <f t="shared" si="5"/>
        <v>1</v>
      </c>
    </row>
    <row r="22" spans="1:29" ht="15">
      <c r="A22" s="404"/>
      <c r="B22" s="632"/>
      <c r="C22" s="447"/>
      <c r="D22" s="448"/>
      <c r="E22" s="2616"/>
      <c r="F22" s="448"/>
      <c r="G22" s="2616"/>
      <c r="H22" s="448"/>
      <c r="I22" s="447"/>
      <c r="J22" s="448"/>
      <c r="K22" s="672"/>
      <c r="L22" s="1143"/>
      <c r="M22" s="1134"/>
      <c r="N22" s="1134"/>
      <c r="O22" s="1142"/>
      <c r="P22" s="3269"/>
      <c r="Q22" s="1813"/>
      <c r="R22" s="774"/>
      <c r="S22" s="775"/>
      <c r="T22" s="774"/>
      <c r="U22" s="775"/>
      <c r="V22" s="774"/>
      <c r="W22" s="775"/>
      <c r="X22" s="1816"/>
      <c r="Y22" s="3269"/>
      <c r="Z22" s="1817"/>
      <c r="AA22" s="1814">
        <v>1</v>
      </c>
      <c r="AB22" s="1814">
        <v>1</v>
      </c>
      <c r="AC22" s="1814">
        <v>1</v>
      </c>
    </row>
    <row r="23" spans="1:29" s="117" customFormat="1" ht="42.75">
      <c r="A23" s="649"/>
      <c r="B23" s="633" t="s">
        <v>2653</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69"/>
      <c r="Q23" s="1798" t="str">
        <f t="shared" si="8"/>
        <v>公共配套设施</v>
      </c>
      <c r="R23" s="770" t="s">
        <v>17</v>
      </c>
      <c r="S23" s="771">
        <f>F23</f>
        <v>100</v>
      </c>
      <c r="T23" s="770" t="s">
        <v>17</v>
      </c>
      <c r="U23" s="771">
        <f>H23</f>
        <v>100</v>
      </c>
      <c r="V23" s="770" t="s">
        <v>17</v>
      </c>
      <c r="W23" s="771">
        <f>J23</f>
        <v>100</v>
      </c>
      <c r="X23" s="772"/>
      <c r="Y23" s="3269"/>
      <c r="Z23" s="55" t="str">
        <f>Q23</f>
        <v>公共配套设施</v>
      </c>
      <c r="AA23" s="1814">
        <f>D23/F23</f>
        <v>1</v>
      </c>
      <c r="AB23" s="1814">
        <f>D23/H23</f>
        <v>1</v>
      </c>
      <c r="AC23" s="1814">
        <f>D23/J23</f>
        <v>1</v>
      </c>
    </row>
    <row r="24" spans="1:29" s="117" customFormat="1" ht="15">
      <c r="A24" s="649"/>
      <c r="B24" s="632"/>
      <c r="C24" s="2705"/>
      <c r="D24" s="448"/>
      <c r="E24" s="2616"/>
      <c r="F24" s="448"/>
      <c r="G24" s="2616"/>
      <c r="H24" s="448"/>
      <c r="I24" s="447"/>
      <c r="J24" s="448"/>
      <c r="K24" s="672"/>
      <c r="L24" s="1135"/>
      <c r="M24" s="1136"/>
      <c r="N24" s="1136"/>
      <c r="O24" s="1137"/>
      <c r="P24" s="3269"/>
      <c r="Q24" s="1798"/>
      <c r="R24" s="770"/>
      <c r="S24" s="771"/>
      <c r="T24" s="770"/>
      <c r="U24" s="771"/>
      <c r="V24" s="770"/>
      <c r="W24" s="771"/>
      <c r="X24" s="772"/>
      <c r="Y24" s="3269"/>
      <c r="Z24" s="55"/>
      <c r="AA24" s="773">
        <v>1</v>
      </c>
      <c r="AB24" s="773">
        <v>1</v>
      </c>
      <c r="AC24" s="773">
        <v>1</v>
      </c>
    </row>
    <row r="25" spans="1:29" s="117" customFormat="1" ht="28.5">
      <c r="A25" s="649"/>
      <c r="B25" s="633" t="s">
        <v>2654</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69"/>
      <c r="Q25" s="1798" t="str">
        <f t="shared" ref="Q25" si="9">B25</f>
        <v>基础设施水平</v>
      </c>
      <c r="R25" s="770" t="s">
        <v>17</v>
      </c>
      <c r="S25" s="771">
        <f>F25</f>
        <v>100</v>
      </c>
      <c r="T25" s="770" t="s">
        <v>17</v>
      </c>
      <c r="U25" s="771">
        <f>H25</f>
        <v>100</v>
      </c>
      <c r="V25" s="770" t="s">
        <v>17</v>
      </c>
      <c r="W25" s="771">
        <f>J25</f>
        <v>100</v>
      </c>
      <c r="X25" s="772"/>
      <c r="Y25" s="3269"/>
      <c r="Z25" s="55" t="str">
        <f>Q25</f>
        <v>基础设施水平</v>
      </c>
      <c r="AA25" s="1814">
        <f>D25/F25</f>
        <v>1</v>
      </c>
      <c r="AB25" s="1814">
        <f>D25/H25</f>
        <v>1</v>
      </c>
      <c r="AC25" s="1814">
        <f>D25/J25</f>
        <v>1</v>
      </c>
    </row>
    <row r="26" spans="1:29" s="117" customFormat="1" ht="15">
      <c r="A26" s="649"/>
      <c r="B26" s="632"/>
      <c r="C26" s="2705"/>
      <c r="D26" s="448"/>
      <c r="E26" s="2706"/>
      <c r="F26" s="448"/>
      <c r="G26" s="2706"/>
      <c r="H26" s="448"/>
      <c r="I26" s="2706"/>
      <c r="J26" s="448"/>
      <c r="K26" s="672"/>
      <c r="L26" s="1135"/>
      <c r="M26" s="1136"/>
      <c r="N26" s="1136"/>
      <c r="O26" s="1137"/>
      <c r="P26" s="3269"/>
      <c r="Q26" s="1798"/>
      <c r="R26" s="770"/>
      <c r="S26" s="771"/>
      <c r="T26" s="770"/>
      <c r="U26" s="771"/>
      <c r="V26" s="770"/>
      <c r="W26" s="771"/>
      <c r="X26" s="772"/>
      <c r="Y26" s="3269"/>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69"/>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69"/>
      <c r="Z27" s="1817" t="str">
        <f t="shared" ref="Z27:Z40" si="13">Q27</f>
        <v>临街状况</v>
      </c>
      <c r="AA27" s="1814">
        <f t="shared" si="3"/>
        <v>1</v>
      </c>
      <c r="AB27" s="1814">
        <f t="shared" si="4"/>
        <v>1</v>
      </c>
      <c r="AC27" s="1814">
        <f t="shared" si="5"/>
        <v>1</v>
      </c>
    </row>
    <row r="28" spans="1:29" ht="27">
      <c r="A28" s="428"/>
      <c r="B28" s="633" t="s">
        <v>2690</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69"/>
      <c r="Q28" s="1813" t="str">
        <f t="shared" si="8"/>
        <v>毗邻道路的类型与等级</v>
      </c>
      <c r="R28" s="774" t="s">
        <v>17</v>
      </c>
      <c r="S28" s="775">
        <f t="shared" si="10"/>
        <v>100</v>
      </c>
      <c r="T28" s="774" t="s">
        <v>17</v>
      </c>
      <c r="U28" s="775">
        <f t="shared" si="11"/>
        <v>100</v>
      </c>
      <c r="V28" s="774" t="s">
        <v>17</v>
      </c>
      <c r="W28" s="775">
        <f t="shared" si="12"/>
        <v>100</v>
      </c>
      <c r="X28" s="1816"/>
      <c r="Y28" s="3269"/>
      <c r="Z28" s="1817" t="str">
        <f t="shared" si="13"/>
        <v>毗邻道路的类型与等级</v>
      </c>
      <c r="AA28" s="1814">
        <f t="shared" si="3"/>
        <v>1</v>
      </c>
      <c r="AB28" s="1814">
        <f t="shared" si="4"/>
        <v>1</v>
      </c>
      <c r="AC28" s="1814">
        <f t="shared" si="5"/>
        <v>1</v>
      </c>
    </row>
    <row r="29" spans="1:29" ht="15">
      <c r="A29" s="428"/>
      <c r="B29" s="632"/>
      <c r="C29" s="447"/>
      <c r="D29" s="448"/>
      <c r="E29" s="2616"/>
      <c r="F29" s="448"/>
      <c r="G29" s="2616"/>
      <c r="H29" s="448"/>
      <c r="I29" s="2616"/>
      <c r="J29" s="448"/>
      <c r="K29" s="613"/>
      <c r="L29" s="1143"/>
      <c r="M29" s="1134"/>
      <c r="N29" s="1134"/>
      <c r="O29" s="1142"/>
      <c r="P29" s="3269"/>
      <c r="Q29" s="1813"/>
      <c r="R29" s="774"/>
      <c r="S29" s="775"/>
      <c r="T29" s="774"/>
      <c r="U29" s="775"/>
      <c r="V29" s="774"/>
      <c r="W29" s="775"/>
      <c r="X29" s="1816"/>
      <c r="Y29" s="3269"/>
      <c r="Z29" s="1817"/>
      <c r="AA29" s="1814">
        <v>1</v>
      </c>
      <c r="AB29" s="1814">
        <v>1</v>
      </c>
      <c r="AC29" s="1814">
        <v>1</v>
      </c>
    </row>
    <row r="30" spans="1:29" ht="15">
      <c r="A30" s="428"/>
      <c r="B30" s="654" t="s">
        <v>2749</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69"/>
      <c r="Q30" s="1813" t="str">
        <f t="shared" si="8"/>
        <v>土地级别</v>
      </c>
      <c r="R30" s="774" t="s">
        <v>17</v>
      </c>
      <c r="S30" s="775">
        <f t="shared" si="10"/>
        <v>100</v>
      </c>
      <c r="T30" s="774" t="s">
        <v>17</v>
      </c>
      <c r="U30" s="775">
        <f t="shared" si="11"/>
        <v>100</v>
      </c>
      <c r="V30" s="774" t="s">
        <v>17</v>
      </c>
      <c r="W30" s="775">
        <f t="shared" si="12"/>
        <v>100</v>
      </c>
      <c r="X30" s="1816"/>
      <c r="Y30" s="3269"/>
      <c r="Z30" s="1817" t="str">
        <f t="shared" si="13"/>
        <v>土地级别</v>
      </c>
      <c r="AA30" s="1814">
        <f t="shared" si="3"/>
        <v>1</v>
      </c>
      <c r="AB30" s="1814">
        <f t="shared" si="4"/>
        <v>1</v>
      </c>
      <c r="AC30" s="1814">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69"/>
      <c r="Q31" s="1813">
        <f t="shared" si="8"/>
        <v>111</v>
      </c>
      <c r="R31" s="774" t="s">
        <v>17</v>
      </c>
      <c r="S31" s="775">
        <f t="shared" si="10"/>
        <v>100</v>
      </c>
      <c r="T31" s="774" t="s">
        <v>17</v>
      </c>
      <c r="U31" s="775">
        <f t="shared" si="11"/>
        <v>100</v>
      </c>
      <c r="V31" s="774" t="s">
        <v>17</v>
      </c>
      <c r="W31" s="775">
        <f t="shared" si="12"/>
        <v>100</v>
      </c>
      <c r="X31" s="1816"/>
      <c r="Y31" s="3269"/>
      <c r="Z31" s="1817">
        <f t="shared" si="13"/>
        <v>111</v>
      </c>
      <c r="AA31" s="1814">
        <f t="shared" si="3"/>
        <v>1</v>
      </c>
      <c r="AB31" s="1814">
        <f t="shared" si="4"/>
        <v>1</v>
      </c>
      <c r="AC31" s="1814">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324" t="s">
        <v>2564</v>
      </c>
      <c r="Q32" s="1813">
        <f t="shared" si="8"/>
        <v>111</v>
      </c>
      <c r="R32" s="774" t="s">
        <v>17</v>
      </c>
      <c r="S32" s="775">
        <f t="shared" si="10"/>
        <v>100</v>
      </c>
      <c r="T32" s="774" t="s">
        <v>17</v>
      </c>
      <c r="U32" s="775">
        <f t="shared" si="11"/>
        <v>100</v>
      </c>
      <c r="V32" s="774" t="s">
        <v>17</v>
      </c>
      <c r="W32" s="775">
        <f t="shared" si="12"/>
        <v>100</v>
      </c>
      <c r="X32" s="1816"/>
      <c r="Y32" s="3273" t="s">
        <v>2564</v>
      </c>
      <c r="Z32" s="1817">
        <f t="shared" si="13"/>
        <v>111</v>
      </c>
      <c r="AA32" s="1814">
        <f t="shared" si="3"/>
        <v>1</v>
      </c>
      <c r="AB32" s="1814">
        <f t="shared" si="4"/>
        <v>1</v>
      </c>
      <c r="AC32" s="1814">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73"/>
      <c r="Q33" s="1813">
        <f t="shared" si="8"/>
        <v>111</v>
      </c>
      <c r="R33" s="777" t="s">
        <v>17</v>
      </c>
      <c r="S33" s="778">
        <f t="shared" si="10"/>
        <v>100</v>
      </c>
      <c r="T33" s="777" t="s">
        <v>17</v>
      </c>
      <c r="U33" s="778">
        <f t="shared" si="11"/>
        <v>100</v>
      </c>
      <c r="V33" s="777" t="s">
        <v>17</v>
      </c>
      <c r="W33" s="778">
        <f t="shared" si="12"/>
        <v>100</v>
      </c>
      <c r="X33" s="779"/>
      <c r="Y33" s="3273"/>
      <c r="Z33" s="780">
        <f t="shared" si="13"/>
        <v>111</v>
      </c>
      <c r="AA33" s="1814">
        <f t="shared" si="3"/>
        <v>1</v>
      </c>
      <c r="AB33" s="1814">
        <f t="shared" si="4"/>
        <v>1</v>
      </c>
      <c r="AC33" s="1814">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73"/>
      <c r="Q34" s="1813" t="str">
        <f>B34</f>
        <v>宗地面积</v>
      </c>
      <c r="R34" s="774" t="s">
        <v>17</v>
      </c>
      <c r="S34" s="775" t="e">
        <f t="shared" si="10"/>
        <v>#N/A</v>
      </c>
      <c r="T34" s="774" t="s">
        <v>17</v>
      </c>
      <c r="U34" s="775" t="e">
        <f t="shared" si="11"/>
        <v>#N/A</v>
      </c>
      <c r="V34" s="774" t="s">
        <v>17</v>
      </c>
      <c r="W34" s="775" t="e">
        <f t="shared" si="12"/>
        <v>#N/A</v>
      </c>
      <c r="X34" s="1816"/>
      <c r="Y34" s="3273"/>
      <c r="Z34" s="1817" t="str">
        <f t="shared" si="13"/>
        <v>宗地面积</v>
      </c>
      <c r="AA34" s="1814" t="e">
        <f t="shared" si="3"/>
        <v>#N/A</v>
      </c>
      <c r="AB34" s="1814" t="e">
        <f t="shared" si="4"/>
        <v>#N/A</v>
      </c>
      <c r="AC34" s="1814" t="e">
        <f t="shared" si="5"/>
        <v>#N/A</v>
      </c>
    </row>
    <row r="35" spans="1:29" ht="15">
      <c r="A35" s="472"/>
      <c r="B35" s="422" t="s">
        <v>2751</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273"/>
      <c r="Q35" s="1813" t="str">
        <f t="shared" ref="Q35:Q40" si="14">B35</f>
        <v>宗地形状</v>
      </c>
      <c r="R35" s="774" t="s">
        <v>17</v>
      </c>
      <c r="S35" s="775">
        <f t="shared" si="10"/>
        <v>100</v>
      </c>
      <c r="T35" s="774" t="s">
        <v>17</v>
      </c>
      <c r="U35" s="775">
        <f t="shared" si="11"/>
        <v>100</v>
      </c>
      <c r="V35" s="774" t="s">
        <v>17</v>
      </c>
      <c r="W35" s="775">
        <f t="shared" si="12"/>
        <v>100</v>
      </c>
      <c r="X35" s="1816"/>
      <c r="Y35" s="3273"/>
      <c r="Z35" s="1817" t="str">
        <f t="shared" si="13"/>
        <v>宗地形状</v>
      </c>
      <c r="AA35" s="1814">
        <f t="shared" si="3"/>
        <v>1</v>
      </c>
      <c r="AB35" s="1814">
        <f t="shared" si="4"/>
        <v>1</v>
      </c>
      <c r="AC35" s="1814">
        <f t="shared" si="5"/>
        <v>1</v>
      </c>
    </row>
    <row r="36" spans="1:29" s="117" customFormat="1" ht="15">
      <c r="A36" s="473"/>
      <c r="B36" s="422" t="s">
        <v>2753</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273"/>
      <c r="Q36" s="1813" t="str">
        <f t="shared" si="14"/>
        <v>宗地开发程度</v>
      </c>
      <c r="R36" s="770" t="s">
        <v>17</v>
      </c>
      <c r="S36" s="771">
        <f t="shared" si="10"/>
        <v>100</v>
      </c>
      <c r="T36" s="770" t="s">
        <v>17</v>
      </c>
      <c r="U36" s="771">
        <f t="shared" si="11"/>
        <v>100</v>
      </c>
      <c r="V36" s="770" t="s">
        <v>17</v>
      </c>
      <c r="W36" s="771">
        <f t="shared" si="12"/>
        <v>100</v>
      </c>
      <c r="X36" s="772"/>
      <c r="Y36" s="3273"/>
      <c r="Z36" s="55" t="str">
        <f t="shared" si="13"/>
        <v>宗地开发程度</v>
      </c>
      <c r="AA36" s="773">
        <f t="shared" si="3"/>
        <v>1</v>
      </c>
      <c r="AB36" s="773">
        <f t="shared" si="4"/>
        <v>1</v>
      </c>
      <c r="AC36" s="773">
        <f t="shared" si="5"/>
        <v>1</v>
      </c>
    </row>
    <row r="37" spans="1:29" ht="15">
      <c r="A37" s="472"/>
      <c r="B37" s="422" t="s">
        <v>2754</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273" t="s">
        <v>2564</v>
      </c>
      <c r="Q37" s="1813" t="str">
        <f t="shared" si="14"/>
        <v>工程地质条件</v>
      </c>
      <c r="R37" s="774" t="s">
        <v>17</v>
      </c>
      <c r="S37" s="775">
        <f t="shared" si="10"/>
        <v>100</v>
      </c>
      <c r="T37" s="774" t="s">
        <v>17</v>
      </c>
      <c r="U37" s="775">
        <f t="shared" si="11"/>
        <v>100</v>
      </c>
      <c r="V37" s="774" t="s">
        <v>17</v>
      </c>
      <c r="W37" s="775">
        <f t="shared" si="12"/>
        <v>100</v>
      </c>
      <c r="X37" s="1816"/>
      <c r="Y37" s="3273" t="s">
        <v>2564</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73"/>
      <c r="Q38" s="1813">
        <f t="shared" si="14"/>
        <v>111</v>
      </c>
      <c r="R38" s="774" t="s">
        <v>17</v>
      </c>
      <c r="S38" s="775">
        <f t="shared" si="10"/>
        <v>100</v>
      </c>
      <c r="T38" s="774" t="s">
        <v>17</v>
      </c>
      <c r="U38" s="775">
        <f t="shared" si="11"/>
        <v>100</v>
      </c>
      <c r="V38" s="774" t="s">
        <v>17</v>
      </c>
      <c r="W38" s="775">
        <f t="shared" si="12"/>
        <v>100</v>
      </c>
      <c r="X38" s="1816"/>
      <c r="Y38" s="3273"/>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73"/>
      <c r="Q39" s="1813">
        <f t="shared" si="14"/>
        <v>111</v>
      </c>
      <c r="R39" s="774" t="s">
        <v>17</v>
      </c>
      <c r="S39" s="775">
        <f t="shared" si="10"/>
        <v>100</v>
      </c>
      <c r="T39" s="774" t="s">
        <v>17</v>
      </c>
      <c r="U39" s="775">
        <f t="shared" si="11"/>
        <v>100</v>
      </c>
      <c r="V39" s="774" t="s">
        <v>17</v>
      </c>
      <c r="W39" s="775">
        <f t="shared" si="12"/>
        <v>100</v>
      </c>
      <c r="X39" s="1816"/>
      <c r="Y39" s="3273"/>
      <c r="Z39" s="1817">
        <f t="shared" si="13"/>
        <v>111</v>
      </c>
      <c r="AA39" s="1814">
        <f t="shared" si="3"/>
        <v>1</v>
      </c>
      <c r="AB39" s="1814">
        <f t="shared" si="4"/>
        <v>1</v>
      </c>
      <c r="AC39" s="1814">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73"/>
      <c r="Q40" s="1813">
        <f t="shared" si="14"/>
        <v>111</v>
      </c>
      <c r="R40" s="777" t="s">
        <v>17</v>
      </c>
      <c r="S40" s="778">
        <f t="shared" si="10"/>
        <v>100</v>
      </c>
      <c r="T40" s="777" t="s">
        <v>17</v>
      </c>
      <c r="U40" s="778">
        <f t="shared" si="11"/>
        <v>100</v>
      </c>
      <c r="V40" s="777" t="s">
        <v>17</v>
      </c>
      <c r="W40" s="778">
        <f t="shared" si="12"/>
        <v>100</v>
      </c>
      <c r="X40" s="779"/>
      <c r="Y40" s="3273"/>
      <c r="Z40" s="780">
        <f t="shared" si="13"/>
        <v>111</v>
      </c>
      <c r="AA40" s="1814">
        <f t="shared" si="3"/>
        <v>1</v>
      </c>
      <c r="AB40" s="1814">
        <f t="shared" si="4"/>
        <v>1</v>
      </c>
      <c r="AC40" s="1814">
        <f t="shared" si="5"/>
        <v>1</v>
      </c>
    </row>
    <row r="41" spans="1:29" ht="15">
      <c r="A41" s="479" t="s">
        <v>2719</v>
      </c>
      <c r="B41" s="2709" t="s">
        <v>2798</v>
      </c>
      <c r="C41" s="682" t="s">
        <v>1</v>
      </c>
      <c r="D41" s="481"/>
      <c r="E41" s="482"/>
      <c r="F41" s="483"/>
      <c r="G41" s="484"/>
      <c r="H41" s="485"/>
      <c r="I41" s="482"/>
      <c r="J41" s="485"/>
      <c r="K41" s="783"/>
      <c r="L41" s="1146"/>
      <c r="M41" s="1134"/>
      <c r="N41" s="1134"/>
      <c r="O41" s="1147"/>
      <c r="P41" s="3266" t="str">
        <f>A41</f>
        <v>成交单价</v>
      </c>
      <c r="Q41" s="3266"/>
      <c r="R41" s="3297">
        <f>E41</f>
        <v>0</v>
      </c>
      <c r="S41" s="3297"/>
      <c r="T41" s="3297">
        <f>G41</f>
        <v>0</v>
      </c>
      <c r="U41" s="3297"/>
      <c r="V41" s="3297">
        <f>I41</f>
        <v>0</v>
      </c>
      <c r="W41" s="3297"/>
      <c r="X41" s="759"/>
      <c r="Y41" s="781"/>
      <c r="Z41" s="759"/>
      <c r="AA41" s="759"/>
      <c r="AB41" s="759"/>
      <c r="AC41" s="759"/>
    </row>
    <row r="42" spans="1:29" ht="15.75" thickBot="1">
      <c r="A42" s="486" t="s">
        <v>2668</v>
      </c>
      <c r="B42" s="683"/>
      <c r="C42" s="490" t="e">
        <f>R43</f>
        <v>#DIV/0!</v>
      </c>
      <c r="D42" s="489"/>
      <c r="E42" s="490" t="e">
        <f>R42</f>
        <v>#DIV/0!</v>
      </c>
      <c r="F42" s="491"/>
      <c r="G42" s="488" t="e">
        <f>T42</f>
        <v>#DIV/0!</v>
      </c>
      <c r="H42" s="489"/>
      <c r="I42" s="490" t="e">
        <f>V42</f>
        <v>#DIV/0!</v>
      </c>
      <c r="J42" s="489"/>
      <c r="K42" s="784"/>
      <c r="L42" s="1146"/>
      <c r="M42" s="1134"/>
      <c r="N42" s="1134"/>
      <c r="O42" s="1147"/>
      <c r="P42" s="3266" t="str">
        <f>A42</f>
        <v>比较价值（元/平方米）</v>
      </c>
      <c r="Q42" s="3266"/>
      <c r="R42" s="3326" t="e">
        <f>ROUND(PRODUCT(R41,AA7:AA40),0)</f>
        <v>#DIV/0!</v>
      </c>
      <c r="S42" s="3326"/>
      <c r="T42" s="3326" t="e">
        <f>ROUND(PRODUCT(T41,AB7:AB40),0)</f>
        <v>#DIV/0!</v>
      </c>
      <c r="U42" s="3326"/>
      <c r="V42" s="3326" t="e">
        <f>ROUND(PRODUCT(V41,AC7:AC40),0)</f>
        <v>#DIV/0!</v>
      </c>
      <c r="W42" s="3326"/>
      <c r="X42" s="759"/>
      <c r="Y42" s="759"/>
      <c r="Z42" s="759"/>
      <c r="AA42" s="759"/>
      <c r="AB42" s="759"/>
      <c r="AC42" s="759"/>
    </row>
    <row r="43" spans="1:29" ht="15.75" thickBot="1">
      <c r="A43" s="492" t="s">
        <v>2669</v>
      </c>
      <c r="B43" s="493"/>
      <c r="C43" s="494" t="e">
        <f>R43</f>
        <v>#DIV/0!</v>
      </c>
      <c r="D43" s="494"/>
      <c r="E43" s="494"/>
      <c r="F43" s="494"/>
      <c r="G43" s="494"/>
      <c r="H43" s="494"/>
      <c r="I43" s="494"/>
      <c r="J43" s="494"/>
      <c r="K43" s="785"/>
      <c r="L43" s="1146"/>
      <c r="M43" s="1134"/>
      <c r="N43" s="1134"/>
      <c r="O43" s="1147"/>
      <c r="P43" s="3263" t="str">
        <f>A43</f>
        <v>估价对象XX用房的比较价值（楼面单价，元/平方米）</v>
      </c>
      <c r="Q43" s="3264"/>
      <c r="R43" s="3327" t="e">
        <f>ROUND(AVERAGE(R42:V42),0)</f>
        <v>#DIV/0!</v>
      </c>
      <c r="S43" s="3327"/>
      <c r="T43" s="3327"/>
      <c r="U43" s="3327"/>
      <c r="V43" s="3327"/>
      <c r="W43" s="332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2756</v>
      </c>
      <c r="B50" s="685" t="s">
        <v>2757</v>
      </c>
      <c r="C50" s="2710" t="s">
        <v>2758</v>
      </c>
      <c r="D50" s="2711" t="s">
        <v>2759</v>
      </c>
      <c r="E50" s="686" t="s">
        <v>2760</v>
      </c>
      <c r="F50" s="687" t="s">
        <v>2761</v>
      </c>
      <c r="G50" s="3281" t="s">
        <v>2762</v>
      </c>
      <c r="H50" s="3328"/>
      <c r="I50" s="1817" t="s">
        <v>2799</v>
      </c>
      <c r="J50" s="1817">
        <f>项目基本情况!F35</f>
        <v>0</v>
      </c>
      <c r="K50" s="2713" t="s">
        <v>2764</v>
      </c>
      <c r="L50" s="1109"/>
      <c r="M50" s="1147"/>
      <c r="N50" s="1147"/>
      <c r="O50" s="1147"/>
    </row>
    <row r="51" spans="1:17" s="692" customFormat="1">
      <c r="A51" s="688" t="s">
        <v>2765</v>
      </c>
      <c r="B51" s="689" t="e">
        <f>C43</f>
        <v>#DIV/0!</v>
      </c>
      <c r="C51" s="690">
        <v>1</v>
      </c>
      <c r="D51" s="1166">
        <v>1</v>
      </c>
      <c r="E51" s="690">
        <f>'数据-汇总表'!E8+'数据-汇总表'!E9</f>
        <v>20447.539999999997</v>
      </c>
      <c r="F51" s="691" t="e">
        <f t="shared" ref="F51:F60" si="15">ROUND(B51*E51/10000,0)</f>
        <v>#DIV/0!</v>
      </c>
      <c r="G51" s="3277"/>
      <c r="H51" s="3266"/>
      <c r="I51" s="945">
        <v>1</v>
      </c>
      <c r="J51" s="945">
        <v>1</v>
      </c>
      <c r="K51" s="1148"/>
      <c r="L51" s="944"/>
      <c r="M51" s="944"/>
      <c r="N51" s="944"/>
      <c r="O51" s="944"/>
    </row>
    <row r="52" spans="1:17" s="692" customFormat="1">
      <c r="A52" s="693" t="s">
        <v>2766</v>
      </c>
      <c r="B52" s="262" t="e">
        <f>ROUND($C$43*C52*D52,0)</f>
        <v>#DIV/0!</v>
      </c>
      <c r="C52" s="200">
        <f t="shared" ref="C52:C60" si="16">IF($C$50="北京市系数",I52,J52)</f>
        <v>0</v>
      </c>
      <c r="D52" s="1167">
        <v>0.25</v>
      </c>
      <c r="E52" s="694"/>
      <c r="F52" s="691" t="e">
        <f t="shared" si="15"/>
        <v>#DIV/0!</v>
      </c>
      <c r="G52" s="3329" t="s">
        <v>2767</v>
      </c>
      <c r="H52" s="1107">
        <f>项目基本情况!B37</f>
        <v>0</v>
      </c>
      <c r="I52" s="945">
        <f>SUMIF(修正!A45:A56,H52,修正!B45:B56)</f>
        <v>0</v>
      </c>
      <c r="J52" s="946"/>
      <c r="K52" s="1147"/>
      <c r="L52" s="944"/>
      <c r="M52" s="944"/>
      <c r="N52" s="944"/>
      <c r="O52" s="944"/>
    </row>
    <row r="53" spans="1:17" s="692" customFormat="1">
      <c r="A53" s="693" t="s">
        <v>2768</v>
      </c>
      <c r="B53" s="262" t="e">
        <f t="shared" ref="B53:B60" si="17">ROUND($C$43*C53*D53,0)</f>
        <v>#DIV/0!</v>
      </c>
      <c r="C53" s="200">
        <f t="shared" si="16"/>
        <v>0</v>
      </c>
      <c r="D53" s="1167">
        <v>0.25</v>
      </c>
      <c r="E53" s="694"/>
      <c r="F53" s="691" t="e">
        <f t="shared" si="15"/>
        <v>#DIV/0!</v>
      </c>
      <c r="G53" s="3329"/>
      <c r="H53" s="1107">
        <f>项目基本情况!B37</f>
        <v>0</v>
      </c>
      <c r="I53" s="945">
        <f>SUMIF(修正!A45:A56,H53,修正!C45:C56)</f>
        <v>0</v>
      </c>
      <c r="J53" s="946"/>
      <c r="K53" s="1148"/>
      <c r="L53" s="944"/>
      <c r="M53" s="944"/>
      <c r="N53" s="944"/>
      <c r="O53" s="944"/>
    </row>
    <row r="54" spans="1:17" s="692" customFormat="1">
      <c r="A54" s="693" t="s">
        <v>2769</v>
      </c>
      <c r="B54" s="262" t="e">
        <f t="shared" si="17"/>
        <v>#DIV/0!</v>
      </c>
      <c r="C54" s="200">
        <f t="shared" si="16"/>
        <v>0</v>
      </c>
      <c r="D54" s="1167">
        <v>0.25</v>
      </c>
      <c r="E54" s="694"/>
      <c r="F54" s="691" t="e">
        <f t="shared" si="15"/>
        <v>#DIV/0!</v>
      </c>
      <c r="G54" s="3329"/>
      <c r="H54" s="1107">
        <f>项目基本情况!B37</f>
        <v>0</v>
      </c>
      <c r="I54" s="945">
        <f>SUMIF(修正!A45:A56,H54,修正!D45:D56)</f>
        <v>0</v>
      </c>
      <c r="J54" s="946"/>
      <c r="K54" s="1147"/>
      <c r="L54" s="944"/>
      <c r="M54" s="944"/>
      <c r="N54" s="944"/>
      <c r="O54" s="944"/>
    </row>
    <row r="55" spans="1:17" s="692" customFormat="1">
      <c r="A55" s="693" t="s">
        <v>2770</v>
      </c>
      <c r="B55" s="262" t="e">
        <f t="shared" si="17"/>
        <v>#DIV/0!</v>
      </c>
      <c r="C55" s="200">
        <f t="shared" si="16"/>
        <v>0</v>
      </c>
      <c r="D55" s="1167">
        <v>0.25</v>
      </c>
      <c r="E55" s="694"/>
      <c r="F55" s="691" t="e">
        <f t="shared" si="15"/>
        <v>#DIV/0!</v>
      </c>
      <c r="G55" s="3329"/>
      <c r="H55" s="1107">
        <f>项目基本情况!B37</f>
        <v>0</v>
      </c>
      <c r="I55" s="945">
        <f>SUMIF(修正!A45:A56,H55,修正!E45:E56)</f>
        <v>0</v>
      </c>
      <c r="J55" s="946"/>
      <c r="K55" s="1148"/>
      <c r="L55" s="944"/>
      <c r="M55" s="944"/>
      <c r="N55" s="944"/>
      <c r="O55" s="944"/>
    </row>
    <row r="56" spans="1:17" s="692" customFormat="1">
      <c r="A56" s="693" t="s">
        <v>2771</v>
      </c>
      <c r="B56" s="262" t="e">
        <f t="shared" si="17"/>
        <v>#DIV/0!</v>
      </c>
      <c r="C56" s="200">
        <f t="shared" si="16"/>
        <v>0</v>
      </c>
      <c r="D56" s="1167">
        <v>0.25</v>
      </c>
      <c r="E56" s="261">
        <f>'数据-汇总表'!E11</f>
        <v>0</v>
      </c>
      <c r="F56" s="691" t="e">
        <f t="shared" si="15"/>
        <v>#DIV/0!</v>
      </c>
      <c r="G56" s="2714" t="s">
        <v>2772</v>
      </c>
      <c r="H56" s="1107">
        <f>项目基本情况!C37</f>
        <v>0</v>
      </c>
      <c r="I56" s="945">
        <f>SUMIF(修正!A45:A56,H56,修正!F45:F56)</f>
        <v>0</v>
      </c>
      <c r="J56" s="946"/>
      <c r="K56" s="1147"/>
      <c r="L56" s="944"/>
      <c r="M56" s="944"/>
      <c r="N56" s="944"/>
      <c r="O56" s="944"/>
    </row>
    <row r="57" spans="1:17" s="692" customFormat="1">
      <c r="A57" s="693" t="s">
        <v>2773</v>
      </c>
      <c r="B57" s="262" t="e">
        <f t="shared" si="17"/>
        <v>#DIV/0!</v>
      </c>
      <c r="C57" s="200">
        <f t="shared" si="16"/>
        <v>0</v>
      </c>
      <c r="D57" s="1167">
        <v>0.25</v>
      </c>
      <c r="E57" s="261">
        <f>'数据-汇总表'!E12</f>
        <v>0</v>
      </c>
      <c r="F57" s="691" t="e">
        <f t="shared" si="15"/>
        <v>#DIV/0!</v>
      </c>
      <c r="G57" s="1112" t="s">
        <v>2774</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2775</v>
      </c>
      <c r="B58" s="262" t="e">
        <f t="shared" si="17"/>
        <v>#DIV/0!</v>
      </c>
      <c r="C58" s="200">
        <f t="shared" si="16"/>
        <v>0</v>
      </c>
      <c r="D58" s="1167">
        <v>0.25</v>
      </c>
      <c r="E58" s="261">
        <f>'数据-汇总表'!E13</f>
        <v>0</v>
      </c>
      <c r="F58" s="691" t="e">
        <f t="shared" si="15"/>
        <v>#DIV/0!</v>
      </c>
      <c r="G58" s="1112" t="s">
        <v>2776</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2777</v>
      </c>
      <c r="B59" s="262" t="e">
        <f t="shared" si="17"/>
        <v>#DIV/0!</v>
      </c>
      <c r="C59" s="200">
        <f t="shared" si="16"/>
        <v>0</v>
      </c>
      <c r="D59" s="1167">
        <v>0.25</v>
      </c>
      <c r="E59" s="261">
        <f>'数据-汇总表'!E14</f>
        <v>0</v>
      </c>
      <c r="F59" s="691" t="e">
        <f t="shared" si="15"/>
        <v>#DIV/0!</v>
      </c>
      <c r="G59" s="2714" t="s">
        <v>2767</v>
      </c>
      <c r="H59" s="1107">
        <f>项目基本情况!B37</f>
        <v>0</v>
      </c>
      <c r="I59" s="945">
        <f>SUMIF(修正!A45:A56,H59,修正!H45:H56)</f>
        <v>0</v>
      </c>
      <c r="J59" s="946"/>
      <c r="K59" s="1148"/>
      <c r="L59" s="944"/>
      <c r="M59" s="944"/>
      <c r="N59" s="944"/>
      <c r="O59" s="944"/>
    </row>
    <row r="60" spans="1:17" s="692" customFormat="1" ht="15" thickBot="1">
      <c r="A60" s="693" t="s">
        <v>2778</v>
      </c>
      <c r="B60" s="262" t="e">
        <f t="shared" si="17"/>
        <v>#DIV/0!</v>
      </c>
      <c r="C60" s="200">
        <f t="shared" si="16"/>
        <v>0</v>
      </c>
      <c r="D60" s="1167">
        <v>0.25</v>
      </c>
      <c r="E60" s="261">
        <f>'数据-汇总表'!E15</f>
        <v>0</v>
      </c>
      <c r="F60" s="691" t="e">
        <f t="shared" si="15"/>
        <v>#DIV/0!</v>
      </c>
      <c r="G60" s="2715" t="s">
        <v>2772</v>
      </c>
      <c r="H60" s="1117">
        <f>项目基本情况!C37</f>
        <v>0</v>
      </c>
      <c r="I60" s="945">
        <f>SUMIF(修正!A45:A56,H60,修正!H45:H56)</f>
        <v>0</v>
      </c>
      <c r="J60" s="946"/>
      <c r="K60" s="1147"/>
      <c r="L60" s="944"/>
      <c r="M60" s="944"/>
      <c r="N60" s="944"/>
      <c r="O60" s="944"/>
    </row>
    <row r="61" spans="1:17" s="692" customFormat="1" ht="15" thickBot="1">
      <c r="A61" s="695" t="s">
        <v>2779</v>
      </c>
      <c r="B61" s="696" t="s">
        <v>28</v>
      </c>
      <c r="C61" s="696" t="s">
        <v>29</v>
      </c>
      <c r="D61" s="696" t="s">
        <v>1026</v>
      </c>
      <c r="E61" s="696">
        <f>IF(B41="楼面地价",SUM(E51:E60),'数据-汇总表'!D3)</f>
        <v>40347.69</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2673</v>
      </c>
      <c r="B64" s="759"/>
      <c r="C64" s="764"/>
      <c r="D64" s="764"/>
      <c r="E64" s="764"/>
      <c r="F64" s="765"/>
      <c r="G64" s="765"/>
      <c r="H64" s="764"/>
      <c r="I64" s="764"/>
      <c r="J64" s="764"/>
      <c r="K64" s="766"/>
      <c r="L64" s="767"/>
      <c r="M64" s="764"/>
      <c r="N64" s="764"/>
      <c r="O64" s="1162"/>
      <c r="P64" s="503"/>
      <c r="Q64" s="504"/>
    </row>
    <row r="65" spans="1:17" s="508" customFormat="1" ht="15">
      <c r="A65" s="2716" t="s">
        <v>2780</v>
      </c>
      <c r="B65" s="1362"/>
      <c r="C65" s="1575" t="str">
        <f>YEAR(C63)&amp;"-"&amp;ROUNDUP(MONTH(C63)/3,0)</f>
        <v>2019-2</v>
      </c>
      <c r="D65" s="1575" t="str">
        <f t="shared" ref="D65:O65" si="19">YEAR(D63)&amp;"-"&amp;ROUNDUP(MONTH(D63)/3,0)</f>
        <v>2019-1</v>
      </c>
      <c r="E65" s="1575" t="str">
        <f t="shared" si="19"/>
        <v>2018-4</v>
      </c>
      <c r="F65" s="1575" t="str">
        <f t="shared" si="19"/>
        <v>2018-3</v>
      </c>
      <c r="G65" s="1575" t="str">
        <f t="shared" si="19"/>
        <v>2018-2</v>
      </c>
      <c r="H65" s="1575" t="str">
        <f t="shared" si="19"/>
        <v>2018-1</v>
      </c>
      <c r="I65" s="1575" t="str">
        <f t="shared" si="19"/>
        <v>2017-4</v>
      </c>
      <c r="J65" s="1575" t="str">
        <f t="shared" si="19"/>
        <v>2017-3</v>
      </c>
      <c r="K65" s="1575" t="str">
        <f t="shared" si="19"/>
        <v>2017-2</v>
      </c>
      <c r="L65" s="1575" t="str">
        <f t="shared" si="19"/>
        <v>2017-1</v>
      </c>
      <c r="M65" s="1575" t="str">
        <f t="shared" si="19"/>
        <v>2016-4</v>
      </c>
      <c r="N65" s="1575" t="str">
        <f t="shared" si="19"/>
        <v>2016-3</v>
      </c>
      <c r="O65" s="1575" t="str">
        <f t="shared" si="19"/>
        <v>2016-2</v>
      </c>
      <c r="P65" s="507"/>
    </row>
    <row r="66" spans="1:17" s="117" customFormat="1" ht="30.75" customHeight="1">
      <c r="A66" s="2721" t="s">
        <v>2800</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2587</v>
      </c>
      <c r="B70" s="528" t="s">
        <v>2553</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2556</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2783</v>
      </c>
      <c r="C87" s="573" t="s">
        <v>2596</v>
      </c>
      <c r="D87" s="573" t="s">
        <v>2597</v>
      </c>
      <c r="E87" s="573" t="s">
        <v>2598</v>
      </c>
      <c r="F87" s="573" t="s">
        <v>2599</v>
      </c>
      <c r="G87" s="573" t="s">
        <v>2600</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2784</v>
      </c>
      <c r="C89" s="573" t="s">
        <v>2596</v>
      </c>
      <c r="D89" s="573" t="s">
        <v>2597</v>
      </c>
      <c r="E89" s="573" t="s">
        <v>2598</v>
      </c>
      <c r="F89" s="573" t="s">
        <v>2599</v>
      </c>
      <c r="G89" s="573" t="s">
        <v>2600</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2801</v>
      </c>
      <c r="C93" s="660" t="s">
        <v>2674</v>
      </c>
      <c r="D93" s="660" t="s">
        <v>2675</v>
      </c>
      <c r="E93" s="660" t="s">
        <v>2676</v>
      </c>
      <c r="F93" s="660" t="s">
        <v>2677</v>
      </c>
      <c r="G93" s="660" t="s">
        <v>2678</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2690</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2749</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2562</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2790</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2792</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2793</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C38" sqref="C38"/>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2802</v>
      </c>
      <c r="B1" s="241"/>
      <c r="C1" s="245" t="s">
        <v>2803</v>
      </c>
      <c r="D1" s="388">
        <f>SUM(D29:D30,D33:D39)</f>
        <v>0</v>
      </c>
      <c r="E1" s="2722"/>
      <c r="F1" s="2722"/>
      <c r="G1" s="2722"/>
      <c r="H1" s="2722"/>
      <c r="I1" s="2722"/>
      <c r="J1" s="2722"/>
      <c r="K1" s="1373"/>
      <c r="L1" s="2723" t="s">
        <v>2804</v>
      </c>
      <c r="M1" s="1083">
        <f>SUMPRODUCT((区片价!B5:B9=I2)*(区片价!C3:F3=E2)*(区片价!C5:F9))</f>
        <v>0</v>
      </c>
      <c r="N1" s="1086">
        <f>SUMPRODUCT((因素修正幅度!B5:B9=I2)*(因素修正幅度!C3:F3=E2)*(因素修正幅度!C5:F9))</f>
        <v>0</v>
      </c>
      <c r="O1" s="2724"/>
      <c r="P1" s="2724"/>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75">
      <c r="A2" s="245" t="s">
        <v>2810</v>
      </c>
      <c r="B2" s="248" t="e">
        <f>C26</f>
        <v>#DIV/0!</v>
      </c>
      <c r="C2" s="2726" t="s">
        <v>2811</v>
      </c>
      <c r="D2" s="2727" t="s">
        <v>2812</v>
      </c>
      <c r="E2" s="2728"/>
      <c r="F2" s="2727" t="s">
        <v>2813</v>
      </c>
      <c r="G2" s="2729">
        <f>IF(E2="商业",项目基本情况!B37,IF(E2="办公",项目基本情况!C37,IF(E2="住宅",项目基本情况!D37,项目基本情况!E37)))</f>
        <v>0</v>
      </c>
      <c r="H2" s="2727" t="s">
        <v>2814</v>
      </c>
      <c r="I2" s="2729">
        <f>IF(E2="商业",项目基本情况!B38,IF(E2="办公",项目基本情况!C38,IF(E2="住宅",项目基本情况!D38,项目基本情况!E38)))</f>
        <v>0</v>
      </c>
      <c r="J2" s="2730"/>
      <c r="K2" s="1373"/>
      <c r="L2" s="2731"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2816</v>
      </c>
      <c r="B3" s="248" t="e">
        <f>ROUND(B2*10000/D1,0)</f>
        <v>#DIV/0!</v>
      </c>
      <c r="C3" s="2726" t="s">
        <v>2817</v>
      </c>
      <c r="D3" s="2727" t="s">
        <v>2818</v>
      </c>
      <c r="E3" s="2732"/>
      <c r="F3" s="2733" t="s">
        <v>2819</v>
      </c>
      <c r="G3" s="916">
        <f>IF(F3="宗地容积率",'数据-汇总表'!I4,IF(F3="估价对象容积率",'数据-汇总表'!I6,'数据-汇总表'!I7))</f>
        <v>0.51</v>
      </c>
      <c r="H3" s="198" t="s">
        <v>2820</v>
      </c>
      <c r="I3" s="947"/>
      <c r="J3" s="2730" t="s">
        <v>2821</v>
      </c>
      <c r="K3" s="1373"/>
      <c r="L3" s="2731"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37"/>
      <c r="B4" s="3338"/>
      <c r="C4" s="3338"/>
      <c r="D4" s="3339"/>
      <c r="E4" s="3339"/>
      <c r="F4" s="3339"/>
      <c r="G4" s="3339"/>
      <c r="H4" s="3339"/>
      <c r="I4" s="3339"/>
      <c r="J4" s="3340"/>
      <c r="K4" s="1373"/>
      <c r="L4" s="2731"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2824</v>
      </c>
      <c r="C5" s="917" t="e">
        <f>ROUND(IF(E2="商业",IF(F16="增加",C6*C7+C16,C6*C7-C16),IF(E2="住宅",IF(F16="增加",C6*C12+C16,C6*C12-C16),IF(F16="增加",C6+C16,C6-C16))),0)</f>
        <v>#DIV/0!</v>
      </c>
      <c r="D5" s="1790" t="e">
        <f>ROUND(IF(F16="增加",C6+C16,C6-C16),0)</f>
        <v>#DIV/0!</v>
      </c>
      <c r="E5" s="1790"/>
      <c r="F5" s="2736"/>
      <c r="G5" s="2737"/>
      <c r="H5" s="2737"/>
      <c r="I5" s="2737"/>
      <c r="J5" s="2738"/>
      <c r="K5" s="2739"/>
      <c r="L5" s="2731" t="s">
        <v>2825</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0"/>
      <c r="AD5" s="2741"/>
      <c r="AE5" s="2741"/>
      <c r="AF5" s="2741"/>
      <c r="AG5" s="2741"/>
      <c r="AH5" s="2741"/>
      <c r="AI5" s="2741"/>
      <c r="AJ5" s="2742"/>
    </row>
    <row r="6" spans="1:36" ht="15.75" thickBot="1">
      <c r="A6" s="2744" t="s">
        <v>2826</v>
      </c>
      <c r="B6" s="2745" t="s">
        <v>2827</v>
      </c>
      <c r="C6" s="918">
        <f>SUMIF(L1:L12,G2,M1:M12)</f>
        <v>0</v>
      </c>
      <c r="D6" s="2746" t="s">
        <v>2828</v>
      </c>
      <c r="E6" s="2747"/>
      <c r="F6" s="2747"/>
      <c r="G6" s="2748"/>
      <c r="H6" s="2748"/>
      <c r="I6" s="2748"/>
      <c r="J6" s="2749"/>
      <c r="K6" s="1845"/>
      <c r="L6" s="2731"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0"/>
      <c r="AD6" s="2741"/>
      <c r="AE6" s="2741"/>
      <c r="AF6" s="2741"/>
      <c r="AG6" s="2741"/>
      <c r="AH6" s="2741"/>
      <c r="AI6" s="2741"/>
      <c r="AJ6" s="2742"/>
    </row>
    <row r="7" spans="1:36" ht="24">
      <c r="A7" s="3341" t="str">
        <f>IF(E2="商业",IF(C8="不临58条商业街","",2),"")</f>
        <v/>
      </c>
      <c r="B7" s="2750" t="s">
        <v>2830</v>
      </c>
      <c r="C7" s="919" t="e">
        <f>IF(C8="不临58条商业街",1,ROUND(1+(1.6*E8+1.2*E9+0.8*E10+0.4*E11)*C9,4))</f>
        <v>#DIV/0!</v>
      </c>
      <c r="D7" s="2751" t="s">
        <v>2831</v>
      </c>
      <c r="E7" s="948"/>
      <c r="F7" s="2752"/>
      <c r="G7" s="2753"/>
      <c r="H7" s="2753"/>
      <c r="I7" s="2753"/>
      <c r="J7" s="2754"/>
      <c r="K7" s="1845"/>
      <c r="L7" s="2731"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2833</v>
      </c>
      <c r="X7" s="1607">
        <f>G2</f>
        <v>0</v>
      </c>
      <c r="Y7" s="1607" t="s">
        <v>2834</v>
      </c>
      <c r="Z7" s="1608">
        <f>G3</f>
        <v>0.51</v>
      </c>
      <c r="AA7" s="1609"/>
      <c r="AB7" s="1609"/>
      <c r="AC7" s="1610"/>
      <c r="AD7" s="1611"/>
      <c r="AE7" s="1611"/>
      <c r="AF7" s="1611"/>
      <c r="AG7" s="1611"/>
      <c r="AH7" s="1611"/>
      <c r="AI7" s="1611"/>
      <c r="AJ7" s="1612"/>
    </row>
    <row r="8" spans="1:36" ht="15">
      <c r="A8" s="3342"/>
      <c r="B8" s="198" t="s">
        <v>2835</v>
      </c>
      <c r="C8" s="2755"/>
      <c r="D8" s="920" t="s">
        <v>139</v>
      </c>
      <c r="E8" s="921" t="e">
        <f>ROUND(C11/E7,4)</f>
        <v>#DIV/0!</v>
      </c>
      <c r="F8" s="2756" t="s">
        <v>2836</v>
      </c>
      <c r="G8" s="2757"/>
      <c r="H8" s="2757"/>
      <c r="I8" s="2757"/>
      <c r="J8" s="2758"/>
      <c r="K8" s="1373"/>
      <c r="L8" s="2731"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334" t="s">
        <v>2838</v>
      </c>
      <c r="X8" s="3335"/>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342"/>
      <c r="B9" s="198" t="s">
        <v>2851</v>
      </c>
      <c r="C9" s="922">
        <f>SUMIF(修正!C59:C119,C8,修正!E59:E119)</f>
        <v>0</v>
      </c>
      <c r="D9" s="200" t="s">
        <v>140</v>
      </c>
      <c r="E9" s="200" t="e">
        <f>ROUND(C11/E7,4)</f>
        <v>#DIV/0!</v>
      </c>
      <c r="F9" s="2756" t="s">
        <v>2852</v>
      </c>
      <c r="G9" s="2757"/>
      <c r="H9" s="2757"/>
      <c r="I9" s="2757"/>
      <c r="J9" s="2758"/>
      <c r="K9" s="1373"/>
      <c r="L9" s="2731"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36"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342"/>
      <c r="B10" s="198" t="s">
        <v>2856</v>
      </c>
      <c r="C10" s="200">
        <f>SUMIF(修正!C59:C119,C8,修正!F59:F119)</f>
        <v>0</v>
      </c>
      <c r="D10" s="200" t="s">
        <v>141</v>
      </c>
      <c r="E10" s="200" t="e">
        <f>ROUND(C11/E7,4)</f>
        <v>#DIV/0!</v>
      </c>
      <c r="F10" s="2756" t="s">
        <v>2857</v>
      </c>
      <c r="G10" s="2757"/>
      <c r="H10" s="2757"/>
      <c r="I10" s="2757"/>
      <c r="J10" s="2758"/>
      <c r="K10" s="1373"/>
      <c r="L10" s="2731"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36"/>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342"/>
      <c r="B11" s="2759" t="s">
        <v>2859</v>
      </c>
      <c r="C11" s="923">
        <f>C10/4</f>
        <v>0</v>
      </c>
      <c r="D11" s="923" t="s">
        <v>142</v>
      </c>
      <c r="E11" s="923" t="e">
        <f>ROUND(C11/E7,4)</f>
        <v>#DIV/0!</v>
      </c>
      <c r="F11" s="2760" t="s">
        <v>2860</v>
      </c>
      <c r="G11" s="2761"/>
      <c r="H11" s="2761"/>
      <c r="I11" s="2761"/>
      <c r="J11" s="2762"/>
      <c r="K11" s="1373"/>
      <c r="L11" s="2731"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36" t="s">
        <v>2862</v>
      </c>
      <c r="X11" s="1617" t="s">
        <v>2863</v>
      </c>
      <c r="Y11" s="1618">
        <f>$G$3</f>
        <v>0.51</v>
      </c>
      <c r="Z11" s="1618">
        <f t="shared" ref="Z11:AJ11" si="3">$G$3</f>
        <v>0.51</v>
      </c>
      <c r="AA11" s="1618">
        <f t="shared" si="3"/>
        <v>0.51</v>
      </c>
      <c r="AB11" s="1618">
        <f t="shared" si="3"/>
        <v>0.51</v>
      </c>
      <c r="AC11" s="1618">
        <f t="shared" si="3"/>
        <v>0.51</v>
      </c>
      <c r="AD11" s="1618">
        <f t="shared" si="3"/>
        <v>0.51</v>
      </c>
      <c r="AE11" s="1618">
        <f t="shared" si="3"/>
        <v>0.51</v>
      </c>
      <c r="AF11" s="1618">
        <f t="shared" si="3"/>
        <v>0.51</v>
      </c>
      <c r="AG11" s="1618">
        <f t="shared" si="3"/>
        <v>0.51</v>
      </c>
      <c r="AH11" s="1618">
        <f t="shared" si="3"/>
        <v>0.51</v>
      </c>
      <c r="AI11" s="1618">
        <f t="shared" si="3"/>
        <v>0.51</v>
      </c>
      <c r="AJ11" s="1618">
        <f t="shared" si="3"/>
        <v>0.51</v>
      </c>
    </row>
    <row r="12" spans="1:36" ht="25.5" thickBot="1">
      <c r="A12" s="3341" t="s">
        <v>2864</v>
      </c>
      <c r="B12" s="2763" t="s">
        <v>2865</v>
      </c>
      <c r="C12" s="919">
        <f>ROUND(C15*D15*E15*F15*G15*H15*I15*J15,4)</f>
        <v>1</v>
      </c>
      <c r="D12" s="2764" t="s">
        <v>2866</v>
      </c>
      <c r="E12" s="2765"/>
      <c r="F12" s="2765"/>
      <c r="G12" s="2766"/>
      <c r="H12" s="2766"/>
      <c r="I12" s="2766"/>
      <c r="J12" s="2767"/>
      <c r="K12" s="1373"/>
      <c r="L12" s="2768"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36"/>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43"/>
      <c r="B13" s="2769" t="s">
        <v>2869</v>
      </c>
      <c r="C13" s="2770" t="s">
        <v>2870</v>
      </c>
      <c r="D13" s="1811" t="s">
        <v>2871</v>
      </c>
      <c r="E13" s="1811" t="s">
        <v>2872</v>
      </c>
      <c r="F13" s="30" t="s">
        <v>2873</v>
      </c>
      <c r="G13" s="2771" t="s">
        <v>2874</v>
      </c>
      <c r="H13" s="2771" t="s">
        <v>2874</v>
      </c>
      <c r="I13" s="2771" t="s">
        <v>2874</v>
      </c>
      <c r="J13" s="2772" t="s">
        <v>2874</v>
      </c>
      <c r="K13" s="1373"/>
      <c r="L13" s="1373"/>
      <c r="M13" s="1373"/>
      <c r="N13" s="1373"/>
      <c r="O13" s="1373"/>
      <c r="P13" s="1373"/>
      <c r="Q13" s="1373"/>
      <c r="R13" s="1605">
        <v>12</v>
      </c>
      <c r="S13" s="1606"/>
      <c r="T13" s="1605" t="e">
        <f t="shared" si="0"/>
        <v>#DIV/0!</v>
      </c>
      <c r="U13" s="1606"/>
      <c r="V13" s="1605" t="e">
        <f t="shared" si="1"/>
        <v>#DIV/0!</v>
      </c>
      <c r="W13" s="3336"/>
      <c r="X13" s="1619"/>
      <c r="Y13" s="1616">
        <f>(-0.163*(Y12^2)-0.59*Y12+7617)*(10^(-4))/Y11</f>
        <v>1.493529411764706</v>
      </c>
      <c r="Z13" s="1616">
        <f t="shared" ref="Z13:AJ13" si="5">(-0.163*(Z12^2)-0.59*Z12+7617)*(10^(-4))/Z11</f>
        <v>1.493529411764706</v>
      </c>
      <c r="AA13" s="1616">
        <f t="shared" si="5"/>
        <v>1.493529411764706</v>
      </c>
      <c r="AB13" s="1616">
        <f t="shared" si="5"/>
        <v>1.493529411764706</v>
      </c>
      <c r="AC13" s="1616">
        <f t="shared" si="5"/>
        <v>1.493529411764706</v>
      </c>
      <c r="AD13" s="1616">
        <f t="shared" si="5"/>
        <v>1.493529411764706</v>
      </c>
      <c r="AE13" s="1616">
        <f t="shared" si="5"/>
        <v>1.493529411764706</v>
      </c>
      <c r="AF13" s="1616">
        <f t="shared" si="5"/>
        <v>1.493529411764706</v>
      </c>
      <c r="AG13" s="1616">
        <f t="shared" si="5"/>
        <v>1.493529411764706</v>
      </c>
      <c r="AH13" s="1616">
        <f t="shared" si="5"/>
        <v>1.493529411764706</v>
      </c>
      <c r="AI13" s="1616">
        <f t="shared" si="5"/>
        <v>1.493529411764706</v>
      </c>
      <c r="AJ13" s="1616">
        <f t="shared" si="5"/>
        <v>1.493529411764706</v>
      </c>
    </row>
    <row r="14" spans="1:36" ht="15">
      <c r="A14" s="3343"/>
      <c r="B14" s="2773"/>
      <c r="C14" s="2774"/>
      <c r="D14" s="2775"/>
      <c r="E14" s="2775"/>
      <c r="F14" s="2776"/>
      <c r="G14" s="2777" t="s">
        <v>2875</v>
      </c>
      <c r="H14" s="2778"/>
      <c r="I14" s="2779"/>
      <c r="J14" s="2780"/>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44"/>
      <c r="B15" s="2781" t="s">
        <v>2876</v>
      </c>
      <c r="C15" s="229">
        <f>IF(C14="有",1.1,1)</f>
        <v>1</v>
      </c>
      <c r="D15" s="229">
        <f>IF(D14="有",1.1,1)</f>
        <v>1</v>
      </c>
      <c r="E15" s="229">
        <f>IF(E14="有",1.1,1)</f>
        <v>1</v>
      </c>
      <c r="F15" s="229">
        <f>IF(F14="500米范围内",1.2,IF(F14="500-1000米",1.1,1))</f>
        <v>1</v>
      </c>
      <c r="G15" s="949">
        <v>1</v>
      </c>
      <c r="H15" s="949">
        <v>1</v>
      </c>
      <c r="I15" s="949">
        <v>1</v>
      </c>
      <c r="J15" s="950">
        <v>1</v>
      </c>
      <c r="K15" s="1373"/>
      <c r="L15" s="2782" t="s">
        <v>2812</v>
      </c>
      <c r="M15" s="920" t="s">
        <v>2877</v>
      </c>
      <c r="N15" s="920" t="s">
        <v>2878</v>
      </c>
      <c r="O15" s="920" t="s">
        <v>2879</v>
      </c>
      <c r="P15" s="2783" t="s">
        <v>2880</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341" t="s">
        <v>2881</v>
      </c>
      <c r="B16" s="2750" t="s">
        <v>2882</v>
      </c>
      <c r="C16" s="1804" t="e">
        <f>ROUND(SUM(G17:J17)/C17,0)</f>
        <v>#DIV/0!</v>
      </c>
      <c r="D16" s="2784" t="s">
        <v>2883</v>
      </c>
      <c r="E16" s="2785"/>
      <c r="F16" s="2786"/>
      <c r="G16" s="2787"/>
      <c r="H16" s="2787"/>
      <c r="I16" s="2787"/>
      <c r="J16" s="2788"/>
      <c r="K16" s="1373"/>
      <c r="L16" s="2789" t="s">
        <v>2884</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342"/>
      <c r="B17" s="2790" t="s">
        <v>2885</v>
      </c>
      <c r="C17" s="924">
        <f>SUMPRODUCT((修正!A2:A5=E2)*(修正!B1:M1=G2)*(修正!B2:M5))</f>
        <v>0</v>
      </c>
      <c r="D17" s="2791" t="s">
        <v>2886</v>
      </c>
      <c r="E17" s="923" t="str">
        <f>IF(OR(G2="八级",G2="九级",G2="十级",G2="十一级",G2="十二级"),"五通一平","七通一平")</f>
        <v>七通一平</v>
      </c>
      <c r="F17" s="924" t="s">
        <v>2887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2889</v>
      </c>
      <c r="C18" s="926">
        <f>SUMIF(修正!C18:C39,E3,修正!E18:E39)</f>
        <v>0</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7.75" thickBot="1">
      <c r="A19" s="2794" t="s">
        <v>809</v>
      </c>
      <c r="B19" s="2795" t="s">
        <v>2890</v>
      </c>
      <c r="C19" s="927" t="e">
        <f>ROUND(IF(H19="按公示增长率计算",SUMPRODUCT((地价!A3:A25=YEAR(G19)&amp;"-"&amp;ROUNDUP(MONTH(G19)/3,0))*(地价!X2:AB2=E2)*(地价!X3:AB25)),IF(H19="地价指数",M20/M19,(1+I19)^O19)),4)</f>
        <v>#DIV/0!</v>
      </c>
      <c r="D19" s="2802" t="s">
        <v>2891</v>
      </c>
      <c r="E19" s="928">
        <v>41640</v>
      </c>
      <c r="F19" s="2802" t="s">
        <v>2892</v>
      </c>
      <c r="G19" s="929">
        <f>'数据-取费表'!B2</f>
        <v>43598</v>
      </c>
      <c r="H19" s="2803" t="s">
        <v>2893</v>
      </c>
      <c r="I19" s="930" t="str">
        <f>IF(H19="季度增幅（自定义）",SUMIF(N21:N24,E2,O21:O24),"")</f>
        <v/>
      </c>
      <c r="J19" s="2800"/>
      <c r="K19" s="1380"/>
      <c r="L19" s="2804" t="s">
        <v>2894</v>
      </c>
      <c r="M19" s="1737">
        <f>ROUND(SUMIF(地价!B2:F2,E2,地价!B25:F25),0)</f>
        <v>0</v>
      </c>
      <c r="N19" s="2805" t="s">
        <v>2895</v>
      </c>
      <c r="O19" s="931">
        <f>ROUNDDOWN(DATEDIF(E19,G19,"M")/3,0)</f>
        <v>21</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2896</v>
      </c>
      <c r="C20" s="932" t="e">
        <f>ROUND(POWER(1+G20,J20-I20)*(POWER(1+G20,I20)-1)/(POWER(1+G20,J20)-1),4)</f>
        <v>#DIV/0!</v>
      </c>
      <c r="D20" s="2811" t="s">
        <v>2897</v>
      </c>
      <c r="E20" s="1771">
        <f ca="1">存贷款利率!D4/100</f>
        <v>4.3499999999999997E-2</v>
      </c>
      <c r="F20" s="2811" t="s">
        <v>2888</v>
      </c>
      <c r="G20" s="937">
        <f>SUMIF(M15:P15,E2,M17:P17)</f>
        <v>0</v>
      </c>
      <c r="H20" s="2811" t="s">
        <v>2898</v>
      </c>
      <c r="I20" s="938" t="e">
        <f>SUMIF('数据-取费表'!C6:C15,E2,'数据-取费表'!F6:F15)/COUNTIF('数据-取费表'!C6:C15,E2)</f>
        <v>#DIV/0!</v>
      </c>
      <c r="J20" s="939">
        <f>IF(E2="住宅",70,IF(E2="商业",40,50))</f>
        <v>50</v>
      </c>
      <c r="K20" s="1380"/>
      <c r="L20" s="2812" t="s">
        <v>2899</v>
      </c>
      <c r="M20" s="1738">
        <f>ROUND(SUMPRODUCT((地价!A4:A25=YEAR(G19)&amp;"-"&amp;ROUNDUP(MONTH(G19)/3,0))*(地价!B2:F2=E2)*(地价!B4:F25)),0)</f>
        <v>0</v>
      </c>
      <c r="N20" s="2813" t="s">
        <v>2900</v>
      </c>
      <c r="O20" s="2814" t="s">
        <v>2901</v>
      </c>
      <c r="P20" s="2815" t="s">
        <v>2902</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2903</v>
      </c>
      <c r="C21" s="940">
        <f>IF(B21="容积率修正",IF(G3&lt;=10,D22,J22),C23)</f>
        <v>0</v>
      </c>
      <c r="D21" s="2818"/>
      <c r="E21" s="2818"/>
      <c r="F21" s="2818"/>
      <c r="G21" s="2818"/>
      <c r="H21" s="2818"/>
      <c r="I21" s="2818"/>
      <c r="J21" s="2819"/>
      <c r="K21" s="1380"/>
      <c r="N21" s="2820" t="s">
        <v>2904</v>
      </c>
      <c r="O21" s="1564"/>
      <c r="P21" s="1565">
        <f>SUMPRODUCT((地价!A3:A25=YEAR(G19)&amp;"-"&amp;ROUNDUP(MONTH(G19)/3,0))*(地价!AD2:AH2=N21)*(地价!AD3:AH25))</f>
        <v>0</v>
      </c>
      <c r="R21" s="1379"/>
      <c r="S21" s="1379"/>
      <c r="T21" s="1374"/>
      <c r="U21" s="1374"/>
      <c r="V21" s="1374"/>
      <c r="W21" s="1373"/>
      <c r="X21" s="1373"/>
      <c r="Y21" s="1373"/>
      <c r="Z21" s="1380"/>
      <c r="AA21" s="1381"/>
      <c r="AB21" s="1381"/>
      <c r="AC21" s="1381"/>
      <c r="AD21" s="1381"/>
      <c r="AE21" s="1381"/>
      <c r="AF21" s="1381"/>
    </row>
    <row r="22" spans="1:37" s="2743" customFormat="1" ht="14.25">
      <c r="A22" s="2669" t="s">
        <v>2905</v>
      </c>
      <c r="B22" s="2821" t="s">
        <v>2906</v>
      </c>
      <c r="C22" s="1813" t="s">
        <v>2907</v>
      </c>
      <c r="D22" s="1813">
        <f>IF(E22=G22,F22,IF(G3&lt;=10,ROUND(F22+(H22-F22)*(G3-E22)/(G22-E22),4),"——"))</f>
        <v>0</v>
      </c>
      <c r="E22" s="916">
        <f>ROUNDDOWN(G3,1)</f>
        <v>0.5</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0.6</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20" t="s">
        <v>2908</v>
      </c>
      <c r="O22" s="1564"/>
      <c r="P22" s="1565">
        <f>SUMPRODUCT((地价!A3:A25=YEAR(G19)&amp;"-"&amp;ROUNDUP(MONTH(G19)/3,0))*(地价!AD2:AH2=N22)*(地价!AD3:AH25))</f>
        <v>0</v>
      </c>
      <c r="R22" s="1379"/>
      <c r="S22" s="1379"/>
      <c r="T22" s="1374"/>
      <c r="U22" s="1374"/>
      <c r="V22" s="1374"/>
      <c r="W22" s="1373"/>
      <c r="X22" s="1373"/>
      <c r="Y22" s="1373"/>
      <c r="Z22" s="1380"/>
      <c r="AA22" s="1381"/>
      <c r="AB22" s="1381"/>
      <c r="AC22" s="1381"/>
      <c r="AD22" s="1381"/>
      <c r="AE22" s="1381"/>
      <c r="AF22" s="1381"/>
    </row>
    <row r="23" spans="1:37" ht="27.75" thickBot="1">
      <c r="A23" s="2669" t="s">
        <v>2909</v>
      </c>
      <c r="B23" s="2822" t="s">
        <v>2910</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2911</v>
      </c>
      <c r="O23" s="1564"/>
      <c r="P23" s="1565">
        <f>SUMPRODUCT((地价!A3:A25=YEAR(G19)&amp;"-"&amp;ROUNDUP(MONTH(G19)/3,0))*(地价!AD2:AH2=N23)*(地价!AD3:AH25))</f>
        <v>0</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2912</v>
      </c>
      <c r="C24" s="927">
        <f>SUMIF(A45:A88,E2,B45:B88)</f>
        <v>0</v>
      </c>
      <c r="D24" s="2798"/>
      <c r="E24" s="2828"/>
      <c r="F24" s="2828"/>
      <c r="G24" s="2828"/>
      <c r="H24" s="2828"/>
      <c r="I24" s="2828"/>
      <c r="J24" s="2829"/>
      <c r="K24" s="1380"/>
      <c r="N24" s="2830" t="s">
        <v>2913</v>
      </c>
      <c r="O24" s="1566"/>
      <c r="P24" s="1567">
        <f>SUMPRODUCT((地价!A3:A25=YEAR(G19)&amp;"-"&amp;ROUNDUP(MONTH(G19)/3,0))*(地价!AD2:AH2=N24)*(地价!AD3:AH25))</f>
        <v>0</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2914</v>
      </c>
      <c r="C25" s="933"/>
      <c r="D25" s="2753"/>
      <c r="E25" s="2753"/>
      <c r="F25" s="2832"/>
      <c r="G25" s="2753"/>
      <c r="H25" s="2753"/>
      <c r="I25" s="2753"/>
      <c r="J25" s="2754"/>
      <c r="K25" s="1373"/>
      <c r="N25" s="2833" t="s">
        <v>2915</v>
      </c>
      <c r="O25" s="1568"/>
      <c r="P25" s="1567">
        <f>SUMPRODUCT((地价!A3:A25=YEAR(G19)&amp;"-"&amp;ROUNDUP(MONTH(G19)/3,0))*(地价!AD2:AH2=N25)*(地价!AD3:AH25))</f>
        <v>0</v>
      </c>
      <c r="R25" s="1379"/>
      <c r="S25" s="1379"/>
      <c r="T25" s="1374"/>
      <c r="U25" s="1374"/>
      <c r="V25" s="1374"/>
      <c r="W25" s="1373"/>
      <c r="X25" s="1373"/>
      <c r="Y25" s="1373"/>
      <c r="Z25" s="1380"/>
      <c r="AA25" s="1381"/>
      <c r="AB25" s="1381"/>
      <c r="AC25" s="1381"/>
      <c r="AD25" s="1381"/>
    </row>
    <row r="26" spans="1:37" ht="15">
      <c r="A26" s="2834"/>
      <c r="B26" s="2821" t="s">
        <v>2916</v>
      </c>
      <c r="C26" s="206" t="e">
        <f>E29+SUM(E33:E39)</f>
        <v>#DIV/0!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2917</v>
      </c>
      <c r="C27" s="934" t="e">
        <f>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2918</v>
      </c>
      <c r="C28" s="2845" t="s">
        <v>2919</v>
      </c>
      <c r="D28" s="2845" t="s">
        <v>2920</v>
      </c>
      <c r="E28" s="2846" t="s">
        <v>2921</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2922</v>
      </c>
      <c r="C29" s="206" t="e">
        <f>ROUND(C5*C18*C19*C20*C21*C24,0)</f>
        <v>#DIV/0!</v>
      </c>
      <c r="D29" s="2850"/>
      <c r="E29" s="945" t="e">
        <f>ROUND(C29*D29/10000,0)</f>
        <v>#DIV/0!</v>
      </c>
      <c r="F29" s="2851" t="s">
        <v>2923</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2924</v>
      </c>
      <c r="C30" s="229" t="e">
        <f>ROUND(IF(E2="工业",C29*M39,C29*M38),0)</f>
        <v>#DIV/0!</v>
      </c>
      <c r="D30" s="2856"/>
      <c r="E30" s="945" t="e">
        <f>ROUND(C30*D30/10000,0)</f>
        <v>#DIV/0!</v>
      </c>
      <c r="F30" s="2857" t="s">
        <v>2925</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2926</v>
      </c>
      <c r="C31" s="2862" t="s">
        <v>2927</v>
      </c>
      <c r="D31" s="2766"/>
      <c r="E31" s="2862"/>
      <c r="F31" s="2862"/>
      <c r="G31" s="2764" t="s">
        <v>2928</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2919</v>
      </c>
      <c r="D32" s="498" t="s">
        <v>2920</v>
      </c>
      <c r="E32" s="498" t="s">
        <v>2921</v>
      </c>
      <c r="F32" s="388" t="s">
        <v>2929</v>
      </c>
      <c r="G32" s="2865" t="s">
        <v>2919</v>
      </c>
      <c r="H32" s="2865" t="s">
        <v>2920</v>
      </c>
      <c r="I32" s="2865"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351" t="s">
        <v>2930</v>
      </c>
      <c r="B33" s="2866" t="s">
        <v>2931</v>
      </c>
      <c r="C33" s="206" t="e">
        <f>ROUND(D5*C19*C20*C24*F33,0)</f>
        <v>#DIV/0!</v>
      </c>
      <c r="D33" s="2850"/>
      <c r="E33" s="200" t="e">
        <f>ROUND(C33*D33/10000,0)</f>
        <v>#DIV/0!</v>
      </c>
      <c r="F33" s="200">
        <f>SUMIF(修正!A45:A56,G2,修正!B45:B56)</f>
        <v>0</v>
      </c>
      <c r="G33" s="200" t="e">
        <f t="shared" ref="G33" si="6">ROUND(IF(E2="工业",C33*$M$39,C33*$M$38),0)</f>
        <v>#DIV/0!</v>
      </c>
      <c r="H33" s="200">
        <f>D33</f>
        <v>0</v>
      </c>
      <c r="I33" s="200" t="e">
        <f>ROUND(G33*H33/10000,0)</f>
        <v>#DIV/0!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52"/>
      <c r="B34" s="2770" t="s">
        <v>2932</v>
      </c>
      <c r="C34" s="206" t="e">
        <f>ROUND(D5*C19*C20*C24*F34,0)</f>
        <v>#DIV/0!</v>
      </c>
      <c r="D34" s="285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52"/>
      <c r="B35" s="2770" t="s">
        <v>2933</v>
      </c>
      <c r="C35" s="206" t="e">
        <f>ROUND(D5*C19*C20*C24*F35,0)</f>
        <v>#DIV/0!</v>
      </c>
      <c r="D35" s="2850"/>
      <c r="E35" s="200" t="e">
        <f t="shared" si="7"/>
        <v>#DIV/0!</v>
      </c>
      <c r="F35" s="200">
        <f>SUMIF(修正!A45:A56,G2,修正!D45:D56)</f>
        <v>0</v>
      </c>
      <c r="G35" s="200" t="e">
        <f>ROUND(IF(E2="工业",C35*$M$39,C35*$M$38),0)</f>
        <v>#DIV/0!</v>
      </c>
      <c r="H35" s="200">
        <f t="shared" si="8"/>
        <v>0</v>
      </c>
      <c r="I35" s="200" t="e">
        <f t="shared" si="9"/>
        <v>#DIV/0!</v>
      </c>
      <c r="J35" s="2867"/>
      <c r="K35" s="1373"/>
      <c r="L35" s="1373"/>
      <c r="M35" s="1373"/>
      <c r="N35" s="1373"/>
      <c r="O35" s="1373"/>
      <c r="P35" s="1373"/>
      <c r="Q35" s="1373"/>
      <c r="R35" s="1373"/>
      <c r="S35" s="1373"/>
      <c r="T35" s="1373"/>
      <c r="U35" s="1373"/>
      <c r="V35" s="1373"/>
      <c r="W35" s="1373"/>
      <c r="X35" s="1373"/>
      <c r="Y35" s="1373"/>
      <c r="Z35" s="1374"/>
    </row>
    <row r="36" spans="1:37" ht="13.5" thickBot="1">
      <c r="A36" s="3353"/>
      <c r="B36" s="2770" t="s">
        <v>2934</v>
      </c>
      <c r="C36" s="206" t="e">
        <f>ROUND(D5*C19*C20*C24*F36,0)</f>
        <v>#DIV/0!</v>
      </c>
      <c r="D36" s="2850"/>
      <c r="E36" s="200" t="e">
        <f t="shared" si="7"/>
        <v>#DIV/0!</v>
      </c>
      <c r="F36" s="200">
        <f>SUMIF(修正!A45:A56,G2,修正!E45:E56)</f>
        <v>0</v>
      </c>
      <c r="G36" s="200" t="e">
        <f>ROUND(IF(E2="工业",C36*$M$39,C36*$M$38),0)</f>
        <v>#DIV/0!</v>
      </c>
      <c r="H36" s="200">
        <f t="shared" si="8"/>
        <v>0</v>
      </c>
      <c r="I36" s="200" t="e">
        <f t="shared" si="9"/>
        <v>#DIV/0!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2935</v>
      </c>
      <c r="C37" s="200" t="e">
        <f>ROUND(D5*C19*C20*C24*F37,0)</f>
        <v>#DIV/0!</v>
      </c>
      <c r="D37" s="2850"/>
      <c r="E37" s="200" t="e">
        <f t="shared" si="7"/>
        <v>#DIV/0!</v>
      </c>
      <c r="F37" s="206">
        <f>SUMIF(修正!A45:A56,G2,修正!F45:F56)</f>
        <v>0</v>
      </c>
      <c r="G37" s="200" t="e">
        <f>ROUND(IF(E2="工业",C37*$M$39,C37*$M$38),0)</f>
        <v>#DIV/0!</v>
      </c>
      <c r="H37" s="200">
        <f t="shared" si="8"/>
        <v>0</v>
      </c>
      <c r="I37" s="200" t="e">
        <f t="shared" si="9"/>
        <v>#DIV/0!</v>
      </c>
      <c r="J37" s="2867"/>
      <c r="K37" s="1373"/>
      <c r="L37" s="2869" t="s">
        <v>2936</v>
      </c>
      <c r="M37" s="2870"/>
      <c r="N37" s="1373"/>
      <c r="O37" s="1373"/>
      <c r="P37" s="1373"/>
      <c r="Q37" s="1373"/>
      <c r="R37" s="1373"/>
      <c r="S37" s="1373"/>
      <c r="T37" s="1373"/>
      <c r="U37" s="1373"/>
      <c r="V37" s="1373"/>
      <c r="W37" s="1373"/>
      <c r="X37" s="1373"/>
      <c r="Y37" s="1373"/>
      <c r="Z37" s="1374"/>
    </row>
    <row r="38" spans="1:37">
      <c r="A38" s="2868"/>
      <c r="B38" s="2770" t="s">
        <v>2937</v>
      </c>
      <c r="C38" s="200" t="e">
        <f>ROUND(D5*C19*C41*C24*F38,0)</f>
        <v>#DIV/0!</v>
      </c>
      <c r="D38" s="2850"/>
      <c r="E38" s="200" t="e">
        <f t="shared" si="7"/>
        <v>#DIV/0!</v>
      </c>
      <c r="F38" s="206">
        <f>SUMIF(修正!A45:A56,G2,修正!G45:G56)</f>
        <v>0</v>
      </c>
      <c r="G38" s="200" t="e">
        <f>ROUND(IF(E2="工业",C38*$M$39,C38*$M$38),0)</f>
        <v>#DIV/0!</v>
      </c>
      <c r="H38" s="200">
        <f t="shared" si="8"/>
        <v>0</v>
      </c>
      <c r="I38" s="200" t="e">
        <f t="shared" si="9"/>
        <v>#DIV/0!</v>
      </c>
      <c r="J38" s="2867"/>
      <c r="K38" s="1373"/>
      <c r="L38" s="1890" t="s">
        <v>2938</v>
      </c>
      <c r="M38" s="2871">
        <v>0.25</v>
      </c>
      <c r="N38" s="1373"/>
      <c r="O38" s="1373"/>
      <c r="P38" s="1373"/>
      <c r="Q38" s="1373"/>
      <c r="R38" s="1373"/>
      <c r="S38" s="1373"/>
      <c r="T38" s="1373"/>
      <c r="U38" s="1373"/>
      <c r="V38" s="1373"/>
      <c r="W38" s="1373"/>
      <c r="X38" s="1373"/>
      <c r="Y38" s="1373"/>
      <c r="Z38" s="1374"/>
    </row>
    <row r="39" spans="1:37" ht="13.5" thickBot="1">
      <c r="A39" s="2854"/>
      <c r="B39" s="2872" t="s">
        <v>2939</v>
      </c>
      <c r="C39" s="229" t="e">
        <f>ROUND(D5*C19*C41*C24*F39,0)</f>
        <v>#DIV/0!</v>
      </c>
      <c r="D39" s="2856"/>
      <c r="E39" s="229" t="e">
        <f t="shared" si="7"/>
        <v>#DIV/0!</v>
      </c>
      <c r="F39" s="935">
        <f>SUMIF(修正!A45:A56,G2,修正!H45:H56)</f>
        <v>0</v>
      </c>
      <c r="G39" s="229" t="e">
        <f>ROUND(IF(E2="工业",C39*$M$39,C39*$M$38),0)</f>
        <v>#DIV/0!</v>
      </c>
      <c r="H39" s="229">
        <f t="shared" si="8"/>
        <v>0</v>
      </c>
      <c r="I39" s="229" t="e">
        <f t="shared" si="9"/>
        <v>#DIV/0!</v>
      </c>
      <c r="J39" s="2873"/>
      <c r="K39" s="1373"/>
      <c r="L39" s="2874" t="s">
        <v>2880</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3" t="s">
        <v>3050</v>
      </c>
      <c r="C41" s="388" t="e">
        <f>ROUND(POWER(1+E41,H41-G41)*(POWER(1+E41,G41)-1)/(POWER(1+E41,H41)-1),4)</f>
        <v>#DIV/0!</v>
      </c>
      <c r="D41" s="200" t="s">
        <v>2888</v>
      </c>
      <c r="E41" s="2942">
        <f>G20</f>
        <v>0</v>
      </c>
      <c r="F41" s="200" t="s">
        <v>2898</v>
      </c>
      <c r="G41" s="218"/>
      <c r="H41" s="200">
        <v>50</v>
      </c>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2940</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2941</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2942</v>
      </c>
      <c r="B47" s="1812" t="s">
        <v>2943</v>
      </c>
      <c r="C47" s="1812" t="s">
        <v>2944</v>
      </c>
      <c r="D47" s="1812" t="s">
        <v>2945</v>
      </c>
      <c r="E47" s="819" t="s">
        <v>2946</v>
      </c>
      <c r="F47" s="2884" t="s">
        <v>2947</v>
      </c>
      <c r="G47" s="1812" t="s">
        <v>754</v>
      </c>
      <c r="H47" s="2885" t="s">
        <v>2948</v>
      </c>
      <c r="I47" s="1812" t="s">
        <v>2949</v>
      </c>
      <c r="J47" s="603" t="s">
        <v>2596</v>
      </c>
      <c r="K47" s="603" t="s">
        <v>2597</v>
      </c>
      <c r="L47" s="603" t="s">
        <v>2598</v>
      </c>
      <c r="M47" s="603" t="s">
        <v>2599</v>
      </c>
      <c r="N47" s="603" t="s">
        <v>2600</v>
      </c>
      <c r="AA47" s="1374"/>
      <c r="AB47" s="1374"/>
      <c r="AC47" s="1374"/>
      <c r="AD47" s="1374"/>
      <c r="AE47" s="1374"/>
      <c r="AF47" s="1374"/>
      <c r="AG47" s="1374"/>
      <c r="AH47" s="1374"/>
      <c r="AI47" s="1374"/>
      <c r="AJ47" s="1374"/>
      <c r="AK47" s="1374"/>
    </row>
    <row r="48" spans="1:37" s="1373" customFormat="1" ht="38.25">
      <c r="A48" s="2883" t="s">
        <v>2950</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3" t="s">
        <v>2951</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2952</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2953</v>
      </c>
      <c r="B51" s="2888" t="s">
        <v>2954</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2955</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2956</v>
      </c>
      <c r="B53" s="2889" t="s">
        <v>2957</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0" t="s">
        <v>2958</v>
      </c>
      <c r="B54" s="1728"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2959</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1" t="s">
        <v>2960</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2961</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2942</v>
      </c>
      <c r="B58" s="1812"/>
      <c r="C58" s="1812" t="s">
        <v>2944</v>
      </c>
      <c r="D58" s="1812" t="s">
        <v>2945</v>
      </c>
      <c r="E58" s="819" t="s">
        <v>2946</v>
      </c>
      <c r="F58" s="2884" t="s">
        <v>2962</v>
      </c>
      <c r="G58" s="1812" t="s">
        <v>754</v>
      </c>
      <c r="H58" s="2885" t="s">
        <v>2948</v>
      </c>
      <c r="I58" s="1812" t="s">
        <v>2949</v>
      </c>
      <c r="J58" s="603" t="s">
        <v>2596</v>
      </c>
      <c r="K58" s="603" t="s">
        <v>2597</v>
      </c>
      <c r="L58" s="603" t="s">
        <v>2598</v>
      </c>
      <c r="M58" s="603" t="s">
        <v>2599</v>
      </c>
      <c r="N58" s="603" t="s">
        <v>2600</v>
      </c>
      <c r="AA58" s="1374"/>
      <c r="AB58" s="1374"/>
      <c r="AC58" s="1374"/>
      <c r="AD58" s="1374"/>
      <c r="AE58" s="1374"/>
      <c r="AF58" s="1374"/>
      <c r="AG58" s="1374"/>
      <c r="AH58" s="1374"/>
      <c r="AI58" s="1374"/>
      <c r="AJ58" s="1374"/>
      <c r="AK58" s="1374"/>
    </row>
    <row r="59" spans="1:37" s="1373" customFormat="1" ht="38.25">
      <c r="A59" s="2883" t="s">
        <v>2963</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2951</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2952</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2953</v>
      </c>
      <c r="B62" s="2888" t="s">
        <v>2954</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2955</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2956</v>
      </c>
      <c r="B64" s="2889" t="s">
        <v>2957</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2958</v>
      </c>
      <c r="B65" s="1728"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2959</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2960</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2964</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2942</v>
      </c>
      <c r="B69" s="1812"/>
      <c r="C69" s="1812" t="s">
        <v>2944</v>
      </c>
      <c r="D69" s="1812" t="s">
        <v>2945</v>
      </c>
      <c r="E69" s="819" t="s">
        <v>2946</v>
      </c>
      <c r="F69" s="2884" t="s">
        <v>2962</v>
      </c>
      <c r="G69" s="1812" t="s">
        <v>754</v>
      </c>
      <c r="H69" s="2885" t="s">
        <v>2948</v>
      </c>
      <c r="I69" s="1812" t="s">
        <v>2949</v>
      </c>
      <c r="J69" s="603" t="s">
        <v>2596</v>
      </c>
      <c r="K69" s="603" t="s">
        <v>2597</v>
      </c>
      <c r="L69" s="603" t="s">
        <v>2598</v>
      </c>
      <c r="M69" s="603" t="s">
        <v>2599</v>
      </c>
      <c r="N69" s="603" t="s">
        <v>2600</v>
      </c>
      <c r="AA69" s="1374"/>
      <c r="AB69" s="1374"/>
      <c r="AC69" s="1374"/>
      <c r="AD69" s="1374"/>
      <c r="AE69" s="1374"/>
      <c r="AF69" s="1374"/>
      <c r="AG69" s="1374"/>
      <c r="AH69" s="1374"/>
      <c r="AI69" s="1374"/>
      <c r="AJ69" s="1374"/>
      <c r="AK69" s="1374"/>
    </row>
    <row r="70" spans="1:37" s="1373" customFormat="1" ht="51">
      <c r="A70" s="2883" t="s">
        <v>2965</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2951</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2952</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2966</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2958</v>
      </c>
      <c r="B74" s="1728"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2959</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2956</v>
      </c>
      <c r="B76" s="2889" t="s">
        <v>2957</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2960</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2967</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2968</v>
      </c>
      <c r="B79" s="2880">
        <f>1+E81</f>
        <v>1</v>
      </c>
      <c r="C79" s="814"/>
      <c r="D79" s="814"/>
      <c r="E79" s="815"/>
      <c r="F79" s="2882"/>
      <c r="G79" s="6"/>
      <c r="H79" s="6"/>
      <c r="I79" s="6"/>
      <c r="J79" s="7"/>
      <c r="K79" s="7"/>
      <c r="L79" s="7"/>
      <c r="M79" s="7"/>
      <c r="N79" s="7"/>
      <c r="Z79" s="2725"/>
      <c r="AA79" s="2801"/>
      <c r="AG79" s="1375"/>
      <c r="AK79" s="2801"/>
    </row>
    <row r="80" spans="1:37" ht="24.75">
      <c r="A80" s="2883" t="s">
        <v>2942</v>
      </c>
      <c r="B80" s="1812"/>
      <c r="C80" s="1812" t="s">
        <v>2944</v>
      </c>
      <c r="D80" s="1812" t="s">
        <v>2945</v>
      </c>
      <c r="E80" s="819" t="s">
        <v>2946</v>
      </c>
      <c r="F80" s="2884" t="s">
        <v>2962</v>
      </c>
      <c r="G80" s="1812" t="s">
        <v>754</v>
      </c>
      <c r="H80" s="2885" t="s">
        <v>2948</v>
      </c>
      <c r="I80" s="1812" t="s">
        <v>2949</v>
      </c>
      <c r="J80" s="603" t="s">
        <v>2596</v>
      </c>
      <c r="K80" s="603" t="s">
        <v>2597</v>
      </c>
      <c r="L80" s="603" t="s">
        <v>2598</v>
      </c>
      <c r="M80" s="603" t="s">
        <v>2599</v>
      </c>
      <c r="N80" s="603" t="s">
        <v>2600</v>
      </c>
      <c r="Z80" s="2725"/>
      <c r="AA80" s="2801"/>
      <c r="AG80" s="1375"/>
      <c r="AK80" s="2801"/>
    </row>
    <row r="81" spans="1:37" ht="38.25">
      <c r="A81" s="2883" t="s">
        <v>2969</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2951</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2952</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2966</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2958</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2959</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2956</v>
      </c>
      <c r="B87" s="2889" t="s">
        <v>2970</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2971</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345" t="s">
        <v>2972</v>
      </c>
      <c r="B90" s="3345"/>
      <c r="C90" s="3345"/>
      <c r="D90" s="3345"/>
      <c r="E90" s="3345"/>
      <c r="F90" s="3345"/>
      <c r="G90" s="3345"/>
      <c r="H90" s="3345"/>
      <c r="I90" s="3345"/>
      <c r="J90" s="3345"/>
      <c r="K90" s="2897"/>
      <c r="L90" s="2897"/>
      <c r="M90" s="2897"/>
      <c r="N90" s="2897"/>
    </row>
    <row r="91" spans="1:37">
      <c r="A91" s="3347" t="s">
        <v>2973</v>
      </c>
      <c r="B91" s="3347" t="s">
        <v>2974</v>
      </c>
      <c r="C91" s="2851" t="s">
        <v>2975</v>
      </c>
      <c r="D91" s="2852"/>
      <c r="E91" s="2852"/>
      <c r="F91" s="2852"/>
      <c r="G91" s="2852"/>
      <c r="H91" s="2852"/>
      <c r="I91" s="2852"/>
      <c r="J91" s="2898"/>
      <c r="K91" s="2899"/>
      <c r="L91" s="2899"/>
      <c r="M91" s="2899"/>
      <c r="N91" s="2899"/>
    </row>
    <row r="92" spans="1:37">
      <c r="A92" s="3347"/>
      <c r="B92" s="3347"/>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348" t="s">
        <v>2976</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349"/>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349"/>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349"/>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349"/>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349"/>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349"/>
      <c r="B99" s="2900" t="s">
        <v>2855</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350"/>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348" t="s">
        <v>2977</v>
      </c>
      <c r="B101" s="2904" t="s">
        <v>2978</v>
      </c>
      <c r="C101" s="2905">
        <f>$G$3</f>
        <v>0.51</v>
      </c>
      <c r="D101" s="2905">
        <f t="shared" ref="D101:N101" si="31">$G$3</f>
        <v>0.51</v>
      </c>
      <c r="E101" s="2905">
        <f t="shared" si="31"/>
        <v>0.51</v>
      </c>
      <c r="F101" s="2905">
        <f t="shared" si="31"/>
        <v>0.51</v>
      </c>
      <c r="G101" s="2905">
        <f t="shared" si="31"/>
        <v>0.51</v>
      </c>
      <c r="H101" s="2905">
        <f t="shared" si="31"/>
        <v>0.51</v>
      </c>
      <c r="I101" s="2905">
        <f t="shared" si="31"/>
        <v>0.51</v>
      </c>
      <c r="J101" s="2905">
        <f t="shared" si="31"/>
        <v>0.51</v>
      </c>
      <c r="K101" s="2905">
        <f t="shared" si="31"/>
        <v>0.51</v>
      </c>
      <c r="L101" s="2905">
        <f t="shared" si="31"/>
        <v>0.51</v>
      </c>
      <c r="M101" s="2905">
        <f t="shared" si="31"/>
        <v>0.51</v>
      </c>
      <c r="N101" s="2905">
        <f t="shared" si="31"/>
        <v>0.51</v>
      </c>
    </row>
    <row r="102" spans="1:14">
      <c r="A102" s="3349"/>
      <c r="B102" s="2900">
        <v>1</v>
      </c>
      <c r="C102" s="2901">
        <f>1.9362/C101</f>
        <v>3.796470588235294</v>
      </c>
      <c r="D102" s="2901">
        <f>1.9362/D101</f>
        <v>3.796470588235294</v>
      </c>
      <c r="E102" s="2901">
        <f>1.8629/E101</f>
        <v>3.6527450980392158</v>
      </c>
      <c r="F102" s="2901">
        <f>1.8629/F101</f>
        <v>3.6527450980392158</v>
      </c>
      <c r="G102" s="2901">
        <f>1.8629/G101</f>
        <v>3.6527450980392158</v>
      </c>
      <c r="H102" s="2901">
        <f>1.8629/H101</f>
        <v>3.6527450980392158</v>
      </c>
      <c r="I102" s="2901">
        <f>1.8629/I101</f>
        <v>3.6527450980392158</v>
      </c>
      <c r="J102" s="2901">
        <f>1.942/J101</f>
        <v>3.8078431372549018</v>
      </c>
      <c r="K102" s="2901">
        <f>1.942/K101</f>
        <v>3.8078431372549018</v>
      </c>
      <c r="L102" s="2901">
        <f>1.942/L101</f>
        <v>3.8078431372549018</v>
      </c>
      <c r="M102" s="2901">
        <f>1.942/M101</f>
        <v>3.8078431372549018</v>
      </c>
      <c r="N102" s="2901">
        <f>1.942/N101</f>
        <v>3.8078431372549018</v>
      </c>
    </row>
    <row r="103" spans="1:14">
      <c r="A103" s="3349"/>
      <c r="B103" s="2900">
        <v>2</v>
      </c>
      <c r="C103" s="2901">
        <f>1.4198/C101</f>
        <v>2.7839215686274508</v>
      </c>
      <c r="D103" s="2901">
        <f>1.4198/D101</f>
        <v>2.7839215686274508</v>
      </c>
      <c r="E103" s="2901">
        <f>1.3372/E101</f>
        <v>2.6219607843137251</v>
      </c>
      <c r="F103" s="2901">
        <f>1.3372/F101</f>
        <v>2.6219607843137251</v>
      </c>
      <c r="G103" s="2901">
        <f>1.3372/G101</f>
        <v>2.6219607843137251</v>
      </c>
      <c r="H103" s="2901">
        <f>1.3372/H101</f>
        <v>2.6219607843137251</v>
      </c>
      <c r="I103" s="2901">
        <f>1.3372/I101</f>
        <v>2.6219607843137251</v>
      </c>
      <c r="J103" s="2901">
        <f>1.2799/J101</f>
        <v>2.509607843137255</v>
      </c>
      <c r="K103" s="2901">
        <f>1.2799/K101</f>
        <v>2.509607843137255</v>
      </c>
      <c r="L103" s="2901">
        <f>1.2799/L101</f>
        <v>2.509607843137255</v>
      </c>
      <c r="M103" s="2901">
        <f>1.2799/M101</f>
        <v>2.509607843137255</v>
      </c>
      <c r="N103" s="2901">
        <f>1.2799/N101</f>
        <v>2.509607843137255</v>
      </c>
    </row>
    <row r="104" spans="1:14">
      <c r="A104" s="3349"/>
      <c r="B104" s="2900">
        <v>3</v>
      </c>
      <c r="C104" s="2901">
        <f>1.1594/C101</f>
        <v>2.2733333333333334</v>
      </c>
      <c r="D104" s="2901">
        <f>1.1594/D101</f>
        <v>2.2733333333333334</v>
      </c>
      <c r="E104" s="2901">
        <f>1.0788/E101</f>
        <v>2.1152941176470588</v>
      </c>
      <c r="F104" s="2901">
        <f>1.0788/F101</f>
        <v>2.1152941176470588</v>
      </c>
      <c r="G104" s="2901">
        <f>1.0788/G101</f>
        <v>2.1152941176470588</v>
      </c>
      <c r="H104" s="2901">
        <f>1.0788/H101</f>
        <v>2.1152941176470588</v>
      </c>
      <c r="I104" s="2901">
        <f>1.0788/I101</f>
        <v>2.1152941176470588</v>
      </c>
      <c r="J104" s="2901">
        <f>1.0072/J101</f>
        <v>1.9749019607843139</v>
      </c>
      <c r="K104" s="2901">
        <f>1.0072/K101</f>
        <v>1.9749019607843139</v>
      </c>
      <c r="L104" s="2901">
        <f>1.0072/L101</f>
        <v>1.9749019607843139</v>
      </c>
      <c r="M104" s="2901">
        <f>1.0072/M101</f>
        <v>1.9749019607843139</v>
      </c>
      <c r="N104" s="2901">
        <f>1.0072/N101</f>
        <v>1.9749019607843139</v>
      </c>
    </row>
    <row r="105" spans="1:14">
      <c r="A105" s="3349"/>
      <c r="B105" s="2900">
        <v>4</v>
      </c>
      <c r="C105" s="2901">
        <f>0.9622/C101</f>
        <v>1.8866666666666667</v>
      </c>
      <c r="D105" s="2901">
        <f>0.9622/D101</f>
        <v>1.8866666666666667</v>
      </c>
      <c r="E105" s="2901">
        <f>0.8656/E101</f>
        <v>1.6972549019607843</v>
      </c>
      <c r="F105" s="2901">
        <f>0.8656/F101</f>
        <v>1.6972549019607843</v>
      </c>
      <c r="G105" s="2901">
        <f>0.8656/G101</f>
        <v>1.6972549019607843</v>
      </c>
      <c r="H105" s="2901">
        <f>0.8656/H101</f>
        <v>1.6972549019607843</v>
      </c>
      <c r="I105" s="2901">
        <f>0.8656/I101</f>
        <v>1.6972549019607843</v>
      </c>
      <c r="J105" s="2901">
        <f>0.7525/J101</f>
        <v>1.4754901960784312</v>
      </c>
      <c r="K105" s="2901">
        <f>0.7525/K101</f>
        <v>1.4754901960784312</v>
      </c>
      <c r="L105" s="2901">
        <f>0.7525/L101</f>
        <v>1.4754901960784312</v>
      </c>
      <c r="M105" s="2901">
        <f>0.7525/M101</f>
        <v>1.4754901960784312</v>
      </c>
      <c r="N105" s="2901">
        <f>0.7525/N101</f>
        <v>1.4754901960784312</v>
      </c>
    </row>
    <row r="106" spans="1:14">
      <c r="A106" s="3349"/>
      <c r="B106" s="2900">
        <v>5</v>
      </c>
      <c r="C106" s="2901">
        <f>0.8417/C101</f>
        <v>1.6503921568627451</v>
      </c>
      <c r="D106" s="2901">
        <f>0.8417/D101</f>
        <v>1.6503921568627451</v>
      </c>
      <c r="E106" s="2901">
        <f>0.7371/E101</f>
        <v>1.4452941176470588</v>
      </c>
      <c r="F106" s="2901">
        <f>0.7371/F101</f>
        <v>1.4452941176470588</v>
      </c>
      <c r="G106" s="2901">
        <f>0.7371/G101</f>
        <v>1.4452941176470588</v>
      </c>
      <c r="H106" s="2901">
        <f>0.7371/H101</f>
        <v>1.4452941176470588</v>
      </c>
      <c r="I106" s="2901">
        <f>0.7371/I101</f>
        <v>1.4452941176470588</v>
      </c>
      <c r="J106" s="2901">
        <f>0.5659/J101</f>
        <v>1.1096078431372549</v>
      </c>
      <c r="K106" s="2901">
        <f>0.5659/K101</f>
        <v>1.1096078431372549</v>
      </c>
      <c r="L106" s="2901">
        <f>0.5659/L101</f>
        <v>1.1096078431372549</v>
      </c>
      <c r="M106" s="2901">
        <f>0.5659/M101</f>
        <v>1.1096078431372549</v>
      </c>
      <c r="N106" s="2901">
        <f>0.5659/N101</f>
        <v>1.1096078431372549</v>
      </c>
    </row>
    <row r="107" spans="1:14">
      <c r="A107" s="3349"/>
      <c r="B107" s="2900">
        <v>6</v>
      </c>
      <c r="C107" s="2901">
        <f>0.7608/C101</f>
        <v>1.4917647058823529</v>
      </c>
      <c r="D107" s="2901">
        <f>0.7608/D101</f>
        <v>1.4917647058823529</v>
      </c>
      <c r="E107" s="2901">
        <f>0.6482/E101</f>
        <v>1.2709803921568628</v>
      </c>
      <c r="F107" s="2901">
        <f>0.6482/F101</f>
        <v>1.2709803921568628</v>
      </c>
      <c r="G107" s="2901">
        <f>0.6482/G101</f>
        <v>1.2709803921568628</v>
      </c>
      <c r="H107" s="2901">
        <f>0.6482/H101</f>
        <v>1.2709803921568628</v>
      </c>
      <c r="I107" s="2901">
        <f>0.6482/I101</f>
        <v>1.2709803921568628</v>
      </c>
      <c r="J107" s="2901">
        <f>0.4525/J101</f>
        <v>0.88725490196078427</v>
      </c>
      <c r="K107" s="2901">
        <f>0.4525/K101</f>
        <v>0.88725490196078427</v>
      </c>
      <c r="L107" s="2901">
        <f>0.4525/L101</f>
        <v>0.88725490196078427</v>
      </c>
      <c r="M107" s="2901">
        <f>0.4525/M101</f>
        <v>0.88725490196078427</v>
      </c>
      <c r="N107" s="2901">
        <f>0.4525/N101</f>
        <v>0.88725490196078427</v>
      </c>
    </row>
    <row r="108" spans="1:14">
      <c r="A108" s="3349"/>
      <c r="B108" s="3207" t="s">
        <v>2979</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350"/>
      <c r="B109" s="3208"/>
      <c r="C109" s="2903">
        <f>(-0.163*(C108^2)-0.59*C108+7617)*(10^(-4))/C101</f>
        <v>1.493529411764706</v>
      </c>
      <c r="D109" s="2903">
        <f>(-0.163*(D108^2)-0.59*D108+7617)*(10^(-4))/D101</f>
        <v>1.493529411764706</v>
      </c>
      <c r="E109" s="2903">
        <f>(-0.161*(E108^2)-7.509*E108+6533)*(10^(-4))/E101</f>
        <v>1.2809803921568628</v>
      </c>
      <c r="F109" s="2903">
        <f>(-0.161*(F108^2)-7.509*F108+6533)*(10^(-4))/F101</f>
        <v>1.2809803921568628</v>
      </c>
      <c r="G109" s="2903">
        <f>(-0.161*(G108^2)-7.509*G108+6533)*(10^(-4))/G101</f>
        <v>1.2809803921568628</v>
      </c>
      <c r="H109" s="2903">
        <f>(-0.161*(H108^2)-7.509*H108+6533)*(10^(-4))/H101</f>
        <v>1.2809803921568628</v>
      </c>
      <c r="I109" s="2903">
        <f>(-0.161*(I108^2)-7.509*I108+6533)*(10^(-4))/I101</f>
        <v>1.2809803921568628</v>
      </c>
      <c r="J109" s="2903">
        <f>(-0.214*(J108^2)-21.991*J108+4665)*(10^(-4))/J101</f>
        <v>0.91470588235294126</v>
      </c>
      <c r="K109" s="2903">
        <f>(-0.214*(K108^2)-21.991*K108+4665)*(10^(-4))/K101</f>
        <v>0.91470588235294126</v>
      </c>
      <c r="L109" s="2903">
        <f>(-0.214*(L108^2)-21.991*L108+4665)*(10^(-4))/L101</f>
        <v>0.91470588235294126</v>
      </c>
      <c r="M109" s="2903">
        <f>(-0.214*(M108^2)-21.991*M108+4665)*(10^(-4))/M101</f>
        <v>0.91470588235294126</v>
      </c>
      <c r="N109" s="2903">
        <f>(-0.214*(N108^2)-21.991*N108+4665)*(10^(-4))/N101</f>
        <v>0.91470588235294126</v>
      </c>
    </row>
    <row r="110" spans="1:14">
      <c r="A110" s="3346" t="s">
        <v>2980</v>
      </c>
      <c r="B110" s="3346"/>
      <c r="C110" s="3346"/>
      <c r="D110" s="3346"/>
      <c r="E110" s="3346"/>
      <c r="F110" s="3346"/>
      <c r="G110" s="3346"/>
      <c r="H110" s="3346"/>
      <c r="I110" s="3346"/>
      <c r="J110" s="3346"/>
      <c r="K110" s="2906"/>
      <c r="L110" s="2906"/>
      <c r="M110" s="2906"/>
      <c r="N110" s="2906"/>
    </row>
    <row r="112" spans="1:14" ht="13.5" thickBot="1"/>
    <row r="113" spans="1:13" ht="25.5" thickBot="1">
      <c r="A113" s="903" t="s">
        <v>2981</v>
      </c>
      <c r="B113" s="1290">
        <f>G3</f>
        <v>0.51</v>
      </c>
      <c r="C113" s="904" t="s">
        <v>2982</v>
      </c>
      <c r="D113" s="905">
        <f>SUMPRODUCT((A115:A118=F113)*(B114:M114=H113)*B115:M118)</f>
        <v>0</v>
      </c>
      <c r="E113" s="2729" t="s">
        <v>2812</v>
      </c>
      <c r="F113" s="2908">
        <f>E2</f>
        <v>0</v>
      </c>
      <c r="G113" s="2729" t="s">
        <v>2813</v>
      </c>
      <c r="H113" s="2908">
        <f>G2</f>
        <v>0</v>
      </c>
      <c r="I113" s="2729"/>
      <c r="J113" s="2909"/>
      <c r="K113" s="2909"/>
      <c r="L113" s="2909"/>
      <c r="M113" s="2909"/>
    </row>
    <row r="114" spans="1:13">
      <c r="A114" s="908"/>
      <c r="B114" s="2910" t="s">
        <v>2983</v>
      </c>
      <c r="C114" s="2910" t="s">
        <v>2984</v>
      </c>
      <c r="D114" s="2910" t="s">
        <v>2985</v>
      </c>
      <c r="E114" s="2911" t="s">
        <v>2986</v>
      </c>
      <c r="F114" s="2911" t="s">
        <v>2987</v>
      </c>
      <c r="G114" s="2911" t="s">
        <v>2988</v>
      </c>
      <c r="H114" s="2912" t="s">
        <v>2989</v>
      </c>
      <c r="I114" s="2912" t="s">
        <v>2990</v>
      </c>
      <c r="J114" s="2913" t="s">
        <v>2991</v>
      </c>
      <c r="K114" s="2913" t="s">
        <v>2992</v>
      </c>
      <c r="L114" s="2913" t="s">
        <v>2993</v>
      </c>
      <c r="M114" s="2914" t="s">
        <v>2994</v>
      </c>
    </row>
    <row r="115" spans="1:13">
      <c r="A115" s="909" t="s">
        <v>2877</v>
      </c>
      <c r="B115" s="910">
        <f>ROUND(0.9335-0.0094*B113,4)</f>
        <v>0.92869999999999997</v>
      </c>
      <c r="C115" s="910">
        <f>B115</f>
        <v>0.92869999999999997</v>
      </c>
      <c r="D115" s="910">
        <f>ROUND(0.8331-0.0109*B113,4)</f>
        <v>0.82750000000000001</v>
      </c>
      <c r="E115" s="910">
        <f>D115</f>
        <v>0.82750000000000001</v>
      </c>
      <c r="F115" s="910">
        <f>E115</f>
        <v>0.82750000000000001</v>
      </c>
      <c r="G115" s="910">
        <f>F115</f>
        <v>0.82750000000000001</v>
      </c>
      <c r="H115" s="910">
        <f>G115</f>
        <v>0.82750000000000001</v>
      </c>
      <c r="I115" s="910">
        <f>ROUND(0.689-0.0155*B113,4)</f>
        <v>0.68110000000000004</v>
      </c>
      <c r="J115" s="910">
        <f t="shared" ref="J115:M118" si="33">I115</f>
        <v>0.68110000000000004</v>
      </c>
      <c r="K115" s="910">
        <f t="shared" si="33"/>
        <v>0.68110000000000004</v>
      </c>
      <c r="L115" s="910">
        <f t="shared" si="33"/>
        <v>0.68110000000000004</v>
      </c>
      <c r="M115" s="911">
        <f t="shared" si="33"/>
        <v>0.68110000000000004</v>
      </c>
    </row>
    <row r="116" spans="1:13">
      <c r="A116" s="909" t="s">
        <v>2878</v>
      </c>
      <c r="B116" s="910">
        <f>ROUND(0.949-0.012*B113,4)</f>
        <v>0.94289999999999996</v>
      </c>
      <c r="C116" s="910">
        <f>B116</f>
        <v>0.94289999999999996</v>
      </c>
      <c r="D116" s="910">
        <f>ROUND(0.8567-0.013*B113,4)</f>
        <v>0.85009999999999997</v>
      </c>
      <c r="E116" s="910">
        <f t="shared" ref="E116:H117" si="34">D116</f>
        <v>0.85009999999999997</v>
      </c>
      <c r="F116" s="910">
        <f t="shared" si="34"/>
        <v>0.85009999999999997</v>
      </c>
      <c r="G116" s="910">
        <f t="shared" si="34"/>
        <v>0.85009999999999997</v>
      </c>
      <c r="H116" s="910">
        <f t="shared" si="34"/>
        <v>0.85009999999999997</v>
      </c>
      <c r="I116" s="910">
        <f>ROUND(0.7694-0.014*B113,4)</f>
        <v>0.76229999999999998</v>
      </c>
      <c r="J116" s="910">
        <f t="shared" si="33"/>
        <v>0.76229999999999998</v>
      </c>
      <c r="K116" s="910">
        <f t="shared" si="33"/>
        <v>0.76229999999999998</v>
      </c>
      <c r="L116" s="910">
        <f t="shared" si="33"/>
        <v>0.76229999999999998</v>
      </c>
      <c r="M116" s="911">
        <f t="shared" si="33"/>
        <v>0.76229999999999998</v>
      </c>
    </row>
    <row r="117" spans="1:13">
      <c r="A117" s="909" t="s">
        <v>2879</v>
      </c>
      <c r="B117" s="910">
        <f>ROUND(0.8808-0.006*B113,4)</f>
        <v>0.87770000000000004</v>
      </c>
      <c r="C117" s="910">
        <f>B117</f>
        <v>0.87770000000000004</v>
      </c>
      <c r="D117" s="910">
        <f>ROUND(0.8748-0.008*B113,4)</f>
        <v>0.87070000000000003</v>
      </c>
      <c r="E117" s="910">
        <f t="shared" si="34"/>
        <v>0.87070000000000003</v>
      </c>
      <c r="F117" s="910">
        <f t="shared" si="34"/>
        <v>0.87070000000000003</v>
      </c>
      <c r="G117" s="910">
        <f t="shared" si="34"/>
        <v>0.87070000000000003</v>
      </c>
      <c r="H117" s="910">
        <f t="shared" si="34"/>
        <v>0.87070000000000003</v>
      </c>
      <c r="I117" s="910">
        <f>ROUND(0.7412-0.0095*B113,4)</f>
        <v>0.73640000000000005</v>
      </c>
      <c r="J117" s="910">
        <f t="shared" si="33"/>
        <v>0.73640000000000005</v>
      </c>
      <c r="K117" s="910">
        <f t="shared" si="33"/>
        <v>0.73640000000000005</v>
      </c>
      <c r="L117" s="910">
        <f t="shared" si="33"/>
        <v>0.73640000000000005</v>
      </c>
      <c r="M117" s="911">
        <f t="shared" si="33"/>
        <v>0.73640000000000005</v>
      </c>
    </row>
    <row r="118" spans="1:13" ht="13.5" thickBot="1">
      <c r="A118" s="714" t="s">
        <v>2880</v>
      </c>
      <c r="B118" s="912">
        <f>ROUND(0.7275-0.01*B113,4)</f>
        <v>0.72240000000000004</v>
      </c>
      <c r="C118" s="912">
        <f>B118</f>
        <v>0.72240000000000004</v>
      </c>
      <c r="D118" s="912">
        <f>ROUND(0.7043-0.012*B113,4)</f>
        <v>0.69820000000000004</v>
      </c>
      <c r="E118" s="912">
        <f>D118</f>
        <v>0.69820000000000004</v>
      </c>
      <c r="F118" s="912">
        <f>E118</f>
        <v>0.69820000000000004</v>
      </c>
      <c r="G118" s="912">
        <f>ROUND(0.6299-0.0122*B113,4)</f>
        <v>0.62370000000000003</v>
      </c>
      <c r="H118" s="912">
        <f>G118</f>
        <v>0.62370000000000003</v>
      </c>
      <c r="I118" s="912">
        <f>ROUND(0.5667-0.0136*B113,4)</f>
        <v>0.55979999999999996</v>
      </c>
      <c r="J118" s="912">
        <f t="shared" si="33"/>
        <v>0.55979999999999996</v>
      </c>
      <c r="K118" s="912">
        <f t="shared" si="33"/>
        <v>0.55979999999999996</v>
      </c>
      <c r="L118" s="912">
        <f t="shared" si="33"/>
        <v>0.55979999999999996</v>
      </c>
      <c r="M118" s="913">
        <f t="shared" si="33"/>
        <v>0.55979999999999996</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54" t="s">
        <v>183</v>
      </c>
      <c r="B18" s="882" t="s">
        <v>560</v>
      </c>
      <c r="C18" s="883" t="s">
        <v>561</v>
      </c>
      <c r="D18" s="884"/>
      <c r="E18" s="882">
        <v>1</v>
      </c>
      <c r="F18" s="885" t="s">
        <v>562</v>
      </c>
      <c r="G18" s="886"/>
      <c r="H18" s="878"/>
      <c r="I18" s="878"/>
    </row>
    <row r="19" spans="1:9" s="887" customFormat="1" ht="19.5" customHeight="1">
      <c r="A19" s="3354"/>
      <c r="B19" s="3354" t="s">
        <v>563</v>
      </c>
      <c r="C19" s="883" t="s">
        <v>564</v>
      </c>
      <c r="D19" s="884"/>
      <c r="E19" s="882">
        <v>0.9</v>
      </c>
      <c r="F19" s="885" t="s">
        <v>565</v>
      </c>
      <c r="G19" s="886"/>
      <c r="H19" s="878"/>
      <c r="I19" s="878"/>
    </row>
    <row r="20" spans="1:9" s="887" customFormat="1" ht="19.5" customHeight="1">
      <c r="A20" s="3354"/>
      <c r="B20" s="3354"/>
      <c r="C20" s="883" t="s">
        <v>566</v>
      </c>
      <c r="D20" s="884"/>
      <c r="E20" s="882">
        <v>1.1000000000000001</v>
      </c>
      <c r="F20" s="885" t="s">
        <v>567</v>
      </c>
      <c r="G20" s="886"/>
      <c r="H20" s="878"/>
      <c r="I20" s="878"/>
    </row>
    <row r="21" spans="1:9" s="887" customFormat="1" ht="19.5" customHeight="1">
      <c r="A21" s="3354"/>
      <c r="B21" s="3354"/>
      <c r="C21" s="883" t="s">
        <v>568</v>
      </c>
      <c r="D21" s="884"/>
      <c r="E21" s="882">
        <v>0.8</v>
      </c>
      <c r="F21" s="885" t="s">
        <v>569</v>
      </c>
      <c r="G21" s="886"/>
      <c r="H21" s="878"/>
      <c r="I21" s="878"/>
    </row>
    <row r="22" spans="1:9" s="887" customFormat="1" ht="19.5" customHeight="1">
      <c r="A22" s="3354"/>
      <c r="B22" s="3354"/>
      <c r="C22" s="883" t="s">
        <v>570</v>
      </c>
      <c r="D22" s="884"/>
      <c r="E22" s="882">
        <v>0.5</v>
      </c>
      <c r="F22" s="885"/>
      <c r="G22" s="886"/>
      <c r="H22" s="878"/>
      <c r="I22" s="878"/>
    </row>
    <row r="23" spans="1:9" s="887" customFormat="1" ht="19.5" customHeight="1">
      <c r="A23" s="3354" t="s">
        <v>184</v>
      </c>
      <c r="B23" s="882" t="s">
        <v>560</v>
      </c>
      <c r="C23" s="883" t="s">
        <v>571</v>
      </c>
      <c r="D23" s="884"/>
      <c r="E23" s="882">
        <v>1</v>
      </c>
      <c r="F23" s="885" t="s">
        <v>572</v>
      </c>
      <c r="G23" s="886"/>
      <c r="H23" s="878"/>
      <c r="I23" s="878"/>
    </row>
    <row r="24" spans="1:9" s="887" customFormat="1" ht="19.5" customHeight="1">
      <c r="A24" s="3354"/>
      <c r="B24" s="3354" t="s">
        <v>563</v>
      </c>
      <c r="C24" s="883" t="s">
        <v>573</v>
      </c>
      <c r="D24" s="884"/>
      <c r="E24" s="882">
        <v>0.5</v>
      </c>
      <c r="F24" s="885"/>
      <c r="G24" s="886"/>
      <c r="H24" s="878"/>
      <c r="I24" s="878"/>
    </row>
    <row r="25" spans="1:9" s="887" customFormat="1" ht="19.5" customHeight="1">
      <c r="A25" s="3354"/>
      <c r="B25" s="3354"/>
      <c r="C25" s="883" t="s">
        <v>574</v>
      </c>
      <c r="D25" s="884"/>
      <c r="E25" s="882">
        <v>1.1000000000000001</v>
      </c>
      <c r="F25" s="885"/>
      <c r="G25" s="886"/>
      <c r="H25" s="878"/>
      <c r="I25" s="878"/>
    </row>
    <row r="26" spans="1:9" s="887" customFormat="1" ht="19.5" customHeight="1">
      <c r="A26" s="3354"/>
      <c r="B26" s="3354"/>
      <c r="C26" s="883" t="s">
        <v>575</v>
      </c>
      <c r="D26" s="884"/>
      <c r="E26" s="882">
        <v>1.1000000000000001</v>
      </c>
      <c r="F26" s="885"/>
      <c r="G26" s="886"/>
      <c r="H26" s="878"/>
      <c r="I26" s="878"/>
    </row>
    <row r="27" spans="1:9" s="887" customFormat="1" ht="19.5" customHeight="1">
      <c r="A27" s="3354"/>
      <c r="B27" s="3354"/>
      <c r="C27" s="883" t="s">
        <v>576</v>
      </c>
      <c r="D27" s="884"/>
      <c r="E27" s="882">
        <v>0.9</v>
      </c>
      <c r="F27" s="885" t="s">
        <v>577</v>
      </c>
      <c r="G27" s="886"/>
      <c r="H27" s="878"/>
      <c r="I27" s="878"/>
    </row>
    <row r="28" spans="1:9" s="887" customFormat="1" ht="19.5" customHeight="1">
      <c r="A28" s="3354"/>
      <c r="B28" s="3354"/>
      <c r="C28" s="883" t="s">
        <v>578</v>
      </c>
      <c r="D28" s="884"/>
      <c r="E28" s="882">
        <v>0.9</v>
      </c>
      <c r="F28" s="885" t="s">
        <v>579</v>
      </c>
      <c r="G28" s="886"/>
      <c r="H28" s="878"/>
      <c r="I28" s="878"/>
    </row>
    <row r="29" spans="1:9" s="887" customFormat="1" ht="19.5" customHeight="1">
      <c r="A29" s="3354"/>
      <c r="B29" s="3354"/>
      <c r="C29" s="883" t="s">
        <v>580</v>
      </c>
      <c r="D29" s="884"/>
      <c r="E29" s="882">
        <v>0.9</v>
      </c>
      <c r="F29" s="885" t="s">
        <v>581</v>
      </c>
      <c r="G29" s="886"/>
      <c r="H29" s="878"/>
      <c r="I29" s="878"/>
    </row>
    <row r="30" spans="1:9" s="887" customFormat="1" ht="19.5" customHeight="1">
      <c r="A30" s="3354"/>
      <c r="B30" s="3354"/>
      <c r="C30" s="883" t="s">
        <v>582</v>
      </c>
      <c r="D30" s="884"/>
      <c r="E30" s="882">
        <v>0.9</v>
      </c>
      <c r="F30" s="885" t="s">
        <v>583</v>
      </c>
      <c r="G30" s="886"/>
      <c r="H30" s="878"/>
      <c r="I30" s="878"/>
    </row>
    <row r="31" spans="1:9" s="887" customFormat="1" ht="19.5" customHeight="1">
      <c r="A31" s="3354"/>
      <c r="B31" s="3354"/>
      <c r="C31" s="883" t="s">
        <v>584</v>
      </c>
      <c r="D31" s="884"/>
      <c r="E31" s="882">
        <v>0.8</v>
      </c>
      <c r="F31" s="885" t="s">
        <v>585</v>
      </c>
      <c r="G31" s="886"/>
      <c r="H31" s="878"/>
      <c r="I31" s="878"/>
    </row>
    <row r="32" spans="1:9" s="887" customFormat="1" ht="19.5" customHeight="1">
      <c r="A32" s="3354"/>
      <c r="B32" s="3354"/>
      <c r="C32" s="883" t="s">
        <v>586</v>
      </c>
      <c r="D32" s="884"/>
      <c r="E32" s="882">
        <v>0.8</v>
      </c>
      <c r="F32" s="885" t="s">
        <v>587</v>
      </c>
      <c r="G32" s="886"/>
      <c r="H32" s="878"/>
      <c r="I32" s="878"/>
    </row>
    <row r="33" spans="1:9" s="887" customFormat="1" ht="19.5" customHeight="1">
      <c r="A33" s="3354" t="s">
        <v>185</v>
      </c>
      <c r="B33" s="882" t="s">
        <v>560</v>
      </c>
      <c r="C33" s="883" t="s">
        <v>588</v>
      </c>
      <c r="D33" s="884"/>
      <c r="E33" s="882">
        <v>1</v>
      </c>
      <c r="F33" s="885" t="s">
        <v>589</v>
      </c>
      <c r="G33" s="886"/>
      <c r="H33" s="878"/>
      <c r="I33" s="878"/>
    </row>
    <row r="34" spans="1:9" s="887" customFormat="1" ht="19.5" customHeight="1">
      <c r="A34" s="3354"/>
      <c r="B34" s="882" t="s">
        <v>563</v>
      </c>
      <c r="C34" s="883" t="s">
        <v>590</v>
      </c>
      <c r="D34" s="884"/>
      <c r="E34" s="882">
        <v>1.5</v>
      </c>
      <c r="F34" s="885" t="s">
        <v>591</v>
      </c>
      <c r="G34" s="886"/>
      <c r="H34" s="878"/>
      <c r="I34" s="878"/>
    </row>
    <row r="35" spans="1:9" s="887" customFormat="1" ht="19.5" customHeight="1">
      <c r="A35" s="3354" t="s">
        <v>186</v>
      </c>
      <c r="B35" s="882" t="s">
        <v>560</v>
      </c>
      <c r="C35" s="883" t="s">
        <v>592</v>
      </c>
      <c r="D35" s="884"/>
      <c r="E35" s="882">
        <v>1</v>
      </c>
      <c r="F35" s="885" t="s">
        <v>593</v>
      </c>
      <c r="G35" s="886"/>
      <c r="H35" s="878"/>
      <c r="I35" s="878"/>
    </row>
    <row r="36" spans="1:9" s="887" customFormat="1" ht="19.5" customHeight="1">
      <c r="A36" s="3354"/>
      <c r="B36" s="3354" t="s">
        <v>563</v>
      </c>
      <c r="C36" s="883" t="s">
        <v>594</v>
      </c>
      <c r="D36" s="884"/>
      <c r="E36" s="882">
        <v>1</v>
      </c>
      <c r="F36" s="885" t="s">
        <v>595</v>
      </c>
      <c r="G36" s="886"/>
      <c r="H36" s="878"/>
      <c r="I36" s="878"/>
    </row>
    <row r="37" spans="1:9" s="887" customFormat="1" ht="19.5" customHeight="1">
      <c r="A37" s="3354"/>
      <c r="B37" s="3354"/>
      <c r="C37" s="883" t="s">
        <v>596</v>
      </c>
      <c r="D37" s="884"/>
      <c r="E37" s="882">
        <v>1.5</v>
      </c>
      <c r="F37" s="885" t="s">
        <v>597</v>
      </c>
      <c r="G37" s="886"/>
      <c r="H37" s="878"/>
      <c r="I37" s="878"/>
    </row>
    <row r="38" spans="1:9" s="887" customFormat="1" ht="19.5" customHeight="1">
      <c r="A38" s="3354"/>
      <c r="B38" s="3354"/>
      <c r="C38" s="883" t="s">
        <v>598</v>
      </c>
      <c r="D38" s="884"/>
      <c r="E38" s="882">
        <v>1</v>
      </c>
      <c r="F38" s="885" t="s">
        <v>599</v>
      </c>
      <c r="G38" s="886"/>
      <c r="H38" s="878"/>
      <c r="I38" s="878"/>
    </row>
    <row r="39" spans="1:9" s="887" customFormat="1" ht="19.5" customHeight="1">
      <c r="A39" s="3354"/>
      <c r="B39" s="335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54" t="s">
        <v>614</v>
      </c>
      <c r="C61" s="818" t="s">
        <v>615</v>
      </c>
      <c r="D61" s="818" t="s">
        <v>616</v>
      </c>
      <c r="E61" s="895">
        <v>0.5</v>
      </c>
      <c r="F61" s="882">
        <v>80</v>
      </c>
    </row>
    <row r="62" spans="1:8" s="878" customFormat="1" ht="24">
      <c r="A62" s="882">
        <v>2</v>
      </c>
      <c r="B62" s="3354"/>
      <c r="C62" s="818" t="s">
        <v>617</v>
      </c>
      <c r="D62" s="818" t="s">
        <v>618</v>
      </c>
      <c r="E62" s="895">
        <v>0.5</v>
      </c>
      <c r="F62" s="882">
        <v>80</v>
      </c>
    </row>
    <row r="63" spans="1:8" s="878" customFormat="1" ht="36">
      <c r="A63" s="882">
        <v>3</v>
      </c>
      <c r="B63" s="3354"/>
      <c r="C63" s="818" t="s">
        <v>619</v>
      </c>
      <c r="D63" s="818" t="s">
        <v>620</v>
      </c>
      <c r="E63" s="895">
        <v>0.5</v>
      </c>
      <c r="F63" s="882">
        <v>80</v>
      </c>
    </row>
    <row r="64" spans="1:8" s="878" customFormat="1" ht="36">
      <c r="A64" s="882">
        <v>4</v>
      </c>
      <c r="B64" s="3354"/>
      <c r="C64" s="818" t="s">
        <v>621</v>
      </c>
      <c r="D64" s="818" t="s">
        <v>622</v>
      </c>
      <c r="E64" s="895">
        <v>0.4</v>
      </c>
      <c r="F64" s="882">
        <v>60</v>
      </c>
    </row>
    <row r="65" spans="1:6" s="878" customFormat="1" ht="36">
      <c r="A65" s="882">
        <v>5</v>
      </c>
      <c r="B65" s="3354"/>
      <c r="C65" s="818" t="s">
        <v>623</v>
      </c>
      <c r="D65" s="818" t="s">
        <v>624</v>
      </c>
      <c r="E65" s="895">
        <v>0.2</v>
      </c>
      <c r="F65" s="882">
        <v>30</v>
      </c>
    </row>
    <row r="66" spans="1:6" s="878" customFormat="1" ht="36">
      <c r="A66" s="882">
        <v>6</v>
      </c>
      <c r="B66" s="3354"/>
      <c r="C66" s="818" t="s">
        <v>625</v>
      </c>
      <c r="D66" s="818" t="s">
        <v>626</v>
      </c>
      <c r="E66" s="895">
        <v>0.3</v>
      </c>
      <c r="F66" s="882">
        <v>50</v>
      </c>
    </row>
    <row r="67" spans="1:6" s="878" customFormat="1" ht="36">
      <c r="A67" s="882">
        <v>7</v>
      </c>
      <c r="B67" s="3354"/>
      <c r="C67" s="818" t="s">
        <v>627</v>
      </c>
      <c r="D67" s="818" t="s">
        <v>628</v>
      </c>
      <c r="E67" s="895">
        <v>0.2</v>
      </c>
      <c r="F67" s="882">
        <v>30</v>
      </c>
    </row>
    <row r="68" spans="1:6" s="878" customFormat="1" ht="36">
      <c r="A68" s="882">
        <v>8</v>
      </c>
      <c r="B68" s="3354"/>
      <c r="C68" s="818" t="s">
        <v>629</v>
      </c>
      <c r="D68" s="818" t="s">
        <v>630</v>
      </c>
      <c r="E68" s="895">
        <v>0.2</v>
      </c>
      <c r="F68" s="882">
        <v>30</v>
      </c>
    </row>
    <row r="69" spans="1:6" s="878" customFormat="1" ht="36">
      <c r="A69" s="882">
        <v>9</v>
      </c>
      <c r="B69" s="3354"/>
      <c r="C69" s="818" t="s">
        <v>631</v>
      </c>
      <c r="D69" s="818" t="s">
        <v>632</v>
      </c>
      <c r="E69" s="895">
        <v>0.2</v>
      </c>
      <c r="F69" s="882">
        <v>30</v>
      </c>
    </row>
    <row r="70" spans="1:6" s="878" customFormat="1" ht="48">
      <c r="A70" s="882">
        <v>10</v>
      </c>
      <c r="B70" s="3354"/>
      <c r="C70" s="818" t="s">
        <v>633</v>
      </c>
      <c r="D70" s="818" t="s">
        <v>634</v>
      </c>
      <c r="E70" s="895">
        <v>0.2</v>
      </c>
      <c r="F70" s="882">
        <v>30</v>
      </c>
    </row>
    <row r="71" spans="1:6" s="878" customFormat="1" ht="48">
      <c r="A71" s="882">
        <v>11</v>
      </c>
      <c r="B71" s="3354"/>
      <c r="C71" s="818" t="s">
        <v>635</v>
      </c>
      <c r="D71" s="818" t="s">
        <v>636</v>
      </c>
      <c r="E71" s="895">
        <v>0.2</v>
      </c>
      <c r="F71" s="882">
        <v>30</v>
      </c>
    </row>
    <row r="72" spans="1:6" s="878" customFormat="1" ht="36">
      <c r="A72" s="882">
        <v>12</v>
      </c>
      <c r="B72" s="3354"/>
      <c r="C72" s="818" t="s">
        <v>637</v>
      </c>
      <c r="D72" s="818" t="s">
        <v>638</v>
      </c>
      <c r="E72" s="895">
        <v>0.5</v>
      </c>
      <c r="F72" s="882">
        <v>80</v>
      </c>
    </row>
    <row r="73" spans="1:6" s="878" customFormat="1" ht="24">
      <c r="A73" s="882">
        <v>13</v>
      </c>
      <c r="B73" s="3354"/>
      <c r="C73" s="818" t="s">
        <v>639</v>
      </c>
      <c r="D73" s="818" t="s">
        <v>640</v>
      </c>
      <c r="E73" s="895">
        <v>0.4</v>
      </c>
      <c r="F73" s="882">
        <v>60</v>
      </c>
    </row>
    <row r="74" spans="1:6" s="878" customFormat="1" ht="24">
      <c r="A74" s="882">
        <v>14</v>
      </c>
      <c r="B74" s="3354"/>
      <c r="C74" s="818" t="s">
        <v>641</v>
      </c>
      <c r="D74" s="818" t="s">
        <v>642</v>
      </c>
      <c r="E74" s="895">
        <v>0.2</v>
      </c>
      <c r="F74" s="882">
        <v>30</v>
      </c>
    </row>
    <row r="75" spans="1:6" s="878" customFormat="1" ht="24">
      <c r="A75" s="882">
        <v>15</v>
      </c>
      <c r="B75" s="3354"/>
      <c r="C75" s="818" t="s">
        <v>643</v>
      </c>
      <c r="D75" s="818" t="s">
        <v>644</v>
      </c>
      <c r="E75" s="895">
        <v>0.2</v>
      </c>
      <c r="F75" s="882">
        <v>30</v>
      </c>
    </row>
    <row r="76" spans="1:6" s="878" customFormat="1" ht="24">
      <c r="A76" s="882">
        <v>16</v>
      </c>
      <c r="B76" s="3354" t="s">
        <v>645</v>
      </c>
      <c r="C76" s="818" t="s">
        <v>646</v>
      </c>
      <c r="D76" s="818" t="s">
        <v>647</v>
      </c>
      <c r="E76" s="895">
        <v>0.5</v>
      </c>
      <c r="F76" s="882">
        <v>80</v>
      </c>
    </row>
    <row r="77" spans="1:6" s="878" customFormat="1" ht="24">
      <c r="A77" s="882">
        <v>17</v>
      </c>
      <c r="B77" s="3354"/>
      <c r="C77" s="818" t="s">
        <v>648</v>
      </c>
      <c r="D77" s="818" t="s">
        <v>649</v>
      </c>
      <c r="E77" s="895">
        <v>0.5</v>
      </c>
      <c r="F77" s="882">
        <v>80</v>
      </c>
    </row>
    <row r="78" spans="1:6" s="878" customFormat="1" ht="24">
      <c r="A78" s="882">
        <v>18</v>
      </c>
      <c r="B78" s="3354"/>
      <c r="C78" s="818" t="s">
        <v>650</v>
      </c>
      <c r="D78" s="818" t="s">
        <v>651</v>
      </c>
      <c r="E78" s="895">
        <v>0.2</v>
      </c>
      <c r="F78" s="882">
        <v>30</v>
      </c>
    </row>
    <row r="79" spans="1:6" s="878" customFormat="1" ht="24">
      <c r="A79" s="882">
        <v>19</v>
      </c>
      <c r="B79" s="3354"/>
      <c r="C79" s="818" t="s">
        <v>652</v>
      </c>
      <c r="D79" s="818" t="s">
        <v>653</v>
      </c>
      <c r="E79" s="895">
        <v>0.5</v>
      </c>
      <c r="F79" s="882">
        <v>80</v>
      </c>
    </row>
    <row r="80" spans="1:6" s="878" customFormat="1" ht="36">
      <c r="A80" s="882">
        <v>20</v>
      </c>
      <c r="B80" s="3354"/>
      <c r="C80" s="818" t="s">
        <v>654</v>
      </c>
      <c r="D80" s="818" t="s">
        <v>655</v>
      </c>
      <c r="E80" s="895">
        <v>0.2</v>
      </c>
      <c r="F80" s="882">
        <v>30</v>
      </c>
    </row>
    <row r="81" spans="1:6" s="878" customFormat="1" ht="36">
      <c r="A81" s="882">
        <v>21</v>
      </c>
      <c r="B81" s="3354"/>
      <c r="C81" s="818" t="s">
        <v>656</v>
      </c>
      <c r="D81" s="818" t="s">
        <v>657</v>
      </c>
      <c r="E81" s="895">
        <v>0.2</v>
      </c>
      <c r="F81" s="882">
        <v>30</v>
      </c>
    </row>
    <row r="82" spans="1:6" s="878" customFormat="1" ht="48">
      <c r="A82" s="882">
        <v>22</v>
      </c>
      <c r="B82" s="3354"/>
      <c r="C82" s="818" t="s">
        <v>658</v>
      </c>
      <c r="D82" s="818" t="s">
        <v>659</v>
      </c>
      <c r="E82" s="895">
        <v>0.2</v>
      </c>
      <c r="F82" s="882">
        <v>30</v>
      </c>
    </row>
    <row r="83" spans="1:6" s="878" customFormat="1" ht="48">
      <c r="A83" s="882">
        <v>23</v>
      </c>
      <c r="B83" s="3354"/>
      <c r="C83" s="818" t="s">
        <v>660</v>
      </c>
      <c r="D83" s="818" t="s">
        <v>661</v>
      </c>
      <c r="E83" s="895">
        <v>0.2</v>
      </c>
      <c r="F83" s="882">
        <v>30</v>
      </c>
    </row>
    <row r="84" spans="1:6" s="878" customFormat="1" ht="36">
      <c r="A84" s="882">
        <v>24</v>
      </c>
      <c r="B84" s="3354"/>
      <c r="C84" s="818" t="s">
        <v>662</v>
      </c>
      <c r="D84" s="818" t="s">
        <v>663</v>
      </c>
      <c r="E84" s="895">
        <v>0.2</v>
      </c>
      <c r="F84" s="882">
        <v>30</v>
      </c>
    </row>
    <row r="85" spans="1:6" s="878" customFormat="1" ht="36">
      <c r="A85" s="882">
        <v>25</v>
      </c>
      <c r="B85" s="3354"/>
      <c r="C85" s="818" t="s">
        <v>664</v>
      </c>
      <c r="D85" s="818" t="s">
        <v>665</v>
      </c>
      <c r="E85" s="895">
        <v>0.5</v>
      </c>
      <c r="F85" s="882">
        <v>80</v>
      </c>
    </row>
    <row r="86" spans="1:6" s="878" customFormat="1" ht="36">
      <c r="A86" s="882">
        <v>26</v>
      </c>
      <c r="B86" s="3354"/>
      <c r="C86" s="818" t="s">
        <v>666</v>
      </c>
      <c r="D86" s="818" t="s">
        <v>667</v>
      </c>
      <c r="E86" s="895">
        <v>0.2</v>
      </c>
      <c r="F86" s="882">
        <v>30</v>
      </c>
    </row>
    <row r="87" spans="1:6" s="878" customFormat="1" ht="36">
      <c r="A87" s="882">
        <v>27</v>
      </c>
      <c r="B87" s="3354"/>
      <c r="C87" s="818" t="s">
        <v>668</v>
      </c>
      <c r="D87" s="818" t="s">
        <v>669</v>
      </c>
      <c r="E87" s="895">
        <v>0.2</v>
      </c>
      <c r="F87" s="882">
        <v>30</v>
      </c>
    </row>
    <row r="88" spans="1:6" s="878" customFormat="1" ht="36">
      <c r="A88" s="882">
        <v>28</v>
      </c>
      <c r="B88" s="3354"/>
      <c r="C88" s="818" t="s">
        <v>670</v>
      </c>
      <c r="D88" s="818" t="s">
        <v>671</v>
      </c>
      <c r="E88" s="895">
        <v>0.2</v>
      </c>
      <c r="F88" s="882">
        <v>30</v>
      </c>
    </row>
    <row r="89" spans="1:6" s="878" customFormat="1" ht="24">
      <c r="A89" s="882">
        <v>29</v>
      </c>
      <c r="B89" s="3354"/>
      <c r="C89" s="818" t="s">
        <v>672</v>
      </c>
      <c r="D89" s="818" t="s">
        <v>673</v>
      </c>
      <c r="E89" s="895">
        <v>0.2</v>
      </c>
      <c r="F89" s="882">
        <v>30</v>
      </c>
    </row>
    <row r="90" spans="1:6" s="878" customFormat="1" ht="24">
      <c r="A90" s="882">
        <v>30</v>
      </c>
      <c r="B90" s="3354"/>
      <c r="C90" s="818" t="s">
        <v>674</v>
      </c>
      <c r="D90" s="818" t="s">
        <v>675</v>
      </c>
      <c r="E90" s="895">
        <v>0.2</v>
      </c>
      <c r="F90" s="882">
        <v>30</v>
      </c>
    </row>
    <row r="91" spans="1:6" s="878" customFormat="1" ht="36">
      <c r="A91" s="882">
        <v>31</v>
      </c>
      <c r="B91" s="3354"/>
      <c r="C91" s="818" t="s">
        <v>676</v>
      </c>
      <c r="D91" s="818" t="s">
        <v>677</v>
      </c>
      <c r="E91" s="895">
        <v>0.2</v>
      </c>
      <c r="F91" s="882">
        <v>30</v>
      </c>
    </row>
    <row r="92" spans="1:6" s="878" customFormat="1" ht="24">
      <c r="A92" s="882">
        <v>32</v>
      </c>
      <c r="B92" s="3354" t="s">
        <v>678</v>
      </c>
      <c r="C92" s="882" t="s">
        <v>679</v>
      </c>
      <c r="D92" s="818" t="s">
        <v>680</v>
      </c>
      <c r="E92" s="895">
        <v>0.2</v>
      </c>
      <c r="F92" s="882">
        <v>30</v>
      </c>
    </row>
    <row r="93" spans="1:6" s="878" customFormat="1" ht="36">
      <c r="A93" s="882">
        <v>33</v>
      </c>
      <c r="B93" s="3354"/>
      <c r="C93" s="882" t="s">
        <v>681</v>
      </c>
      <c r="D93" s="818" t="s">
        <v>682</v>
      </c>
      <c r="E93" s="895">
        <v>0.2</v>
      </c>
      <c r="F93" s="882">
        <v>30</v>
      </c>
    </row>
    <row r="94" spans="1:6" s="878" customFormat="1" ht="48">
      <c r="A94" s="882">
        <v>34</v>
      </c>
      <c r="B94" s="3354"/>
      <c r="C94" s="882" t="s">
        <v>683</v>
      </c>
      <c r="D94" s="818" t="s">
        <v>684</v>
      </c>
      <c r="E94" s="895">
        <v>0.2</v>
      </c>
      <c r="F94" s="882">
        <v>30</v>
      </c>
    </row>
    <row r="95" spans="1:6" s="878" customFormat="1" ht="36">
      <c r="A95" s="882">
        <v>35</v>
      </c>
      <c r="B95" s="3354"/>
      <c r="C95" s="882" t="s">
        <v>685</v>
      </c>
      <c r="D95" s="818" t="s">
        <v>686</v>
      </c>
      <c r="E95" s="895">
        <v>0.2</v>
      </c>
      <c r="F95" s="882">
        <v>30</v>
      </c>
    </row>
    <row r="96" spans="1:6" s="878" customFormat="1" ht="48">
      <c r="A96" s="882">
        <v>36</v>
      </c>
      <c r="B96" s="3354"/>
      <c r="C96" s="818" t="s">
        <v>687</v>
      </c>
      <c r="D96" s="818" t="s">
        <v>688</v>
      </c>
      <c r="E96" s="895">
        <v>0.2</v>
      </c>
      <c r="F96" s="882">
        <v>30</v>
      </c>
    </row>
    <row r="97" spans="1:6" s="878" customFormat="1" ht="36">
      <c r="A97" s="882">
        <v>37</v>
      </c>
      <c r="B97" s="3354"/>
      <c r="C97" s="882" t="s">
        <v>689</v>
      </c>
      <c r="D97" s="818" t="s">
        <v>690</v>
      </c>
      <c r="E97" s="895">
        <v>0.2</v>
      </c>
      <c r="F97" s="882">
        <v>30</v>
      </c>
    </row>
    <row r="98" spans="1:6" s="878" customFormat="1" ht="36">
      <c r="A98" s="882">
        <v>38</v>
      </c>
      <c r="B98" s="3354"/>
      <c r="C98" s="882" t="s">
        <v>691</v>
      </c>
      <c r="D98" s="818" t="s">
        <v>692</v>
      </c>
      <c r="E98" s="895">
        <v>0.2</v>
      </c>
      <c r="F98" s="882">
        <v>30</v>
      </c>
    </row>
    <row r="99" spans="1:6" s="878" customFormat="1" ht="36">
      <c r="A99" s="882">
        <v>39</v>
      </c>
      <c r="B99" s="3354" t="s">
        <v>693</v>
      </c>
      <c r="C99" s="882" t="s">
        <v>694</v>
      </c>
      <c r="D99" s="818" t="s">
        <v>695</v>
      </c>
      <c r="E99" s="895">
        <v>0.3</v>
      </c>
      <c r="F99" s="882">
        <v>50</v>
      </c>
    </row>
    <row r="100" spans="1:6" s="878" customFormat="1" ht="24">
      <c r="A100" s="882">
        <v>40</v>
      </c>
      <c r="B100" s="3354"/>
      <c r="C100" s="882" t="s">
        <v>696</v>
      </c>
      <c r="D100" s="818" t="s">
        <v>697</v>
      </c>
      <c r="E100" s="895">
        <v>0.2</v>
      </c>
      <c r="F100" s="882">
        <v>30</v>
      </c>
    </row>
    <row r="101" spans="1:6" s="878" customFormat="1" ht="36">
      <c r="A101" s="882">
        <v>41</v>
      </c>
      <c r="B101" s="335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54" t="s">
        <v>708</v>
      </c>
      <c r="C105" s="882" t="s">
        <v>709</v>
      </c>
      <c r="D105" s="818" t="s">
        <v>710</v>
      </c>
      <c r="E105" s="895">
        <v>0.2</v>
      </c>
      <c r="F105" s="882">
        <v>30</v>
      </c>
    </row>
    <row r="106" spans="1:6" s="878" customFormat="1" ht="36">
      <c r="A106" s="882">
        <v>46</v>
      </c>
      <c r="B106" s="3354"/>
      <c r="C106" s="882" t="s">
        <v>711</v>
      </c>
      <c r="D106" s="818" t="s">
        <v>712</v>
      </c>
      <c r="E106" s="895">
        <v>0.2</v>
      </c>
      <c r="F106" s="882">
        <v>30</v>
      </c>
    </row>
    <row r="107" spans="1:6" s="878" customFormat="1" ht="36">
      <c r="A107" s="882">
        <v>47</v>
      </c>
      <c r="B107" s="3354" t="s">
        <v>713</v>
      </c>
      <c r="C107" s="882" t="s">
        <v>714</v>
      </c>
      <c r="D107" s="818" t="s">
        <v>715</v>
      </c>
      <c r="E107" s="895">
        <v>0.3</v>
      </c>
      <c r="F107" s="882">
        <v>50</v>
      </c>
    </row>
    <row r="108" spans="1:6" s="878" customFormat="1" ht="36">
      <c r="A108" s="882">
        <v>48</v>
      </c>
      <c r="B108" s="335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54" t="s">
        <v>724</v>
      </c>
      <c r="C111" s="882" t="s">
        <v>725</v>
      </c>
      <c r="D111" s="818" t="s">
        <v>726</v>
      </c>
      <c r="E111" s="895">
        <v>0.2</v>
      </c>
      <c r="F111" s="882">
        <v>30</v>
      </c>
    </row>
    <row r="112" spans="1:6" s="878" customFormat="1" ht="24">
      <c r="A112" s="882">
        <v>52</v>
      </c>
      <c r="B112" s="3354"/>
      <c r="C112" s="882" t="s">
        <v>727</v>
      </c>
      <c r="D112" s="818" t="s">
        <v>728</v>
      </c>
      <c r="E112" s="895">
        <v>0.2</v>
      </c>
      <c r="F112" s="882">
        <v>30</v>
      </c>
    </row>
    <row r="113" spans="1:6" s="878" customFormat="1" ht="24">
      <c r="A113" s="882">
        <v>53</v>
      </c>
      <c r="B113" s="335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54" t="s">
        <v>737</v>
      </c>
      <c r="C116" s="882" t="s">
        <v>738</v>
      </c>
      <c r="D116" s="818" t="s">
        <v>739</v>
      </c>
      <c r="E116" s="895">
        <v>0.2</v>
      </c>
      <c r="F116" s="882">
        <v>30</v>
      </c>
    </row>
    <row r="117" spans="1:6" ht="36">
      <c r="A117" s="882">
        <v>57</v>
      </c>
      <c r="B117" s="335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6" t="s">
        <v>3003</v>
      </c>
    </row>
    <row r="2" spans="1:5" ht="15.75">
      <c r="A2" s="2915" t="s">
        <v>2995</v>
      </c>
      <c r="B2" s="2916" t="e">
        <f ca="1">SUMIF(B6:B13,"&lt;&gt;#ref!",B6:B13)</f>
        <v>#DIV/0!</v>
      </c>
      <c r="C2" s="2915" t="s">
        <v>2996</v>
      </c>
      <c r="D2" s="2915" t="s">
        <v>2997</v>
      </c>
      <c r="E2" s="2916">
        <f ca="1">SUMIF(E6:E13,"&lt;&gt;#ref!",E6:E13)</f>
        <v>0</v>
      </c>
    </row>
    <row r="3" spans="1:5" ht="15.75">
      <c r="A3" s="2915" t="s">
        <v>2998</v>
      </c>
      <c r="B3" s="2916" t="e">
        <f ca="1">ROUND(B2*10000/E2,0)</f>
        <v>#DIV/0!</v>
      </c>
      <c r="C3" s="2915" t="s">
        <v>3004</v>
      </c>
      <c r="D3" s="2917"/>
      <c r="E3" s="2917"/>
    </row>
    <row r="4" spans="1:5" ht="15.75">
      <c r="A4" s="2918"/>
      <c r="B4" s="2917"/>
      <c r="C4" s="2917"/>
      <c r="D4" s="2917"/>
      <c r="E4" s="2917"/>
    </row>
    <row r="5" spans="1:5" ht="28.5">
      <c r="A5" s="2919" t="s">
        <v>2999</v>
      </c>
      <c r="B5" s="2915" t="s">
        <v>3000</v>
      </c>
      <c r="C5" s="2916"/>
      <c r="D5" s="2917"/>
      <c r="E5" s="2915" t="s">
        <v>3001</v>
      </c>
    </row>
    <row r="6" spans="1:5" ht="15.75">
      <c r="A6" s="2920" t="s">
        <v>3002</v>
      </c>
      <c r="B6" s="2916" t="e">
        <f ca="1">SUMIF(INDIRECT("'"&amp;A6&amp;"'"&amp;"!A:A"),"总价",INDIRECT("'"&amp;A6&amp;"'"&amp;"!B:B"))</f>
        <v>#DIV/0!</v>
      </c>
      <c r="C6" s="2915" t="s">
        <v>2996</v>
      </c>
      <c r="D6" s="2917"/>
      <c r="E6" s="2580">
        <f ca="1">SUMIF(INDIRECT("'"&amp;A6&amp;"'"&amp;"!C:C"),"建筑面积",INDIRECT("'"&amp;A6&amp;"'"&amp;"!D:D"))</f>
        <v>0</v>
      </c>
    </row>
    <row r="7" spans="1:5" ht="15.75">
      <c r="A7" s="2920"/>
      <c r="B7" s="2916" t="e">
        <f ca="1">SUMIF(INDIRECT("'"&amp;A7&amp;"'"&amp;"!A:A"),"总价",INDIRECT("'"&amp;A7&amp;"'"&amp;"!B:B"))</f>
        <v>#REF!</v>
      </c>
      <c r="C7" s="2915" t="s">
        <v>2996</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2996</v>
      </c>
      <c r="D8" s="2917"/>
      <c r="E8" s="2580" t="e">
        <f t="shared" ca="1" si="0"/>
        <v>#REF!</v>
      </c>
    </row>
    <row r="9" spans="1:5" ht="15.75">
      <c r="A9" s="2920"/>
      <c r="B9" s="2916" t="e">
        <f t="shared" ca="1" si="1"/>
        <v>#REF!</v>
      </c>
      <c r="C9" s="2915" t="s">
        <v>2996</v>
      </c>
      <c r="D9" s="2917"/>
      <c r="E9" s="2580" t="e">
        <f t="shared" ca="1" si="0"/>
        <v>#REF!</v>
      </c>
    </row>
    <row r="10" spans="1:5" ht="15.75">
      <c r="A10" s="2920"/>
      <c r="B10" s="2916" t="e">
        <f t="shared" ca="1" si="1"/>
        <v>#REF!</v>
      </c>
      <c r="C10" s="2915" t="s">
        <v>2996</v>
      </c>
      <c r="D10" s="2917"/>
      <c r="E10" s="2580" t="e">
        <f t="shared" ca="1" si="0"/>
        <v>#REF!</v>
      </c>
    </row>
    <row r="11" spans="1:5" ht="15.75">
      <c r="A11" s="2920"/>
      <c r="B11" s="2916" t="e">
        <f t="shared" ca="1" si="1"/>
        <v>#REF!</v>
      </c>
      <c r="C11" s="2915" t="s">
        <v>2996</v>
      </c>
      <c r="D11" s="2917"/>
      <c r="E11" s="2580" t="e">
        <f t="shared" ca="1" si="0"/>
        <v>#REF!</v>
      </c>
    </row>
    <row r="12" spans="1:5" ht="15.75">
      <c r="A12" s="2920"/>
      <c r="B12" s="2916" t="e">
        <f t="shared" ca="1" si="1"/>
        <v>#REF!</v>
      </c>
      <c r="C12" s="2915" t="s">
        <v>2996</v>
      </c>
      <c r="D12" s="2917"/>
      <c r="E12" s="2580" t="e">
        <f t="shared" ca="1" si="0"/>
        <v>#REF!</v>
      </c>
    </row>
    <row r="13" spans="1:5" ht="15.75">
      <c r="A13" s="2920"/>
      <c r="B13" s="2916" t="e">
        <f t="shared" ca="1" si="1"/>
        <v>#REF!</v>
      </c>
      <c r="C13" s="2915" t="s">
        <v>2996</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C38" sqref="C38"/>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60" t="s">
        <v>1146</v>
      </c>
      <c r="C1" s="3360"/>
      <c r="D1" s="3360"/>
      <c r="E1" s="3360"/>
      <c r="F1" s="3360"/>
      <c r="G1" s="3359" t="s">
        <v>1147</v>
      </c>
      <c r="H1" s="3359"/>
      <c r="I1" s="3359"/>
      <c r="J1" s="3359"/>
      <c r="K1" s="3359"/>
      <c r="L1" s="3359"/>
      <c r="N1" s="3359" t="s">
        <v>1148</v>
      </c>
      <c r="O1" s="3359"/>
      <c r="P1" s="3359"/>
      <c r="Q1" s="3359"/>
      <c r="R1" s="1449"/>
      <c r="S1" s="3359" t="s">
        <v>1149</v>
      </c>
      <c r="T1" s="3359"/>
      <c r="U1" s="3359"/>
      <c r="V1" s="3359"/>
      <c r="X1" s="3358" t="s">
        <v>1150</v>
      </c>
      <c r="Y1" s="3359"/>
      <c r="Z1" s="3359"/>
      <c r="AA1" s="3359"/>
      <c r="AB1" s="3359"/>
      <c r="AD1" s="3358" t="s">
        <v>1151</v>
      </c>
      <c r="AE1" s="3359"/>
      <c r="AF1" s="3359"/>
      <c r="AG1" s="3359"/>
      <c r="AH1" s="3359"/>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1" customFormat="1" ht="14.25">
      <c r="A3" s="2940" t="s">
        <v>3038</v>
      </c>
      <c r="B3" s="2932"/>
      <c r="C3" s="2932"/>
      <c r="D3" s="2933"/>
      <c r="E3" s="2933"/>
      <c r="F3" s="2932"/>
      <c r="G3" s="2934"/>
      <c r="H3" s="2935"/>
      <c r="I3" s="2936">
        <f>ROUND(AVERAGE($I4:$I25),2)</f>
        <v>2.13</v>
      </c>
      <c r="J3" s="2936">
        <f>ROUND(AVERAGE($J4:$J25),2)</f>
        <v>1.51</v>
      </c>
      <c r="K3" s="2936">
        <f>ROUND(AVERAGE($K4:$K25),2)</f>
        <v>2.34</v>
      </c>
      <c r="L3" s="2936">
        <f>ROUND(AVERAGE($L4:$L25),2)</f>
        <v>1.42</v>
      </c>
      <c r="N3" s="2934"/>
      <c r="O3" s="2937"/>
      <c r="P3" s="2937"/>
      <c r="Q3" s="2937"/>
      <c r="R3" s="2937"/>
      <c r="S3" s="2934"/>
      <c r="T3" s="2937"/>
      <c r="U3" s="2937"/>
      <c r="V3" s="2937"/>
      <c r="W3" s="2929"/>
      <c r="X3" s="2938">
        <f>ROUND(SUMPRODUCT(PRODUCT(1+N3:N$24)),4)</f>
        <v>1.5099</v>
      </c>
      <c r="Y3" s="2938">
        <f>ROUND(SUMPRODUCT(PRODUCT(1+O3:O$24)),4)</f>
        <v>1.3372999999999999</v>
      </c>
      <c r="Z3" s="2938">
        <f t="shared" ref="Z3:Z22" si="0">Y3</f>
        <v>1.3372999999999999</v>
      </c>
      <c r="AA3" s="2938">
        <f>ROUND(SUMPRODUCT(PRODUCT(1+P3:P$24)),4)</f>
        <v>1.5683</v>
      </c>
      <c r="AB3" s="2938">
        <f>ROUND(SUMPRODUCT(PRODUCT(1+Q3:Q$24)),4)</f>
        <v>1.3255999999999999</v>
      </c>
      <c r="AD3" s="2939">
        <f>ROUND(AVERAGE(I3:I$25)/100,4)</f>
        <v>2.1299999999999999E-2</v>
      </c>
      <c r="AE3" s="2939">
        <f>ROUND(AVERAGE(J3:J$25)/100,4)</f>
        <v>1.5100000000000001E-2</v>
      </c>
      <c r="AF3" s="2939">
        <f t="shared" ref="AF3:AF23" si="1">AE3</f>
        <v>1.5100000000000001E-2</v>
      </c>
      <c r="AG3" s="2939">
        <f>ROUND(AVERAGE(K3:K$25)/100,4)</f>
        <v>2.3400000000000001E-2</v>
      </c>
      <c r="AH3" s="2939">
        <f>ROUND(AVERAGE(L3:L$25)/100,4)</f>
        <v>1.4200000000000001E-2</v>
      </c>
    </row>
    <row r="4" spans="1:34" s="1456" customFormat="1" ht="14.25">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3051</v>
      </c>
      <c r="B5" s="1794">
        <f t="shared" ref="B5" si="2">B6*(1+N5)</f>
        <v>464.37293017158942</v>
      </c>
      <c r="C5" s="1794">
        <f t="shared" ref="C5" si="3">C6*(1+O5)</f>
        <v>344.73679941385956</v>
      </c>
      <c r="D5" s="1794">
        <f t="shared" ref="D5" si="4">C5</f>
        <v>344.73679941385956</v>
      </c>
      <c r="E5" s="1794">
        <f t="shared" ref="E5" si="5">E6*(1+P5)</f>
        <v>663.2377795103107</v>
      </c>
      <c r="F5" s="1794">
        <f t="shared" ref="F5" si="6">F6*(1+Q5)</f>
        <v>304.75936311478398</v>
      </c>
      <c r="G5" s="2944">
        <v>2019</v>
      </c>
      <c r="H5" s="1733">
        <v>1</v>
      </c>
      <c r="I5" s="2927">
        <v>0</v>
      </c>
      <c r="J5" s="2927">
        <v>0</v>
      </c>
      <c r="K5" s="2927">
        <v>0</v>
      </c>
      <c r="L5" s="2927">
        <v>0</v>
      </c>
      <c r="N5" s="1470">
        <f>I5/100</f>
        <v>0</v>
      </c>
      <c r="O5" s="1470">
        <f t="shared" ref="O5" si="7">J5/100</f>
        <v>0</v>
      </c>
      <c r="P5" s="1470">
        <f t="shared" ref="P5" si="8">K5/100</f>
        <v>0</v>
      </c>
      <c r="Q5" s="1470">
        <f t="shared" ref="Q5" si="9">L5/100</f>
        <v>0</v>
      </c>
      <c r="R5" s="1735"/>
      <c r="S5" s="1736"/>
      <c r="T5" s="1735"/>
      <c r="U5" s="1735"/>
      <c r="V5" s="1735"/>
      <c r="W5" s="2930" t="s">
        <v>3039</v>
      </c>
      <c r="X5" s="1729">
        <f>ROUND(IF(项目基本情况!B8="出让",SUMPRODUCT(PRODUCT(1+N5:N$25)),SUMPRODUCT(PRODUCT(1+N5:N$24))),4)</f>
        <v>1.5099</v>
      </c>
      <c r="Y5" s="1729">
        <f>ROUND(IF(项目基本情况!B8="出让",SUMPRODUCT(PRODUCT(1+O5:O$25)),SUMPRODUCT(PRODUCT(1+O5:O$24))),4)</f>
        <v>1.3372999999999999</v>
      </c>
      <c r="Z5" s="1729">
        <f t="shared" ref="Z5" si="10">Y5</f>
        <v>1.3372999999999999</v>
      </c>
      <c r="AA5" s="1729">
        <f>ROUND(IF(项目基本情况!B8="出让",SUMPRODUCT(PRODUCT(1+P5:P$25)),SUMPRODUCT(PRODUCT(1+P5:P$24))),4)</f>
        <v>1.5683</v>
      </c>
      <c r="AB5" s="1729">
        <f>ROUND(IF(项目基本情况!B8="出让",SUMPRODUCT(PRODUCT(1+Q5:Q$25)),SUMPRODUCT(PRODUCT(1+Q5:Q$24))),4)</f>
        <v>1.3255999999999999</v>
      </c>
      <c r="AD5" s="1471">
        <f>ROUND(AVERAGE(I5:I$25)/100,4)</f>
        <v>2.1299999999999999E-2</v>
      </c>
      <c r="AE5" s="1471">
        <f>ROUND(AVERAGE(J5:J$25)/100,4)</f>
        <v>1.5100000000000001E-2</v>
      </c>
      <c r="AF5" s="1471">
        <f t="shared" ref="AF5" si="11">AE5</f>
        <v>1.5100000000000001E-2</v>
      </c>
      <c r="AG5" s="1471">
        <f>ROUND(AVERAGE(K5:K$25)/100,4)</f>
        <v>2.3400000000000001E-2</v>
      </c>
      <c r="AH5" s="1471">
        <f>ROUND(AVERAGE(L5:L$25)/100,4)</f>
        <v>1.4200000000000001E-2</v>
      </c>
    </row>
    <row r="6" spans="1:34" s="1469" customFormat="1">
      <c r="A6" s="1464" t="s">
        <v>3052</v>
      </c>
      <c r="B6" s="1480">
        <f t="shared" ref="B6" si="12">B7*(1+N6)</f>
        <v>464.37293017158942</v>
      </c>
      <c r="C6" s="1480">
        <f t="shared" ref="C6" si="13">C7*(1+O6)</f>
        <v>344.73679941385956</v>
      </c>
      <c r="D6" s="1480">
        <f t="shared" ref="D6" si="14">C6</f>
        <v>344.73679941385956</v>
      </c>
      <c r="E6" s="1480">
        <f t="shared" ref="E6" si="15">E7*(1+P6)</f>
        <v>663.2377795103107</v>
      </c>
      <c r="F6" s="1480">
        <f t="shared" ref="F6" si="16">F7*(1+Q6)</f>
        <v>304.75936311478398</v>
      </c>
      <c r="G6" s="3356">
        <v>2018</v>
      </c>
      <c r="H6" s="1467">
        <v>4</v>
      </c>
      <c r="I6" s="2945">
        <v>0.96</v>
      </c>
      <c r="J6" s="2945">
        <v>1.03</v>
      </c>
      <c r="K6" s="2945">
        <v>0.92</v>
      </c>
      <c r="L6" s="2946">
        <v>1.29</v>
      </c>
      <c r="M6" s="1474"/>
      <c r="N6" s="1475">
        <f>I6/100</f>
        <v>9.5999999999999992E-3</v>
      </c>
      <c r="O6" s="1476">
        <f t="shared" ref="O6" si="17">J6/100</f>
        <v>1.03E-2</v>
      </c>
      <c r="P6" s="1476">
        <f t="shared" ref="P6" si="18">K6/100</f>
        <v>9.1999999999999998E-3</v>
      </c>
      <c r="Q6" s="1476">
        <f t="shared" ref="Q6" si="19">L6/100</f>
        <v>1.29E-2</v>
      </c>
      <c r="R6" s="1477"/>
      <c r="S6" s="1475"/>
      <c r="T6" s="1476"/>
      <c r="U6" s="1476"/>
      <c r="V6" s="1476"/>
      <c r="W6" s="1793"/>
      <c r="X6" s="1791">
        <f>ROUND(SUMPRODUCT(PRODUCT(1+N6:N$24)),4)</f>
        <v>1.5099</v>
      </c>
      <c r="Y6" s="1791">
        <f>ROUND(SUMPRODUCT(PRODUCT(1+O6:O$24)),4)</f>
        <v>1.3372999999999999</v>
      </c>
      <c r="Z6" s="1791">
        <f t="shared" ref="Z6" si="20">Y6</f>
        <v>1.3372999999999999</v>
      </c>
      <c r="AA6" s="1791">
        <f>ROUND(SUMPRODUCT(PRODUCT(1+P6:P$24)),4)</f>
        <v>1.5683</v>
      </c>
      <c r="AB6" s="1791">
        <f>ROUND(SUMPRODUCT(PRODUCT(1+Q6:Q$24)),4)</f>
        <v>1.3255999999999999</v>
      </c>
      <c r="AC6" s="1793"/>
      <c r="AD6" s="1792">
        <f>ROUND(AVERAGE(I6:I$25)/100,4)</f>
        <v>2.24E-2</v>
      </c>
      <c r="AE6" s="1792">
        <f>ROUND(AVERAGE(J6:J$25)/100,4)</f>
        <v>1.5800000000000002E-2</v>
      </c>
      <c r="AF6" s="1792">
        <f t="shared" ref="AF6" si="21">AE6</f>
        <v>1.5800000000000002E-2</v>
      </c>
      <c r="AG6" s="1792">
        <f>ROUND(AVERAGE(K6:K$25)/100,4)</f>
        <v>2.4500000000000001E-2</v>
      </c>
      <c r="AH6" s="1792">
        <f>ROUND(AVERAGE(L6:L$25)/100,4)</f>
        <v>1.49E-2</v>
      </c>
    </row>
    <row r="7" spans="1:34" s="1469" customFormat="1" ht="14.45" customHeight="1">
      <c r="A7" s="1464" t="s">
        <v>3045</v>
      </c>
      <c r="B7" s="1480">
        <f t="shared" ref="B7" si="22">B8*(1+N7)</f>
        <v>459.95733971036987</v>
      </c>
      <c r="C7" s="1480">
        <f t="shared" ref="C7" si="23">C8*(1+O7)</f>
        <v>341.22221064422405</v>
      </c>
      <c r="D7" s="1480">
        <f t="shared" ref="D7" si="24">C7</f>
        <v>341.22221064422405</v>
      </c>
      <c r="E7" s="1480">
        <f t="shared" ref="E7" si="25">E8*(1+P7)</f>
        <v>657.19161663724799</v>
      </c>
      <c r="F7" s="1480">
        <f t="shared" ref="F7" si="26">F8*(1+Q7)</f>
        <v>300.87803644464805</v>
      </c>
      <c r="G7" s="3356"/>
      <c r="H7" s="1467">
        <v>3</v>
      </c>
      <c r="I7" s="1467">
        <v>1.51</v>
      </c>
      <c r="J7" s="1467">
        <v>1.41</v>
      </c>
      <c r="K7" s="1467">
        <v>1.52</v>
      </c>
      <c r="L7" s="1481">
        <v>1.74</v>
      </c>
      <c r="M7" s="1474"/>
      <c r="N7" s="1475">
        <f>I7/100</f>
        <v>1.5100000000000001E-2</v>
      </c>
      <c r="O7" s="1476">
        <f t="shared" ref="O7" si="27">J7/100</f>
        <v>1.41E-2</v>
      </c>
      <c r="P7" s="1476">
        <f t="shared" ref="P7" si="28">K7/100</f>
        <v>1.52E-2</v>
      </c>
      <c r="Q7" s="1476">
        <f t="shared" ref="Q7" si="29">L7/100</f>
        <v>1.7399999999999999E-2</v>
      </c>
      <c r="R7" s="1477"/>
      <c r="S7" s="1475"/>
      <c r="T7" s="1476"/>
      <c r="U7" s="1476"/>
      <c r="V7" s="1476"/>
      <c r="W7" s="1793"/>
      <c r="X7" s="1791">
        <f>ROUND(SUMPRODUCT(PRODUCT(1+N7:N$24)),4)</f>
        <v>1.4956</v>
      </c>
      <c r="Y7" s="1791">
        <f>ROUND(SUMPRODUCT(PRODUCT(1+O7:O$24)),4)</f>
        <v>1.3237000000000001</v>
      </c>
      <c r="Z7" s="1791">
        <f t="shared" ref="Z7" si="30">Y7</f>
        <v>1.3237000000000001</v>
      </c>
      <c r="AA7" s="1791">
        <f>ROUND(SUMPRODUCT(PRODUCT(1+P7:P$24)),4)</f>
        <v>1.554</v>
      </c>
      <c r="AB7" s="1791">
        <f>ROUND(SUMPRODUCT(PRODUCT(1+Q7:Q$24)),4)</f>
        <v>1.3087</v>
      </c>
      <c r="AC7" s="1793"/>
      <c r="AD7" s="1792">
        <f>ROUND(AVERAGE(I7:I$25)/100,4)</f>
        <v>2.3099999999999999E-2</v>
      </c>
      <c r="AE7" s="1792">
        <f>ROUND(AVERAGE(J7:J$25)/100,4)</f>
        <v>1.61E-2</v>
      </c>
      <c r="AF7" s="1792">
        <f t="shared" ref="AF7" si="31">AE7</f>
        <v>1.61E-2</v>
      </c>
      <c r="AG7" s="1792">
        <f>ROUND(AVERAGE(K7:K$25)/100,4)</f>
        <v>2.53E-2</v>
      </c>
      <c r="AH7" s="1792">
        <f>ROUND(AVERAGE(L7:L$25)/100,4)</f>
        <v>1.4999999999999999E-2</v>
      </c>
    </row>
    <row r="8" spans="1:34" s="1469" customFormat="1" ht="14.45" customHeight="1">
      <c r="A8" s="1464" t="s">
        <v>3044</v>
      </c>
      <c r="B8" s="1480">
        <f t="shared" ref="B8" si="32">B9*(1+N8)</f>
        <v>453.11529869999993</v>
      </c>
      <c r="C8" s="1480">
        <f t="shared" ref="C8" si="33">C9*(1+O8)</f>
        <v>336.47787264000004</v>
      </c>
      <c r="D8" s="1480">
        <f t="shared" ref="D8" si="34">C8</f>
        <v>336.47787264000004</v>
      </c>
      <c r="E8" s="1480">
        <f t="shared" ref="E8" si="35">E9*(1+P8)</f>
        <v>647.35186823999993</v>
      </c>
      <c r="F8" s="1480">
        <f t="shared" ref="F8" si="36">F9*(1+Q8)</f>
        <v>295.73229452000004</v>
      </c>
      <c r="G8" s="3356"/>
      <c r="H8" s="1467">
        <v>2</v>
      </c>
      <c r="I8" s="1467">
        <v>1.49</v>
      </c>
      <c r="J8" s="1467">
        <v>0.96</v>
      </c>
      <c r="K8" s="1467">
        <v>1.58</v>
      </c>
      <c r="L8" s="1481">
        <v>2.44</v>
      </c>
      <c r="M8" s="1474"/>
      <c r="N8" s="1475">
        <f t="shared" ref="N8" si="37">I8/100</f>
        <v>1.49E-2</v>
      </c>
      <c r="O8" s="1476">
        <f t="shared" ref="O8" si="38">J8/100</f>
        <v>9.5999999999999992E-3</v>
      </c>
      <c r="P8" s="1476">
        <f t="shared" ref="P8" si="39">K8/100</f>
        <v>1.5800000000000002E-2</v>
      </c>
      <c r="Q8" s="1476">
        <f t="shared" ref="Q8" si="40">L8/100</f>
        <v>2.4399999999999998E-2</v>
      </c>
      <c r="R8" s="1477"/>
      <c r="S8" s="1475"/>
      <c r="T8" s="1476"/>
      <c r="U8" s="1476"/>
      <c r="V8" s="1476"/>
      <c r="W8" s="1793"/>
      <c r="X8" s="1791">
        <f>ROUND(SUMPRODUCT(PRODUCT(1+N8:N$24)),4)</f>
        <v>1.4733000000000001</v>
      </c>
      <c r="Y8" s="1791">
        <f>ROUND(SUMPRODUCT(PRODUCT(1+O8:O$24)),4)</f>
        <v>1.3052999999999999</v>
      </c>
      <c r="Z8" s="1791">
        <f t="shared" ref="Z8" si="41">Y8</f>
        <v>1.3052999999999999</v>
      </c>
      <c r="AA8" s="1791">
        <f>ROUND(SUMPRODUCT(PRODUCT(1+P8:P$24)),4)</f>
        <v>1.5306999999999999</v>
      </c>
      <c r="AB8" s="1791">
        <f>ROUND(SUMPRODUCT(PRODUCT(1+Q8:Q$24)),4)</f>
        <v>1.2863</v>
      </c>
      <c r="AC8" s="1793"/>
      <c r="AD8" s="1792">
        <f>ROUND(AVERAGE(I8:I$25)/100,4)</f>
        <v>2.35E-2</v>
      </c>
      <c r="AE8" s="1792">
        <f>ROUND(AVERAGE(J8:J$25)/100,4)</f>
        <v>1.6199999999999999E-2</v>
      </c>
      <c r="AF8" s="1792">
        <f t="shared" ref="AF8" si="42">AE8</f>
        <v>1.6199999999999999E-2</v>
      </c>
      <c r="AG8" s="1792">
        <f>ROUND(AVERAGE(K8:K$25)/100,4)</f>
        <v>2.5899999999999999E-2</v>
      </c>
      <c r="AH8" s="1792">
        <f>ROUND(AVERAGE(L8:L$25)/100,4)</f>
        <v>1.49E-2</v>
      </c>
    </row>
    <row r="9" spans="1:34" s="1469" customFormat="1" ht="15" customHeight="1" thickBot="1">
      <c r="A9" s="1464" t="s">
        <v>3037</v>
      </c>
      <c r="B9" s="1480">
        <f t="shared" ref="B9" si="43">B10*(1+N9)</f>
        <v>446.46299999999997</v>
      </c>
      <c r="C9" s="1480">
        <f t="shared" ref="C9" si="44">C10*(1+O9)</f>
        <v>333.27840000000003</v>
      </c>
      <c r="D9" s="1480">
        <f t="shared" ref="D9" si="45">C9</f>
        <v>333.27840000000003</v>
      </c>
      <c r="E9" s="1480">
        <f t="shared" ref="E9" si="46">E10*(1+P9)</f>
        <v>637.28279999999995</v>
      </c>
      <c r="F9" s="1480">
        <f t="shared" ref="F9" si="47">F10*(1+Q9)</f>
        <v>288.68830000000003</v>
      </c>
      <c r="G9" s="3365"/>
      <c r="H9" s="1467">
        <v>1</v>
      </c>
      <c r="I9" s="1467">
        <v>1.7</v>
      </c>
      <c r="J9" s="1467">
        <v>1.92</v>
      </c>
      <c r="K9" s="1467">
        <v>1.64</v>
      </c>
      <c r="L9" s="1481">
        <v>2.0099999999999998</v>
      </c>
      <c r="M9" s="1474"/>
      <c r="N9" s="1475">
        <f t="shared" ref="N9:N14" si="48">I9/100</f>
        <v>1.7000000000000001E-2</v>
      </c>
      <c r="O9" s="1476">
        <f t="shared" ref="O9" si="49">J9/100</f>
        <v>1.9199999999999998E-2</v>
      </c>
      <c r="P9" s="1476">
        <f t="shared" ref="P9" si="50">K9/100</f>
        <v>1.6399999999999998E-2</v>
      </c>
      <c r="Q9" s="1476">
        <f t="shared" ref="Q9" si="51">L9/100</f>
        <v>2.0099999999999996E-2</v>
      </c>
      <c r="R9" s="1477"/>
      <c r="S9" s="1475">
        <f>B9/B10-1</f>
        <v>1.6999999999999904E-2</v>
      </c>
      <c r="T9" s="1476">
        <f t="shared" ref="T9" si="52">C9/C10-1</f>
        <v>1.9200000000000106E-2</v>
      </c>
      <c r="U9" s="1476">
        <f t="shared" ref="U9" si="53">D9/D10-1</f>
        <v>1.9200000000000106E-2</v>
      </c>
      <c r="V9" s="1476">
        <f t="shared" ref="V9" si="54">E9/E10-1</f>
        <v>1.639999999999997E-2</v>
      </c>
      <c r="W9" s="1793"/>
      <c r="X9" s="1791">
        <f>ROUND(SUMPRODUCT(PRODUCT(1+N9:N$24)),4)</f>
        <v>1.4517</v>
      </c>
      <c r="Y9" s="1791">
        <f>ROUND(SUMPRODUCT(PRODUCT(1+O9:O$24)),4)</f>
        <v>1.2928999999999999</v>
      </c>
      <c r="Z9" s="1791">
        <f t="shared" ref="Z9" si="55">Y9</f>
        <v>1.2928999999999999</v>
      </c>
      <c r="AA9" s="1791">
        <f>ROUND(SUMPRODUCT(PRODUCT(1+P9:P$24)),4)</f>
        <v>1.5068999999999999</v>
      </c>
      <c r="AB9" s="1791">
        <f>ROUND(SUMPRODUCT(PRODUCT(1+Q9:Q$24)),4)</f>
        <v>1.2557</v>
      </c>
      <c r="AC9" s="1793"/>
      <c r="AD9" s="1792">
        <f>ROUND(AVERAGE(I9:I$25)/100,4)</f>
        <v>2.4E-2</v>
      </c>
      <c r="AE9" s="1792">
        <f>ROUND(AVERAGE(J9:J$25)/100,4)</f>
        <v>1.66E-2</v>
      </c>
      <c r="AF9" s="1792">
        <f t="shared" ref="AF9" si="56">AE9</f>
        <v>1.66E-2</v>
      </c>
      <c r="AG9" s="1792">
        <f>ROUND(AVERAGE(K9:K$25)/100,4)</f>
        <v>2.6499999999999999E-2</v>
      </c>
      <c r="AH9" s="1792">
        <f>ROUND(AVERAGE(L9:L$25)/100,4)</f>
        <v>1.43E-2</v>
      </c>
    </row>
    <row r="10" spans="1:34">
      <c r="A10" s="1464" t="s">
        <v>3034</v>
      </c>
      <c r="B10" s="1472">
        <v>439</v>
      </c>
      <c r="C10" s="1472">
        <v>327</v>
      </c>
      <c r="D10" s="1472">
        <f>C10</f>
        <v>327</v>
      </c>
      <c r="E10" s="1472">
        <v>627</v>
      </c>
      <c r="F10" s="1473">
        <v>283</v>
      </c>
      <c r="G10" s="3361">
        <v>2017</v>
      </c>
      <c r="H10" s="1465">
        <v>4</v>
      </c>
      <c r="I10" s="1465">
        <v>1.71</v>
      </c>
      <c r="J10" s="1465">
        <v>1.78</v>
      </c>
      <c r="K10" s="1465">
        <v>1.71</v>
      </c>
      <c r="L10" s="1466">
        <v>1.43</v>
      </c>
      <c r="N10" s="1475">
        <f t="shared" si="48"/>
        <v>1.7100000000000001E-2</v>
      </c>
      <c r="O10" s="1476">
        <f t="shared" ref="O10" si="57">J10/100</f>
        <v>1.78E-2</v>
      </c>
      <c r="P10" s="1476">
        <f t="shared" ref="P10" si="58">K10/100</f>
        <v>1.7100000000000001E-2</v>
      </c>
      <c r="Q10" s="1476">
        <f t="shared" ref="Q10" si="59">L10/100</f>
        <v>1.43E-2</v>
      </c>
      <c r="R10" s="1477"/>
      <c r="S10" s="1478"/>
      <c r="T10" s="1479"/>
      <c r="U10" s="1479"/>
      <c r="V10" s="1479"/>
      <c r="X10" s="1462">
        <f>ROUND(SUMPRODUCT(PRODUCT(1+N10:N$24)),4)</f>
        <v>1.4274</v>
      </c>
      <c r="Y10" s="1462">
        <f>ROUND(SUMPRODUCT(PRODUCT(1+O10:O$24)),4)</f>
        <v>1.2685</v>
      </c>
      <c r="Z10" s="1462">
        <f t="shared" si="0"/>
        <v>1.2685</v>
      </c>
      <c r="AA10" s="1462">
        <f>ROUND(SUMPRODUCT(PRODUCT(1+P10:P$24)),4)</f>
        <v>1.4825999999999999</v>
      </c>
      <c r="AB10" s="1462">
        <f>ROUND(SUMPRODUCT(PRODUCT(1+Q10:Q$24)),4)</f>
        <v>1.2309000000000001</v>
      </c>
      <c r="AD10" s="1463">
        <f>ROUND(AVERAGE(I10:I$25)/100,4)</f>
        <v>2.4500000000000001E-2</v>
      </c>
      <c r="AE10" s="1463">
        <f>ROUND(AVERAGE(J10:J$25)/100,4)</f>
        <v>1.6500000000000001E-2</v>
      </c>
      <c r="AF10" s="1463">
        <f t="shared" si="1"/>
        <v>1.6500000000000001E-2</v>
      </c>
      <c r="AG10" s="1463">
        <f>ROUND(AVERAGE(K10:K$25)/100,4)</f>
        <v>2.7099999999999999E-2</v>
      </c>
      <c r="AH10" s="1463">
        <f>ROUND(AVERAGE(L10:L$25)/100,4)</f>
        <v>1.3899999999999999E-2</v>
      </c>
    </row>
    <row r="11" spans="1:34" s="1469" customFormat="1" ht="14.45" customHeight="1">
      <c r="A11" s="1464" t="s">
        <v>3035</v>
      </c>
      <c r="B11" s="1480">
        <f t="shared" ref="B11:B12" si="60">B12*(1+N11)</f>
        <v>431.80730811680002</v>
      </c>
      <c r="C11" s="1480">
        <f t="shared" ref="C11:C12" si="61">C12*(1+O11)</f>
        <v>320.57880516480003</v>
      </c>
      <c r="D11" s="1480">
        <f t="shared" ref="D11:D12" si="62">C11</f>
        <v>320.57880516480003</v>
      </c>
      <c r="E11" s="1480">
        <f t="shared" ref="E11:E12" si="63">E12*(1+P11)</f>
        <v>615.96110553196797</v>
      </c>
      <c r="F11" s="1480">
        <f t="shared" ref="F11:F12" si="64">F12*(1+Q11)</f>
        <v>279.46777300108801</v>
      </c>
      <c r="G11" s="3356"/>
      <c r="H11" s="1467">
        <v>3</v>
      </c>
      <c r="I11" s="1467">
        <v>2.98</v>
      </c>
      <c r="J11" s="1467">
        <v>2.11</v>
      </c>
      <c r="K11" s="1467">
        <v>3.24</v>
      </c>
      <c r="L11" s="1481">
        <v>1.72</v>
      </c>
      <c r="M11" s="1474"/>
      <c r="N11" s="1475">
        <f t="shared" si="48"/>
        <v>2.98E-2</v>
      </c>
      <c r="O11" s="1476">
        <f t="shared" ref="O11" si="65">J11/100</f>
        <v>2.1099999999999997E-2</v>
      </c>
      <c r="P11" s="1476">
        <f t="shared" ref="P11" si="66">K11/100</f>
        <v>3.2400000000000005E-2</v>
      </c>
      <c r="Q11" s="1476">
        <f t="shared" ref="Q11" si="67">L11/100</f>
        <v>1.72E-2</v>
      </c>
      <c r="R11" s="1477"/>
      <c r="S11" s="1475"/>
      <c r="T11" s="1476"/>
      <c r="U11" s="1476"/>
      <c r="V11" s="1476"/>
      <c r="W11" s="1793"/>
      <c r="X11" s="1791">
        <f>ROUND(SUMPRODUCT(PRODUCT(1+N11:N$24)),4)</f>
        <v>1.4034</v>
      </c>
      <c r="Y11" s="1791">
        <f>ROUND(SUMPRODUCT(PRODUCT(1+O11:O$24)),4)</f>
        <v>1.2463</v>
      </c>
      <c r="Z11" s="1791">
        <f t="shared" si="0"/>
        <v>1.2463</v>
      </c>
      <c r="AA11" s="1791">
        <f>ROUND(SUMPRODUCT(PRODUCT(1+P11:P$24)),4)</f>
        <v>1.4577</v>
      </c>
      <c r="AB11" s="1791">
        <f>ROUND(SUMPRODUCT(PRODUCT(1+Q11:Q$24)),4)</f>
        <v>1.2136</v>
      </c>
      <c r="AC11" s="1793"/>
      <c r="AD11" s="1792">
        <f>ROUND(AVERAGE(I11:I$25)/100,4)</f>
        <v>2.4899999999999999E-2</v>
      </c>
      <c r="AE11" s="1792">
        <f>ROUND(AVERAGE(J11:J$25)/100,4)</f>
        <v>1.6400000000000001E-2</v>
      </c>
      <c r="AF11" s="1792">
        <f t="shared" si="1"/>
        <v>1.6400000000000001E-2</v>
      </c>
      <c r="AG11" s="1792">
        <f>ROUND(AVERAGE(K11:K$25)/100,4)</f>
        <v>2.7799999999999998E-2</v>
      </c>
      <c r="AH11" s="1792">
        <f>ROUND(AVERAGE(L11:L$25)/100,4)</f>
        <v>1.3899999999999999E-2</v>
      </c>
    </row>
    <row r="12" spans="1:34" s="1734" customFormat="1" ht="14.45" customHeight="1">
      <c r="A12" s="1464" t="s">
        <v>1382</v>
      </c>
      <c r="B12" s="1480">
        <f t="shared" si="60"/>
        <v>419.31181600000002</v>
      </c>
      <c r="C12" s="1480">
        <f t="shared" si="61"/>
        <v>313.95436800000004</v>
      </c>
      <c r="D12" s="1480">
        <f t="shared" si="62"/>
        <v>313.95436800000004</v>
      </c>
      <c r="E12" s="1480">
        <f t="shared" si="63"/>
        <v>596.63028431999999</v>
      </c>
      <c r="F12" s="1480">
        <f t="shared" si="64"/>
        <v>274.74220703999998</v>
      </c>
      <c r="G12" s="3356"/>
      <c r="H12" s="1468">
        <v>2</v>
      </c>
      <c r="I12" s="1468">
        <v>3.4</v>
      </c>
      <c r="J12" s="1468">
        <v>2</v>
      </c>
      <c r="K12" s="1468">
        <v>3.82</v>
      </c>
      <c r="L12" s="1482">
        <v>1.68</v>
      </c>
      <c r="M12" s="1474"/>
      <c r="N12" s="1475">
        <f t="shared" si="48"/>
        <v>3.4000000000000002E-2</v>
      </c>
      <c r="O12" s="1476">
        <f t="shared" ref="O12" si="68">J12/100</f>
        <v>0.02</v>
      </c>
      <c r="P12" s="1476">
        <f t="shared" ref="P12" si="69">K12/100</f>
        <v>3.8199999999999998E-2</v>
      </c>
      <c r="Q12" s="1476">
        <f t="shared" ref="Q12" si="70">L12/100</f>
        <v>1.6799999999999999E-2</v>
      </c>
      <c r="R12" s="1477"/>
      <c r="S12" s="1478"/>
      <c r="T12" s="1479"/>
      <c r="U12" s="1479"/>
      <c r="V12" s="1479"/>
      <c r="W12" s="1456"/>
      <c r="X12" s="1791">
        <f>ROUND(SUMPRODUCT(PRODUCT(1+N12:N$24)),4)</f>
        <v>1.3628</v>
      </c>
      <c r="Y12" s="1791">
        <f>ROUND(SUMPRODUCT(PRODUCT(1+O12:O$24)),4)</f>
        <v>1.2205999999999999</v>
      </c>
      <c r="Z12" s="1791">
        <f t="shared" si="0"/>
        <v>1.2205999999999999</v>
      </c>
      <c r="AA12" s="1791">
        <f>ROUND(SUMPRODUCT(PRODUCT(1+P12:P$24)),4)</f>
        <v>1.4118999999999999</v>
      </c>
      <c r="AB12" s="1791">
        <f>ROUND(SUMPRODUCT(PRODUCT(1+Q12:Q$24)),4)</f>
        <v>1.1930000000000001</v>
      </c>
      <c r="AC12" s="1456"/>
      <c r="AD12" s="1792">
        <f>ROUND(AVERAGE(I12:I$25)/100,4)</f>
        <v>2.46E-2</v>
      </c>
      <c r="AE12" s="1792">
        <f>ROUND(AVERAGE(J12:J$25)/100,4)</f>
        <v>1.6E-2</v>
      </c>
      <c r="AF12" s="1792">
        <f t="shared" si="1"/>
        <v>1.6E-2</v>
      </c>
      <c r="AG12" s="1792">
        <f>ROUND(AVERAGE(K12:K$25)/100,4)</f>
        <v>2.75E-2</v>
      </c>
      <c r="AH12" s="1792">
        <f>ROUND(AVERAGE(L12:L$25)/100,4)</f>
        <v>1.37E-2</v>
      </c>
    </row>
    <row r="13" spans="1:34" s="1469" customFormat="1" ht="15" customHeight="1" thickBot="1">
      <c r="A13" s="1464" t="s">
        <v>1157</v>
      </c>
      <c r="B13" s="1480">
        <f>B14*(1+N13)</f>
        <v>405.524</v>
      </c>
      <c r="C13" s="1480">
        <f>C14*(1+O13)</f>
        <v>307.79840000000002</v>
      </c>
      <c r="D13" s="1480">
        <f>C13</f>
        <v>307.79840000000002</v>
      </c>
      <c r="E13" s="1480">
        <f>E14*(1+P13)</f>
        <v>574.67759999999998</v>
      </c>
      <c r="F13" s="1480">
        <f>F14*(1+Q13)</f>
        <v>270.20280000000002</v>
      </c>
      <c r="G13" s="3365"/>
      <c r="H13" s="1467">
        <v>1</v>
      </c>
      <c r="I13" s="1467">
        <v>3.45</v>
      </c>
      <c r="J13" s="1467">
        <v>1.92</v>
      </c>
      <c r="K13" s="1467">
        <v>3.92</v>
      </c>
      <c r="L13" s="1481">
        <v>1.58</v>
      </c>
      <c r="M13" s="1474"/>
      <c r="N13" s="1475">
        <f t="shared" si="48"/>
        <v>3.4500000000000003E-2</v>
      </c>
      <c r="O13" s="1476">
        <f t="shared" ref="O13:Q28" si="71">J13/100</f>
        <v>1.9199999999999998E-2</v>
      </c>
      <c r="P13" s="1476">
        <f t="shared" si="71"/>
        <v>3.9199999999999999E-2</v>
      </c>
      <c r="Q13" s="1476">
        <f t="shared" si="71"/>
        <v>1.5800000000000002E-2</v>
      </c>
      <c r="R13" s="1477"/>
      <c r="S13" s="1475">
        <f>B13/B14-1</f>
        <v>3.4499999999999975E-2</v>
      </c>
      <c r="T13" s="1476">
        <f t="shared" ref="T13:V13" si="72">C13/C14-1</f>
        <v>1.9200000000000106E-2</v>
      </c>
      <c r="U13" s="1476">
        <f t="shared" si="72"/>
        <v>1.9200000000000106E-2</v>
      </c>
      <c r="V13" s="1476">
        <f t="shared" si="72"/>
        <v>3.9199999999999902E-2</v>
      </c>
      <c r="W13" s="1793"/>
      <c r="X13" s="1791">
        <f>ROUND(SUMPRODUCT(PRODUCT(1+N13:N$24)),4)</f>
        <v>1.3180000000000001</v>
      </c>
      <c r="Y13" s="1791">
        <f>ROUND(SUMPRODUCT(PRODUCT(1+O13:O$24)),4)</f>
        <v>1.1966000000000001</v>
      </c>
      <c r="Z13" s="1791">
        <f t="shared" si="0"/>
        <v>1.1966000000000001</v>
      </c>
      <c r="AA13" s="1791">
        <f>ROUND(SUMPRODUCT(PRODUCT(1+P13:P$24)),4)</f>
        <v>1.36</v>
      </c>
      <c r="AB13" s="1791">
        <f>ROUND(SUMPRODUCT(PRODUCT(1+Q13:Q$24)),4)</f>
        <v>1.1733</v>
      </c>
      <c r="AC13" s="1793"/>
      <c r="AD13" s="1792">
        <f>ROUND(AVERAGE(I13:I$25)/100,4)</f>
        <v>2.3900000000000001E-2</v>
      </c>
      <c r="AE13" s="1792">
        <f>ROUND(AVERAGE(J13:J$25)/100,4)</f>
        <v>1.5699999999999999E-2</v>
      </c>
      <c r="AF13" s="1792">
        <f t="shared" si="1"/>
        <v>1.5699999999999999E-2</v>
      </c>
      <c r="AG13" s="1792">
        <f>ROUND(AVERAGE(K13:K$25)/100,4)</f>
        <v>2.6599999999999999E-2</v>
      </c>
      <c r="AH13" s="1792">
        <f>ROUND(AVERAGE(L13:L$25)/100,4)</f>
        <v>1.34E-2</v>
      </c>
    </row>
    <row r="14" spans="1:34">
      <c r="A14" s="1464" t="s">
        <v>154</v>
      </c>
      <c r="B14" s="1472">
        <v>392</v>
      </c>
      <c r="C14" s="1472">
        <v>302</v>
      </c>
      <c r="D14" s="1472">
        <f>C14</f>
        <v>302</v>
      </c>
      <c r="E14" s="1472">
        <v>553</v>
      </c>
      <c r="F14" s="1473">
        <v>266</v>
      </c>
      <c r="G14" s="3361">
        <v>2016</v>
      </c>
      <c r="H14" s="1465">
        <v>4</v>
      </c>
      <c r="I14" s="1465">
        <v>4.5599999999999996</v>
      </c>
      <c r="J14" s="1465">
        <v>2.15</v>
      </c>
      <c r="K14" s="1465">
        <v>5.32</v>
      </c>
      <c r="L14" s="1466">
        <v>1.57</v>
      </c>
      <c r="N14" s="1475">
        <f t="shared" si="48"/>
        <v>4.5599999999999995E-2</v>
      </c>
      <c r="O14" s="1476">
        <f t="shared" si="71"/>
        <v>2.1499999999999998E-2</v>
      </c>
      <c r="P14" s="1476">
        <f t="shared" si="71"/>
        <v>5.3200000000000004E-2</v>
      </c>
      <c r="Q14" s="1476">
        <f t="shared" si="71"/>
        <v>1.5700000000000002E-2</v>
      </c>
      <c r="R14" s="1477"/>
      <c r="S14" s="1478"/>
      <c r="T14" s="1479"/>
      <c r="U14" s="1479"/>
      <c r="V14" s="1479"/>
      <c r="X14" s="1462">
        <f>ROUND(SUMPRODUCT(PRODUCT(1+N14:N$24)),4)</f>
        <v>1.274</v>
      </c>
      <c r="Y14" s="1462">
        <f>ROUND(SUMPRODUCT(PRODUCT(1+O14:O$24)),4)</f>
        <v>1.1740999999999999</v>
      </c>
      <c r="Z14" s="1462">
        <f t="shared" si="0"/>
        <v>1.1740999999999999</v>
      </c>
      <c r="AA14" s="1462">
        <f>ROUND(SUMPRODUCT(PRODUCT(1+P14:P$24)),4)</f>
        <v>1.3087</v>
      </c>
      <c r="AB14" s="1462">
        <f>ROUND(SUMPRODUCT(PRODUCT(1+Q14:Q$24)),4)</f>
        <v>1.1551</v>
      </c>
      <c r="AD14" s="1463">
        <f>ROUND(AVERAGE(I14:I$25)/100,4)</f>
        <v>2.3E-2</v>
      </c>
      <c r="AE14" s="1463">
        <f>ROUND(AVERAGE(J14:J$25)/100,4)</f>
        <v>1.55E-2</v>
      </c>
      <c r="AF14" s="1463">
        <f t="shared" si="1"/>
        <v>1.55E-2</v>
      </c>
      <c r="AG14" s="1463">
        <f>ROUND(AVERAGE(K14:K$25)/100,4)</f>
        <v>2.5600000000000001E-2</v>
      </c>
      <c r="AH14" s="1463">
        <f>ROUND(AVERAGE(L14:L$25)/100,4)</f>
        <v>1.32E-2</v>
      </c>
    </row>
    <row r="15" spans="1:34">
      <c r="A15" s="1464" t="s">
        <v>153</v>
      </c>
      <c r="B15" s="1480">
        <f t="shared" ref="B15:C17" si="73">B14/(1+N14)</f>
        <v>374.90436113236416</v>
      </c>
      <c r="C15" s="1480">
        <f t="shared" si="73"/>
        <v>295.64366128242779</v>
      </c>
      <c r="D15" s="1480">
        <f t="shared" ref="D15:D74" si="74">C15</f>
        <v>295.64366128242779</v>
      </c>
      <c r="E15" s="1480">
        <f t="shared" ref="E15:F17" si="75">E14/(1+P14)</f>
        <v>525.06646410938095</v>
      </c>
      <c r="F15" s="1480">
        <f t="shared" si="75"/>
        <v>261.88835286009646</v>
      </c>
      <c r="G15" s="3356"/>
      <c r="H15" s="1467">
        <v>3</v>
      </c>
      <c r="I15" s="1467">
        <v>4.12</v>
      </c>
      <c r="J15" s="1467">
        <v>2</v>
      </c>
      <c r="K15" s="1467">
        <v>4.79</v>
      </c>
      <c r="L15" s="1481">
        <v>1.97</v>
      </c>
      <c r="N15" s="1475">
        <f t="shared" ref="N15:Q49" si="76">I15/100</f>
        <v>4.1200000000000001E-2</v>
      </c>
      <c r="O15" s="1476">
        <f t="shared" si="71"/>
        <v>0.02</v>
      </c>
      <c r="P15" s="1476">
        <f t="shared" si="71"/>
        <v>4.7899999999999998E-2</v>
      </c>
      <c r="Q15" s="1476">
        <f t="shared" si="71"/>
        <v>1.9699999999999999E-2</v>
      </c>
      <c r="R15" s="1477"/>
      <c r="S15" s="1475"/>
      <c r="T15" s="1476"/>
      <c r="U15" s="1476"/>
      <c r="V15" s="1476"/>
      <c r="X15" s="1462">
        <f>ROUND(SUMPRODUCT(PRODUCT(1+N15:N$24)),4)</f>
        <v>1.2184999999999999</v>
      </c>
      <c r="Y15" s="1462">
        <f>ROUND(SUMPRODUCT(PRODUCT(1+O15:O$24)),4)</f>
        <v>1.1494</v>
      </c>
      <c r="Z15" s="1462">
        <f t="shared" si="0"/>
        <v>1.1494</v>
      </c>
      <c r="AA15" s="1462">
        <f>ROUND(SUMPRODUCT(PRODUCT(1+P15:P$24)),4)</f>
        <v>1.2425999999999999</v>
      </c>
      <c r="AB15" s="1462">
        <f>ROUND(SUMPRODUCT(PRODUCT(1+Q15:Q$24)),4)</f>
        <v>1.1372</v>
      </c>
      <c r="AD15" s="1463">
        <f>ROUND(AVERAGE(I15:I$25)/100,4)</f>
        <v>2.0899999999999998E-2</v>
      </c>
      <c r="AE15" s="1463">
        <f>ROUND(AVERAGE(J15:J$25)/100,4)</f>
        <v>1.49E-2</v>
      </c>
      <c r="AF15" s="1463">
        <f t="shared" si="1"/>
        <v>1.49E-2</v>
      </c>
      <c r="AG15" s="1463">
        <f>ROUND(AVERAGE(K15:K$25)/100,4)</f>
        <v>2.3099999999999999E-2</v>
      </c>
      <c r="AH15" s="1463">
        <f>ROUND(AVERAGE(L15:L$25)/100,4)</f>
        <v>1.2999999999999999E-2</v>
      </c>
    </row>
    <row r="16" spans="1:34">
      <c r="A16" s="1464" t="s">
        <v>143</v>
      </c>
      <c r="B16" s="1480">
        <f t="shared" si="73"/>
        <v>360.06949782209392</v>
      </c>
      <c r="C16" s="1480">
        <f t="shared" si="73"/>
        <v>289.84672674747821</v>
      </c>
      <c r="D16" s="1480">
        <f t="shared" si="74"/>
        <v>289.84672674747821</v>
      </c>
      <c r="E16" s="1480">
        <f t="shared" si="75"/>
        <v>501.06543001181495</v>
      </c>
      <c r="F16" s="1480">
        <f t="shared" si="75"/>
        <v>256.82882500744967</v>
      </c>
      <c r="G16" s="3356"/>
      <c r="H16" s="1468">
        <v>2</v>
      </c>
      <c r="I16" s="1468">
        <v>3.85</v>
      </c>
      <c r="J16" s="1468">
        <v>1.95</v>
      </c>
      <c r="K16" s="1468">
        <v>4.4800000000000004</v>
      </c>
      <c r="L16" s="1482">
        <v>1.41</v>
      </c>
      <c r="N16" s="1475">
        <f t="shared" si="76"/>
        <v>3.85E-2</v>
      </c>
      <c r="O16" s="1476">
        <f t="shared" si="71"/>
        <v>1.95E-2</v>
      </c>
      <c r="P16" s="1476">
        <f t="shared" si="71"/>
        <v>4.4800000000000006E-2</v>
      </c>
      <c r="Q16" s="1476">
        <f t="shared" si="71"/>
        <v>1.41E-2</v>
      </c>
      <c r="R16" s="1477"/>
      <c r="S16" s="1475"/>
      <c r="T16" s="1476"/>
      <c r="U16" s="1476"/>
      <c r="V16" s="1476"/>
      <c r="X16" s="1462">
        <f>ROUND(SUMPRODUCT(PRODUCT(1+N16:N$24)),4)</f>
        <v>1.1702999999999999</v>
      </c>
      <c r="Y16" s="1462">
        <f>ROUND(SUMPRODUCT(PRODUCT(1+O16:O$24)),4)</f>
        <v>1.1269</v>
      </c>
      <c r="Z16" s="1462">
        <f t="shared" si="0"/>
        <v>1.1269</v>
      </c>
      <c r="AA16" s="1462">
        <f>ROUND(SUMPRODUCT(PRODUCT(1+P16:P$24)),4)</f>
        <v>1.1858</v>
      </c>
      <c r="AB16" s="1462">
        <f>ROUND(SUMPRODUCT(PRODUCT(1+Q16:Q$24)),4)</f>
        <v>1.1152</v>
      </c>
      <c r="AD16" s="1463">
        <f>ROUND(AVERAGE(I16:I$25)/100,4)</f>
        <v>1.89E-2</v>
      </c>
      <c r="AE16" s="1463">
        <f>ROUND(AVERAGE(J16:J$25)/100,4)</f>
        <v>1.44E-2</v>
      </c>
      <c r="AF16" s="1463">
        <f t="shared" si="1"/>
        <v>1.44E-2</v>
      </c>
      <c r="AG16" s="1463">
        <f>ROUND(AVERAGE(K16:K$25)/100,4)</f>
        <v>2.06E-2</v>
      </c>
      <c r="AH16" s="1463">
        <f>ROUND(AVERAGE(L16:L$25)/100,4)</f>
        <v>1.23E-2</v>
      </c>
    </row>
    <row r="17" spans="1:34" ht="13.5" thickBot="1">
      <c r="A17" s="1464" t="s">
        <v>152</v>
      </c>
      <c r="B17" s="1480">
        <f t="shared" si="73"/>
        <v>346.720748986128</v>
      </c>
      <c r="C17" s="1480">
        <f t="shared" si="73"/>
        <v>284.30282172386285</v>
      </c>
      <c r="D17" s="1480">
        <f t="shared" si="74"/>
        <v>284.30282172386285</v>
      </c>
      <c r="E17" s="1480">
        <f t="shared" si="75"/>
        <v>479.58023546306947</v>
      </c>
      <c r="F17" s="1480">
        <f t="shared" si="75"/>
        <v>253.25788877571213</v>
      </c>
      <c r="G17" s="3357"/>
      <c r="H17" s="1467">
        <v>1</v>
      </c>
      <c r="I17" s="1467">
        <v>4.09</v>
      </c>
      <c r="J17" s="1467">
        <v>2.93</v>
      </c>
      <c r="K17" s="1467">
        <v>4.54</v>
      </c>
      <c r="L17" s="1481">
        <v>1.48</v>
      </c>
      <c r="N17" s="1475">
        <f t="shared" si="76"/>
        <v>4.0899999999999999E-2</v>
      </c>
      <c r="O17" s="1476">
        <f t="shared" si="71"/>
        <v>2.9300000000000003E-2</v>
      </c>
      <c r="P17" s="1476">
        <f t="shared" si="71"/>
        <v>4.5400000000000003E-2</v>
      </c>
      <c r="Q17" s="1476">
        <f t="shared" si="71"/>
        <v>1.4800000000000001E-2</v>
      </c>
      <c r="R17" s="1477"/>
      <c r="S17" s="1483">
        <f>B17/B18-1</f>
        <v>4.1203450408792808E-2</v>
      </c>
      <c r="T17" s="1484">
        <f>C17/C18-1</f>
        <v>2.6363977342465095E-2</v>
      </c>
      <c r="U17" s="1484">
        <f>E17/E18-1</f>
        <v>4.4837114298626357E-2</v>
      </c>
      <c r="V17" s="1484">
        <f>F17/F18-1</f>
        <v>1.7099954922538574E-2</v>
      </c>
      <c r="X17" s="1462">
        <f>ROUND(SUMPRODUCT(PRODUCT(1+N17:N$24)),4)</f>
        <v>1.1269</v>
      </c>
      <c r="Y17" s="1462">
        <f>ROUND(SUMPRODUCT(PRODUCT(1+O17:O$24)),4)</f>
        <v>1.1052999999999999</v>
      </c>
      <c r="Z17" s="1462">
        <f t="shared" si="0"/>
        <v>1.1052999999999999</v>
      </c>
      <c r="AA17" s="1462">
        <f>ROUND(SUMPRODUCT(PRODUCT(1+P17:P$24)),4)</f>
        <v>1.1349</v>
      </c>
      <c r="AB17" s="1462">
        <f>ROUND(SUMPRODUCT(PRODUCT(1+Q17:Q$24)),4)</f>
        <v>1.0996999999999999</v>
      </c>
      <c r="AD17" s="1463">
        <f>ROUND(AVERAGE(I17:I$25)/100,4)</f>
        <v>1.67E-2</v>
      </c>
      <c r="AE17" s="1463">
        <f>ROUND(AVERAGE(J17:J$25)/100,4)</f>
        <v>1.38E-2</v>
      </c>
      <c r="AF17" s="1463">
        <f t="shared" si="1"/>
        <v>1.38E-2</v>
      </c>
      <c r="AG17" s="1463">
        <f>ROUND(AVERAGE(K17:K$25)/100,4)</f>
        <v>1.7899999999999999E-2</v>
      </c>
      <c r="AH17" s="1463">
        <f>ROUND(AVERAGE(L17:L$25)/100,4)</f>
        <v>1.21E-2</v>
      </c>
    </row>
    <row r="18" spans="1:34" ht="13.5" thickBot="1">
      <c r="A18" s="1464" t="s">
        <v>151</v>
      </c>
      <c r="B18" s="1472">
        <v>333</v>
      </c>
      <c r="C18" s="1472">
        <v>277</v>
      </c>
      <c r="D18" s="1472">
        <f t="shared" si="74"/>
        <v>277</v>
      </c>
      <c r="E18" s="1472">
        <v>459</v>
      </c>
      <c r="F18" s="1473">
        <v>249</v>
      </c>
      <c r="G18" s="3355">
        <v>2015</v>
      </c>
      <c r="H18" s="1485">
        <v>4</v>
      </c>
      <c r="I18" s="1485">
        <v>1.63</v>
      </c>
      <c r="J18" s="1485">
        <v>1.1100000000000001</v>
      </c>
      <c r="K18" s="1485">
        <v>1.77</v>
      </c>
      <c r="L18" s="1486">
        <v>1.89</v>
      </c>
      <c r="N18" s="1487">
        <f t="shared" si="76"/>
        <v>1.6299999999999999E-2</v>
      </c>
      <c r="O18" s="1488">
        <f t="shared" si="71"/>
        <v>1.11E-2</v>
      </c>
      <c r="P18" s="1488">
        <f t="shared" si="71"/>
        <v>1.77E-2</v>
      </c>
      <c r="Q18" s="1488">
        <f t="shared" si="71"/>
        <v>1.89E-2</v>
      </c>
      <c r="R18" s="1477"/>
      <c r="X18" s="1462">
        <f>ROUND(SUMPRODUCT(PRODUCT(1+N18:N$24)),4)</f>
        <v>1.0826</v>
      </c>
      <c r="Y18" s="1462">
        <f>ROUND(SUMPRODUCT(PRODUCT(1+O18:O$24)),4)</f>
        <v>1.0738000000000001</v>
      </c>
      <c r="Z18" s="1462">
        <f t="shared" si="0"/>
        <v>1.0738000000000001</v>
      </c>
      <c r="AA18" s="1462">
        <f>ROUND(SUMPRODUCT(PRODUCT(1+P18:P$24)),4)</f>
        <v>1.0855999999999999</v>
      </c>
      <c r="AB18" s="1462">
        <f>ROUND(SUMPRODUCT(PRODUCT(1+Q18:Q$24)),4)</f>
        <v>1.0837000000000001</v>
      </c>
      <c r="AD18" s="1463">
        <f>ROUND(AVERAGE(I18:I$25)/100,4)</f>
        <v>1.37E-2</v>
      </c>
      <c r="AE18" s="1463">
        <f>ROUND(AVERAGE(J18:J$25)/100,4)</f>
        <v>1.1900000000000001E-2</v>
      </c>
      <c r="AF18" s="1463">
        <f t="shared" si="1"/>
        <v>1.1900000000000001E-2</v>
      </c>
      <c r="AG18" s="1463">
        <f>ROUND(AVERAGE(K18:K$25)/100,4)</f>
        <v>1.4500000000000001E-2</v>
      </c>
      <c r="AH18" s="1463">
        <f>ROUND(AVERAGE(L18:L$25)/100,4)</f>
        <v>1.18E-2</v>
      </c>
    </row>
    <row r="19" spans="1:34">
      <c r="A19" s="1464" t="s">
        <v>150</v>
      </c>
      <c r="B19" s="1480">
        <f t="shared" ref="B19:C21" si="77">B18/(1+N18)</f>
        <v>327.65915576109415</v>
      </c>
      <c r="C19" s="1480">
        <f t="shared" si="77"/>
        <v>273.95905449510434</v>
      </c>
      <c r="D19" s="1480">
        <f t="shared" si="74"/>
        <v>273.95905449510434</v>
      </c>
      <c r="E19" s="1480">
        <f t="shared" ref="E19:F21" si="78">E18/(1+P18)</f>
        <v>451.01699911565294</v>
      </c>
      <c r="F19" s="1480">
        <f t="shared" si="78"/>
        <v>244.38119540681129</v>
      </c>
      <c r="G19" s="3356"/>
      <c r="H19" s="1490">
        <v>3</v>
      </c>
      <c r="I19" s="1490">
        <v>1.65</v>
      </c>
      <c r="J19" s="1490">
        <v>0.92</v>
      </c>
      <c r="K19" s="1490">
        <v>1.88</v>
      </c>
      <c r="L19" s="1491">
        <v>1.26</v>
      </c>
      <c r="N19" s="1475">
        <f t="shared" si="76"/>
        <v>1.6500000000000001E-2</v>
      </c>
      <c r="O19" s="1492">
        <f t="shared" si="71"/>
        <v>9.1999999999999998E-3</v>
      </c>
      <c r="P19" s="1492">
        <f t="shared" si="71"/>
        <v>1.8799999999999997E-2</v>
      </c>
      <c r="Q19" s="1492">
        <f t="shared" si="71"/>
        <v>1.26E-2</v>
      </c>
      <c r="R19" s="1477"/>
      <c r="S19" s="1475"/>
      <c r="T19" s="1476"/>
      <c r="U19" s="1476"/>
      <c r="V19" s="1476"/>
      <c r="X19" s="1462">
        <f>ROUND(SUMPRODUCT(PRODUCT(1+N19:N$24)),4)</f>
        <v>1.0651999999999999</v>
      </c>
      <c r="Y19" s="1462">
        <f>ROUND(SUMPRODUCT(PRODUCT(1+O19:O$24)),4)</f>
        <v>1.0621</v>
      </c>
      <c r="Z19" s="1462">
        <f t="shared" si="0"/>
        <v>1.0621</v>
      </c>
      <c r="AA19" s="1462">
        <f>ROUND(SUMPRODUCT(PRODUCT(1+P19:P$24)),4)</f>
        <v>1.0668</v>
      </c>
      <c r="AB19" s="1462">
        <f>ROUND(SUMPRODUCT(PRODUCT(1+Q19:Q$24)),4)</f>
        <v>1.0636000000000001</v>
      </c>
      <c r="AD19" s="1463">
        <f>ROUND(AVERAGE(I19:I$25)/100,4)</f>
        <v>1.3299999999999999E-2</v>
      </c>
      <c r="AE19" s="1463">
        <f>ROUND(AVERAGE(J19:J$25)/100,4)</f>
        <v>1.2E-2</v>
      </c>
      <c r="AF19" s="1463">
        <f t="shared" si="1"/>
        <v>1.2E-2</v>
      </c>
      <c r="AG19" s="1463">
        <f>ROUND(AVERAGE(K19:K$25)/100,4)</f>
        <v>1.4E-2</v>
      </c>
      <c r="AH19" s="1463">
        <f>ROUND(AVERAGE(L19:L$25)/100,4)</f>
        <v>1.0800000000000001E-2</v>
      </c>
    </row>
    <row r="20" spans="1:34">
      <c r="A20" s="1464" t="s">
        <v>149</v>
      </c>
      <c r="B20" s="1480">
        <f t="shared" si="77"/>
        <v>322.34053690220776</v>
      </c>
      <c r="C20" s="1480">
        <f t="shared" si="77"/>
        <v>271.46160770422546</v>
      </c>
      <c r="D20" s="1480">
        <f t="shared" si="74"/>
        <v>271.46160770422546</v>
      </c>
      <c r="E20" s="1480">
        <f t="shared" si="78"/>
        <v>442.69434542172456</v>
      </c>
      <c r="F20" s="1480">
        <f t="shared" si="78"/>
        <v>241.34030753190925</v>
      </c>
      <c r="G20" s="3356"/>
      <c r="H20" s="1468">
        <v>2</v>
      </c>
      <c r="I20" s="1468">
        <v>0.77</v>
      </c>
      <c r="J20" s="1468">
        <v>0.69</v>
      </c>
      <c r="K20" s="1468">
        <v>0.8</v>
      </c>
      <c r="L20" s="1482">
        <v>0.88</v>
      </c>
      <c r="N20" s="1475">
        <f t="shared" si="76"/>
        <v>7.7000000000000002E-3</v>
      </c>
      <c r="O20" s="1492">
        <f t="shared" si="71"/>
        <v>6.8999999999999999E-3</v>
      </c>
      <c r="P20" s="1492">
        <f t="shared" si="71"/>
        <v>8.0000000000000002E-3</v>
      </c>
      <c r="Q20" s="1492">
        <f t="shared" si="71"/>
        <v>8.8000000000000005E-3</v>
      </c>
      <c r="R20" s="1477"/>
      <c r="S20" s="1475"/>
      <c r="T20" s="1476"/>
      <c r="U20" s="1476"/>
      <c r="V20" s="1476"/>
      <c r="X20" s="1462">
        <f>ROUND(SUMPRODUCT(PRODUCT(1+N20:N$24)),4)</f>
        <v>1.048</v>
      </c>
      <c r="Y20" s="1462">
        <f>ROUND(SUMPRODUCT(PRODUCT(1+O20:O$24)),4)</f>
        <v>1.0524</v>
      </c>
      <c r="Z20" s="1462">
        <f t="shared" si="0"/>
        <v>1.0524</v>
      </c>
      <c r="AA20" s="1462">
        <f>ROUND(SUMPRODUCT(PRODUCT(1+P20:P$24)),4)</f>
        <v>1.0470999999999999</v>
      </c>
      <c r="AB20" s="1462">
        <f>ROUND(SUMPRODUCT(PRODUCT(1+Q20:Q$24)),4)</f>
        <v>1.0504</v>
      </c>
      <c r="AD20" s="1463">
        <f>ROUND(AVERAGE(I20:I$25)/100,4)</f>
        <v>1.2800000000000001E-2</v>
      </c>
      <c r="AE20" s="1463">
        <f>ROUND(AVERAGE(J20:J$25)/100,4)</f>
        <v>1.2500000000000001E-2</v>
      </c>
      <c r="AF20" s="1463">
        <f t="shared" si="1"/>
        <v>1.2500000000000001E-2</v>
      </c>
      <c r="AG20" s="1463">
        <f>ROUND(AVERAGE(K20:K$25)/100,4)</f>
        <v>1.32E-2</v>
      </c>
      <c r="AH20" s="1463">
        <f>ROUND(AVERAGE(L20:L$25)/100,4)</f>
        <v>1.0500000000000001E-2</v>
      </c>
    </row>
    <row r="21" spans="1:34">
      <c r="A21" s="1464" t="s">
        <v>148</v>
      </c>
      <c r="B21" s="1480">
        <f t="shared" si="77"/>
        <v>319.87748030386797</v>
      </c>
      <c r="C21" s="1480">
        <f t="shared" si="77"/>
        <v>269.60135833173649</v>
      </c>
      <c r="D21" s="1480">
        <f t="shared" si="74"/>
        <v>269.60135833173649</v>
      </c>
      <c r="E21" s="1480">
        <f t="shared" si="78"/>
        <v>439.18089823583784</v>
      </c>
      <c r="F21" s="1480">
        <f t="shared" si="78"/>
        <v>239.23503918706311</v>
      </c>
      <c r="G21" s="3357"/>
      <c r="H21" s="1467">
        <v>1</v>
      </c>
      <c r="I21" s="1467">
        <v>0.51</v>
      </c>
      <c r="J21" s="1467">
        <v>0.54</v>
      </c>
      <c r="K21" s="1467">
        <v>0.48</v>
      </c>
      <c r="L21" s="1481">
        <v>0.93</v>
      </c>
      <c r="N21" s="1483">
        <f t="shared" si="76"/>
        <v>5.1000000000000004E-3</v>
      </c>
      <c r="O21" s="1484">
        <f t="shared" si="71"/>
        <v>5.4000000000000003E-3</v>
      </c>
      <c r="P21" s="1484">
        <f t="shared" si="71"/>
        <v>4.7999999999999996E-3</v>
      </c>
      <c r="Q21" s="1484">
        <f t="shared" si="71"/>
        <v>9.300000000000001E-3</v>
      </c>
      <c r="R21" s="1477"/>
      <c r="S21" s="1483">
        <f>B21/B22-1</f>
        <v>5.9040261127922822E-3</v>
      </c>
      <c r="T21" s="1484">
        <f>C21/C22-1</f>
        <v>5.9752176557332781E-3</v>
      </c>
      <c r="U21" s="1484">
        <f>E21/E22-1</f>
        <v>4.9906138119859556E-3</v>
      </c>
      <c r="V21" s="1484">
        <f>F21/F22-1</f>
        <v>9.4305450930933787E-3</v>
      </c>
      <c r="X21" s="1462">
        <f>ROUND(SUMPRODUCT(PRODUCT(1+N21:N$24)),4)</f>
        <v>1.0399</v>
      </c>
      <c r="Y21" s="1462">
        <f>ROUND(SUMPRODUCT(PRODUCT(1+O21:O$24)),4)</f>
        <v>1.0451999999999999</v>
      </c>
      <c r="Z21" s="1462">
        <f t="shared" si="0"/>
        <v>1.0451999999999999</v>
      </c>
      <c r="AA21" s="1462">
        <f>ROUND(SUMPRODUCT(PRODUCT(1+P21:P$24)),4)</f>
        <v>1.0387999999999999</v>
      </c>
      <c r="AB21" s="1462">
        <f>ROUND(SUMPRODUCT(PRODUCT(1+Q21:Q$24)),4)</f>
        <v>1.0411999999999999</v>
      </c>
      <c r="AD21" s="1463">
        <f>ROUND(AVERAGE(I21:I$25)/100,4)</f>
        <v>1.38E-2</v>
      </c>
      <c r="AE21" s="1463">
        <f>ROUND(AVERAGE(J21:J$25)/100,4)</f>
        <v>1.3599999999999999E-2</v>
      </c>
      <c r="AF21" s="1463">
        <f t="shared" si="1"/>
        <v>1.3599999999999999E-2</v>
      </c>
      <c r="AG21" s="1463">
        <f>ROUND(AVERAGE(K21:K$25)/100,4)</f>
        <v>1.4200000000000001E-2</v>
      </c>
      <c r="AH21" s="1463">
        <f>ROUND(AVERAGE(L21:L$25)/100,4)</f>
        <v>1.0800000000000001E-2</v>
      </c>
    </row>
    <row r="22" spans="1:34" ht="13.5" thickBot="1">
      <c r="A22" s="1464" t="s">
        <v>147</v>
      </c>
      <c r="B22" s="1493">
        <v>318</v>
      </c>
      <c r="C22" s="1493">
        <v>268</v>
      </c>
      <c r="D22" s="1493">
        <f t="shared" si="74"/>
        <v>268</v>
      </c>
      <c r="E22" s="1493">
        <v>437</v>
      </c>
      <c r="F22" s="1494">
        <v>237</v>
      </c>
      <c r="G22" s="3355">
        <v>2014</v>
      </c>
      <c r="H22" s="1485">
        <v>4</v>
      </c>
      <c r="I22" s="1485">
        <v>0.21</v>
      </c>
      <c r="J22" s="1485">
        <v>0.41</v>
      </c>
      <c r="K22" s="1485">
        <v>0.12</v>
      </c>
      <c r="L22" s="1486">
        <v>0.89</v>
      </c>
      <c r="N22" s="1475">
        <f t="shared" si="76"/>
        <v>2.0999999999999999E-3</v>
      </c>
      <c r="O22" s="1476">
        <f t="shared" si="71"/>
        <v>4.0999999999999995E-3</v>
      </c>
      <c r="P22" s="1476">
        <f t="shared" si="71"/>
        <v>1.1999999999999999E-3</v>
      </c>
      <c r="Q22" s="1476">
        <f t="shared" si="71"/>
        <v>8.8999999999999999E-3</v>
      </c>
      <c r="R22" s="1477"/>
      <c r="S22" s="1478"/>
      <c r="T22" s="1479"/>
      <c r="U22" s="1479"/>
      <c r="V22" s="1479"/>
      <c r="X22" s="1462">
        <f>ROUND(SUMPRODUCT(PRODUCT(1+N22:N$24)),4)</f>
        <v>1.0347</v>
      </c>
      <c r="Y22" s="1462">
        <f>ROUND(SUMPRODUCT(PRODUCT(1+O22:O$24)),4)</f>
        <v>1.0395000000000001</v>
      </c>
      <c r="Z22" s="1462">
        <f t="shared" si="0"/>
        <v>1.0395000000000001</v>
      </c>
      <c r="AA22" s="1462">
        <f>ROUND(SUMPRODUCT(PRODUCT(1+P22:P$24)),4)</f>
        <v>1.0338000000000001</v>
      </c>
      <c r="AB22" s="1462">
        <f>ROUND(SUMPRODUCT(PRODUCT(1+Q22:Q$24)),4)</f>
        <v>1.0316000000000001</v>
      </c>
      <c r="AD22" s="1463">
        <f>ROUND(AVERAGE(I22:I$25)/100,4)</f>
        <v>1.6E-2</v>
      </c>
      <c r="AE22" s="1463">
        <f>ROUND(AVERAGE(J22:J$25)/100,4)</f>
        <v>1.5599999999999999E-2</v>
      </c>
      <c r="AF22" s="1463">
        <f t="shared" si="1"/>
        <v>1.5599999999999999E-2</v>
      </c>
      <c r="AG22" s="1463">
        <f>ROUND(AVERAGE(K22:K$25)/100,4)</f>
        <v>1.66E-2</v>
      </c>
      <c r="AH22" s="1463">
        <f>ROUND(AVERAGE(L22:L$25)/100,4)</f>
        <v>1.12E-2</v>
      </c>
    </row>
    <row r="23" spans="1:34">
      <c r="A23" s="1464" t="s">
        <v>146</v>
      </c>
      <c r="B23" s="1480">
        <f t="shared" ref="B23:C25" si="79">B22/(1+N22)</f>
        <v>317.33359944117353</v>
      </c>
      <c r="C23" s="1480">
        <f t="shared" si="79"/>
        <v>266.90568668459315</v>
      </c>
      <c r="D23" s="1480">
        <f t="shared" si="74"/>
        <v>266.90568668459315</v>
      </c>
      <c r="E23" s="1480">
        <f t="shared" ref="E23:F25" si="80">E22/(1+P22)</f>
        <v>436.47622852576905</v>
      </c>
      <c r="F23" s="1480">
        <f t="shared" si="80"/>
        <v>234.90930716622066</v>
      </c>
      <c r="G23" s="3356"/>
      <c r="H23" s="1495">
        <v>3</v>
      </c>
      <c r="I23" s="1495">
        <v>0.83</v>
      </c>
      <c r="J23" s="1495">
        <v>1.47</v>
      </c>
      <c r="K23" s="1495">
        <v>0.65</v>
      </c>
      <c r="L23" s="1496">
        <v>0.72</v>
      </c>
      <c r="N23" s="1475">
        <f t="shared" si="76"/>
        <v>8.3000000000000001E-3</v>
      </c>
      <c r="O23" s="1476">
        <f t="shared" si="71"/>
        <v>1.47E-2</v>
      </c>
      <c r="P23" s="1476">
        <f t="shared" si="71"/>
        <v>6.5000000000000006E-3</v>
      </c>
      <c r="Q23" s="1476">
        <f t="shared" si="71"/>
        <v>7.1999999999999998E-3</v>
      </c>
      <c r="R23" s="1477"/>
      <c r="S23" s="1475"/>
      <c r="T23" s="1476"/>
      <c r="U23" s="1476"/>
      <c r="V23" s="1476"/>
      <c r="X23" s="1462">
        <f>ROUND(SUMPRODUCT(PRODUCT(1+N23:N$24)),4)</f>
        <v>1.0325</v>
      </c>
      <c r="Y23" s="1462">
        <f>ROUND(SUMPRODUCT(PRODUCT(1+O23:O$24)),4)</f>
        <v>1.0353000000000001</v>
      </c>
      <c r="Z23" s="1462">
        <f t="shared" ref="Z23:Z24" si="81">Y23</f>
        <v>1.0353000000000001</v>
      </c>
      <c r="AA23" s="1462">
        <f>ROUND(SUMPRODUCT(PRODUCT(1+P23:P$24)),4)</f>
        <v>1.0326</v>
      </c>
      <c r="AB23" s="1462">
        <f>ROUND(SUMPRODUCT(PRODUCT(1+Q23:Q$24)),4)</f>
        <v>1.0225</v>
      </c>
      <c r="AD23" s="1463">
        <f>ROUND(AVERAGE(I23:I$25)/100,4)</f>
        <v>2.07E-2</v>
      </c>
      <c r="AE23" s="1463">
        <f>ROUND(AVERAGE(J23:J$25)/100,4)</f>
        <v>1.95E-2</v>
      </c>
      <c r="AF23" s="1463">
        <f t="shared" si="1"/>
        <v>1.95E-2</v>
      </c>
      <c r="AG23" s="1463">
        <f>ROUND(AVERAGE(K23:K$25)/100,4)</f>
        <v>2.1700000000000001E-2</v>
      </c>
      <c r="AH23" s="1463">
        <f>ROUND(AVERAGE(L23:L$25)/100,4)</f>
        <v>1.2E-2</v>
      </c>
    </row>
    <row r="24" spans="1:34" ht="13.5" thickBot="1">
      <c r="A24" s="1464" t="s">
        <v>145</v>
      </c>
      <c r="B24" s="1480">
        <f t="shared" si="79"/>
        <v>314.72141172386546</v>
      </c>
      <c r="C24" s="1480">
        <f t="shared" si="79"/>
        <v>263.03901319069001</v>
      </c>
      <c r="D24" s="1480">
        <f t="shared" si="74"/>
        <v>263.03901319069001</v>
      </c>
      <c r="E24" s="1480">
        <f t="shared" si="80"/>
        <v>433.65745506782821</v>
      </c>
      <c r="F24" s="1480">
        <f t="shared" si="80"/>
        <v>233.23005080045735</v>
      </c>
      <c r="G24" s="3356"/>
      <c r="H24" s="1485">
        <v>2</v>
      </c>
      <c r="I24" s="1485">
        <v>2.4</v>
      </c>
      <c r="J24" s="1485">
        <v>2.0299999999999998</v>
      </c>
      <c r="K24" s="1485">
        <v>2.59</v>
      </c>
      <c r="L24" s="1486">
        <v>1.52</v>
      </c>
      <c r="N24" s="1475">
        <f t="shared" si="76"/>
        <v>2.4E-2</v>
      </c>
      <c r="O24" s="1476">
        <f t="shared" si="71"/>
        <v>2.0299999999999999E-2</v>
      </c>
      <c r="P24" s="1476">
        <f t="shared" si="71"/>
        <v>2.5899999999999999E-2</v>
      </c>
      <c r="Q24" s="1476">
        <f t="shared" si="71"/>
        <v>1.52E-2</v>
      </c>
      <c r="R24" s="1477"/>
      <c r="S24" s="1475"/>
      <c r="T24" s="1476"/>
      <c r="U24" s="1476"/>
      <c r="V24" s="1476"/>
      <c r="X24" s="1462">
        <f>1+N24</f>
        <v>1.024</v>
      </c>
      <c r="Y24" s="1462">
        <f>1+O24</f>
        <v>1.0203</v>
      </c>
      <c r="Z24" s="1462">
        <f t="shared" si="81"/>
        <v>1.0203</v>
      </c>
      <c r="AA24" s="1462">
        <f>1+P24</f>
        <v>1.0259</v>
      </c>
      <c r="AB24" s="1462">
        <f>1+Q24</f>
        <v>1.0152000000000001</v>
      </c>
      <c r="AD24" s="1463">
        <f>ROUND(AVERAGE(I24:I$25)/100,4)</f>
        <v>2.69E-2</v>
      </c>
      <c r="AE24" s="1463">
        <f>ROUND(AVERAGE(J24:J$25)/100,4)</f>
        <v>2.1899999999999999E-2</v>
      </c>
      <c r="AF24" s="1463">
        <f t="shared" ref="AF24" si="82">AE24</f>
        <v>2.1899999999999999E-2</v>
      </c>
      <c r="AG24" s="1463">
        <f>ROUND(AVERAGE(K24:K$25)/100,4)</f>
        <v>2.9399999999999999E-2</v>
      </c>
      <c r="AH24" s="1463">
        <f>ROUND(AVERAGE(L24:L$25)/100,4)</f>
        <v>1.44E-2</v>
      </c>
    </row>
    <row r="25" spans="1:34" s="1501" customFormat="1" ht="13.5" thickBot="1">
      <c r="A25" s="1497" t="s">
        <v>144</v>
      </c>
      <c r="B25" s="1498">
        <f t="shared" si="79"/>
        <v>307.34512863658733</v>
      </c>
      <c r="C25" s="1498">
        <f t="shared" si="79"/>
        <v>257.80556031626975</v>
      </c>
      <c r="D25" s="1498">
        <f t="shared" si="74"/>
        <v>257.80556031626975</v>
      </c>
      <c r="E25" s="1498">
        <f t="shared" si="80"/>
        <v>422.70928459677179</v>
      </c>
      <c r="F25" s="1498">
        <f t="shared" si="80"/>
        <v>229.73803270336617</v>
      </c>
      <c r="G25" s="3357"/>
      <c r="H25" s="1499">
        <v>1</v>
      </c>
      <c r="I25" s="1499">
        <v>2.97</v>
      </c>
      <c r="J25" s="1499">
        <v>2.34</v>
      </c>
      <c r="K25" s="1499">
        <v>3.28</v>
      </c>
      <c r="L25" s="1500">
        <v>1.36</v>
      </c>
      <c r="N25" s="1502">
        <f t="shared" si="76"/>
        <v>2.9700000000000001E-2</v>
      </c>
      <c r="O25" s="1503">
        <f t="shared" si="71"/>
        <v>2.3399999999999997E-2</v>
      </c>
      <c r="P25" s="1503">
        <f t="shared" si="71"/>
        <v>3.2799999999999996E-2</v>
      </c>
      <c r="Q25" s="1503">
        <f t="shared" si="71"/>
        <v>1.3600000000000001E-2</v>
      </c>
      <c r="R25" s="1504"/>
      <c r="S25" s="1505">
        <f>B25/B26-1</f>
        <v>2.7910129219355539E-2</v>
      </c>
      <c r="T25" s="1506">
        <f>C25/C26-1</f>
        <v>2.3037937762975247E-2</v>
      </c>
      <c r="U25" s="1506">
        <f>E25/E26-1</f>
        <v>3.3519033243940788E-2</v>
      </c>
      <c r="V25" s="1506">
        <f>F25/F26-1</f>
        <v>1.2061818076502862E-2</v>
      </c>
      <c r="W25" s="1507" t="s">
        <v>1158</v>
      </c>
      <c r="X25" s="1508">
        <v>1</v>
      </c>
      <c r="Y25" s="1508">
        <v>1</v>
      </c>
      <c r="Z25" s="1508">
        <v>1</v>
      </c>
      <c r="AA25" s="1508">
        <v>1</v>
      </c>
      <c r="AB25" s="1508">
        <v>1</v>
      </c>
      <c r="AD25" s="1730">
        <f>I25/100</f>
        <v>2.9700000000000001E-2</v>
      </c>
      <c r="AE25" s="1730">
        <f>J25/100</f>
        <v>2.3399999999999997E-2</v>
      </c>
      <c r="AF25" s="1730">
        <f>AE25</f>
        <v>2.3399999999999997E-2</v>
      </c>
      <c r="AG25" s="1730">
        <f>K25/100</f>
        <v>3.2799999999999996E-2</v>
      </c>
      <c r="AH25" s="1730">
        <f>L25/100</f>
        <v>1.3600000000000001E-2</v>
      </c>
    </row>
    <row r="26" spans="1:34" ht="13.5" thickBot="1">
      <c r="A26" s="1464" t="s">
        <v>1159</v>
      </c>
      <c r="B26" s="1472">
        <v>299</v>
      </c>
      <c r="C26" s="1472">
        <v>252</v>
      </c>
      <c r="D26" s="1472">
        <f t="shared" si="74"/>
        <v>252</v>
      </c>
      <c r="E26" s="1472">
        <v>409</v>
      </c>
      <c r="F26" s="1473">
        <v>227</v>
      </c>
      <c r="G26" s="3362">
        <v>2013</v>
      </c>
      <c r="H26" s="1509">
        <v>4</v>
      </c>
      <c r="I26" s="1509">
        <v>1.83</v>
      </c>
      <c r="J26" s="1509">
        <v>1.68</v>
      </c>
      <c r="K26" s="1509">
        <v>1.97</v>
      </c>
      <c r="L26" s="1510">
        <v>0.87</v>
      </c>
      <c r="N26" s="1487">
        <f t="shared" si="76"/>
        <v>1.83E-2</v>
      </c>
      <c r="O26" s="1488">
        <f t="shared" si="71"/>
        <v>1.6799999999999999E-2</v>
      </c>
      <c r="P26" s="1488">
        <f t="shared" si="71"/>
        <v>1.9699999999999999E-2</v>
      </c>
      <c r="Q26" s="1488">
        <f t="shared" si="71"/>
        <v>8.6999999999999994E-3</v>
      </c>
      <c r="R26" s="1477"/>
      <c r="S26" s="1478"/>
      <c r="T26" s="1479"/>
      <c r="U26" s="1479"/>
      <c r="V26" s="1479"/>
      <c r="X26" s="1479"/>
      <c r="Y26" s="1479"/>
      <c r="Z26" s="1479"/>
    </row>
    <row r="27" spans="1:34">
      <c r="A27" s="1464" t="s">
        <v>1160</v>
      </c>
      <c r="B27" s="1480">
        <f t="shared" ref="B27:C29" si="83">B26/(1+N26)</f>
        <v>293.62663262299913</v>
      </c>
      <c r="C27" s="1480">
        <f t="shared" si="83"/>
        <v>247.83634933123525</v>
      </c>
      <c r="D27" s="1480">
        <f t="shared" si="74"/>
        <v>247.83634933123525</v>
      </c>
      <c r="E27" s="1480">
        <f t="shared" ref="E27:F29" si="84">E26/(1+P26)</f>
        <v>401.09836226341076</v>
      </c>
      <c r="F27" s="1480">
        <f t="shared" si="84"/>
        <v>225.04213343908003</v>
      </c>
      <c r="G27" s="3363"/>
      <c r="H27" s="1490">
        <v>3</v>
      </c>
      <c r="I27" s="1490">
        <v>1.86</v>
      </c>
      <c r="J27" s="1490">
        <v>1.72</v>
      </c>
      <c r="K27" s="1490">
        <v>1.98</v>
      </c>
      <c r="L27" s="1491">
        <v>0.88</v>
      </c>
      <c r="N27" s="1475">
        <f t="shared" si="76"/>
        <v>1.8600000000000002E-2</v>
      </c>
      <c r="O27" s="1492">
        <f t="shared" si="71"/>
        <v>1.72E-2</v>
      </c>
      <c r="P27" s="1492">
        <f t="shared" si="71"/>
        <v>1.9799999999999998E-2</v>
      </c>
      <c r="Q27" s="1492">
        <f t="shared" si="71"/>
        <v>8.8000000000000005E-3</v>
      </c>
      <c r="R27" s="1477"/>
      <c r="S27" s="1475"/>
      <c r="T27" s="1476"/>
      <c r="U27" s="1476"/>
      <c r="V27" s="1476"/>
    </row>
    <row r="28" spans="1:34">
      <c r="A28" s="1464" t="s">
        <v>1161</v>
      </c>
      <c r="B28" s="1480">
        <f t="shared" si="83"/>
        <v>288.2649053828776</v>
      </c>
      <c r="C28" s="1480">
        <f t="shared" si="83"/>
        <v>243.64564425013293</v>
      </c>
      <c r="D28" s="1480">
        <f t="shared" si="74"/>
        <v>243.64564425013293</v>
      </c>
      <c r="E28" s="1480">
        <f t="shared" si="84"/>
        <v>393.31080825986544</v>
      </c>
      <c r="F28" s="1480">
        <f t="shared" si="84"/>
        <v>223.07903790551154</v>
      </c>
      <c r="G28" s="3363"/>
      <c r="H28" s="1468">
        <v>2</v>
      </c>
      <c r="I28" s="1468">
        <v>2.04</v>
      </c>
      <c r="J28" s="1468">
        <v>2.33</v>
      </c>
      <c r="K28" s="1468">
        <v>2.0699999999999998</v>
      </c>
      <c r="L28" s="1482">
        <v>0.69</v>
      </c>
      <c r="N28" s="1475">
        <f t="shared" si="76"/>
        <v>2.0400000000000001E-2</v>
      </c>
      <c r="O28" s="1492">
        <f t="shared" si="71"/>
        <v>2.3300000000000001E-2</v>
      </c>
      <c r="P28" s="1492">
        <f t="shared" si="71"/>
        <v>2.07E-2</v>
      </c>
      <c r="Q28" s="1492">
        <f t="shared" si="71"/>
        <v>6.8999999999999999E-3</v>
      </c>
      <c r="R28" s="1477"/>
      <c r="S28" s="1475"/>
      <c r="T28" s="1476"/>
      <c r="U28" s="1476"/>
      <c r="V28" s="1476"/>
      <c r="X28" s="1511"/>
      <c r="Y28" s="1512"/>
    </row>
    <row r="29" spans="1:34">
      <c r="A29" s="1464" t="s">
        <v>1162</v>
      </c>
      <c r="B29" s="1480">
        <f t="shared" si="83"/>
        <v>282.50186729015837</v>
      </c>
      <c r="C29" s="1480">
        <f t="shared" si="83"/>
        <v>238.09796174155468</v>
      </c>
      <c r="D29" s="1480">
        <f t="shared" si="74"/>
        <v>238.09796174155468</v>
      </c>
      <c r="E29" s="1480">
        <f t="shared" si="84"/>
        <v>385.33438646014054</v>
      </c>
      <c r="F29" s="1480">
        <f t="shared" si="84"/>
        <v>221.55034055567739</v>
      </c>
      <c r="G29" s="3364"/>
      <c r="H29" s="1467">
        <v>1</v>
      </c>
      <c r="I29" s="1467">
        <v>1.67</v>
      </c>
      <c r="J29" s="1467">
        <v>1.31</v>
      </c>
      <c r="K29" s="1467">
        <v>1.85</v>
      </c>
      <c r="L29" s="1481">
        <v>0.96</v>
      </c>
      <c r="N29" s="1483">
        <f t="shared" si="76"/>
        <v>1.67E-2</v>
      </c>
      <c r="O29" s="1484">
        <f t="shared" si="76"/>
        <v>1.3100000000000001E-2</v>
      </c>
      <c r="P29" s="1484">
        <f t="shared" si="76"/>
        <v>1.8500000000000003E-2</v>
      </c>
      <c r="Q29" s="1484">
        <f t="shared" si="76"/>
        <v>9.5999999999999992E-3</v>
      </c>
      <c r="R29" s="1477"/>
      <c r="S29" s="1483">
        <f>B29/B30-1</f>
        <v>1.6193767230785472E-2</v>
      </c>
      <c r="T29" s="1484">
        <f>C29/C30-1</f>
        <v>1.7512657015190891E-2</v>
      </c>
      <c r="U29" s="1484">
        <f>E29/E30-1</f>
        <v>1.6713420739157048E-2</v>
      </c>
      <c r="V29" s="1484">
        <f>F29/F30-1</f>
        <v>7.0470025258062563E-3</v>
      </c>
      <c r="X29" s="1513"/>
      <c r="Y29" s="1463"/>
      <c r="Z29" s="1463"/>
    </row>
    <row r="30" spans="1:34" ht="13.5" thickBot="1">
      <c r="A30" s="1464" t="s">
        <v>1163</v>
      </c>
      <c r="B30" s="1514">
        <v>278</v>
      </c>
      <c r="C30" s="1514">
        <v>234</v>
      </c>
      <c r="D30" s="1514">
        <f t="shared" si="74"/>
        <v>234</v>
      </c>
      <c r="E30" s="1514">
        <v>379</v>
      </c>
      <c r="F30" s="1515">
        <v>220</v>
      </c>
      <c r="G30" s="3355">
        <v>2012</v>
      </c>
      <c r="H30" s="1485">
        <v>4</v>
      </c>
      <c r="I30" s="1485">
        <v>0.91</v>
      </c>
      <c r="J30" s="1485">
        <v>0.68</v>
      </c>
      <c r="K30" s="1485">
        <v>0.98</v>
      </c>
      <c r="L30" s="1486">
        <v>0.9</v>
      </c>
      <c r="N30" s="1475">
        <f t="shared" si="76"/>
        <v>9.1000000000000004E-3</v>
      </c>
      <c r="O30" s="1476">
        <f t="shared" si="76"/>
        <v>6.8000000000000005E-3</v>
      </c>
      <c r="P30" s="1476">
        <f t="shared" si="76"/>
        <v>9.7999999999999997E-3</v>
      </c>
      <c r="Q30" s="1476">
        <f t="shared" si="76"/>
        <v>9.0000000000000011E-3</v>
      </c>
      <c r="R30" s="1477"/>
      <c r="S30" s="1478"/>
      <c r="T30" s="1479"/>
      <c r="U30" s="1479"/>
      <c r="V30" s="1479"/>
      <c r="X30" s="1479"/>
      <c r="Y30" s="1479"/>
      <c r="Z30" s="1479"/>
    </row>
    <row r="31" spans="1:34">
      <c r="A31" s="1464" t="s">
        <v>1164</v>
      </c>
      <c r="B31" s="1480">
        <f>B30/(1+N30)</f>
        <v>275.49301357645425</v>
      </c>
      <c r="C31" s="1480">
        <f>C30/(1+O30)</f>
        <v>232.41954707985698</v>
      </c>
      <c r="D31" s="1480">
        <f t="shared" si="74"/>
        <v>232.41954707985698</v>
      </c>
      <c r="E31" s="1480">
        <f t="shared" ref="E31:F33" si="85">E30/(1+P30)</f>
        <v>375.32184591008121</v>
      </c>
      <c r="F31" s="1480">
        <f t="shared" si="85"/>
        <v>218.03766105054513</v>
      </c>
      <c r="G31" s="3356"/>
      <c r="H31" s="1490">
        <v>3</v>
      </c>
      <c r="I31" s="1490">
        <v>0.09</v>
      </c>
      <c r="J31" s="1490">
        <v>0.28999999999999998</v>
      </c>
      <c r="K31" s="1490">
        <v>-0.01</v>
      </c>
      <c r="L31" s="1491">
        <v>0.57999999999999996</v>
      </c>
      <c r="N31" s="1475">
        <f t="shared" si="76"/>
        <v>8.9999999999999998E-4</v>
      </c>
      <c r="O31" s="1476">
        <f t="shared" si="76"/>
        <v>2.8999999999999998E-3</v>
      </c>
      <c r="P31" s="1476">
        <f t="shared" si="76"/>
        <v>-1E-4</v>
      </c>
      <c r="Q31" s="1476">
        <f t="shared" si="76"/>
        <v>5.7999999999999996E-3</v>
      </c>
      <c r="R31" s="1477"/>
      <c r="S31" s="1475"/>
      <c r="T31" s="1476"/>
      <c r="U31" s="1476"/>
      <c r="V31" s="1476"/>
    </row>
    <row r="32" spans="1:34">
      <c r="A32" s="1464" t="s">
        <v>1165</v>
      </c>
      <c r="B32" s="1480">
        <f>B31/(1+N31)</f>
        <v>275.24529281292263</v>
      </c>
      <c r="C32" s="1480">
        <f>C31/(1+O31)</f>
        <v>231.74747938962707</v>
      </c>
      <c r="D32" s="1480">
        <f t="shared" si="74"/>
        <v>231.74747938962707</v>
      </c>
      <c r="E32" s="1480">
        <f t="shared" si="85"/>
        <v>375.35938184826603</v>
      </c>
      <c r="F32" s="1480">
        <f t="shared" si="85"/>
        <v>216.78033510692495</v>
      </c>
      <c r="G32" s="3356"/>
      <c r="H32" s="1468">
        <v>2</v>
      </c>
      <c r="I32" s="1468">
        <v>0.02</v>
      </c>
      <c r="J32" s="1468">
        <v>0.12</v>
      </c>
      <c r="K32" s="1468">
        <v>-0.08</v>
      </c>
      <c r="L32" s="1482">
        <v>1.24</v>
      </c>
      <c r="N32" s="1475">
        <f t="shared" si="76"/>
        <v>2.0000000000000001E-4</v>
      </c>
      <c r="O32" s="1476">
        <f t="shared" si="76"/>
        <v>1.1999999999999999E-3</v>
      </c>
      <c r="P32" s="1476">
        <f t="shared" si="76"/>
        <v>-8.0000000000000004E-4</v>
      </c>
      <c r="Q32" s="1476">
        <f t="shared" si="76"/>
        <v>1.24E-2</v>
      </c>
      <c r="R32" s="1477"/>
      <c r="S32" s="1475"/>
      <c r="T32" s="1476"/>
      <c r="U32" s="1476"/>
      <c r="V32" s="1476"/>
    </row>
    <row r="33" spans="1:26" ht="13.5" thickBot="1">
      <c r="A33" s="1464" t="s">
        <v>1166</v>
      </c>
      <c r="B33" s="1480">
        <f>B32/(1+N32)</f>
        <v>275.19025476197027</v>
      </c>
      <c r="C33" s="1516">
        <v>232</v>
      </c>
      <c r="D33" s="1516">
        <f t="shared" si="74"/>
        <v>232</v>
      </c>
      <c r="E33" s="1480">
        <f t="shared" si="85"/>
        <v>375.65990977608692</v>
      </c>
      <c r="F33" s="1480">
        <f t="shared" si="85"/>
        <v>214.12518283971252</v>
      </c>
      <c r="G33" s="3357"/>
      <c r="H33" s="1467">
        <v>1</v>
      </c>
      <c r="I33" s="1467">
        <v>0.02</v>
      </c>
      <c r="J33" s="1467">
        <v>0.13</v>
      </c>
      <c r="K33" s="1467">
        <v>-0.04</v>
      </c>
      <c r="L33" s="1481">
        <v>0.46</v>
      </c>
      <c r="N33" s="1475">
        <f t="shared" si="76"/>
        <v>2.0000000000000001E-4</v>
      </c>
      <c r="O33" s="1476">
        <f t="shared" si="76"/>
        <v>1.2999999999999999E-3</v>
      </c>
      <c r="P33" s="1476">
        <f t="shared" si="76"/>
        <v>-4.0000000000000002E-4</v>
      </c>
      <c r="Q33" s="1476">
        <f t="shared" si="76"/>
        <v>4.5999999999999999E-3</v>
      </c>
      <c r="R33" s="1477"/>
      <c r="S33" s="1483">
        <f>B33/B34-1</f>
        <v>6.9183549807361189E-4</v>
      </c>
      <c r="T33" s="1484">
        <f>C33/C34-1</f>
        <v>0</v>
      </c>
      <c r="U33" s="1484">
        <f>E33/E34-1</f>
        <v>-9.0449527636460303E-4</v>
      </c>
      <c r="V33" s="1484">
        <f>F33/F34-1</f>
        <v>5.2825485432512753E-3</v>
      </c>
      <c r="X33" s="1463"/>
      <c r="Y33" s="1463"/>
      <c r="Z33" s="1463"/>
    </row>
    <row r="34" spans="1:26" ht="13.5" thickBot="1">
      <c r="A34" s="1464" t="s">
        <v>1167</v>
      </c>
      <c r="B34" s="1472">
        <v>275</v>
      </c>
      <c r="C34" s="1472">
        <v>232</v>
      </c>
      <c r="D34" s="1472">
        <f t="shared" si="74"/>
        <v>232</v>
      </c>
      <c r="E34" s="1472">
        <v>376</v>
      </c>
      <c r="F34" s="1473">
        <v>213</v>
      </c>
      <c r="G34" s="3355">
        <v>2011</v>
      </c>
      <c r="H34" s="1485">
        <v>4</v>
      </c>
      <c r="I34" s="1485">
        <v>-0.2</v>
      </c>
      <c r="J34" s="1485">
        <v>0.04</v>
      </c>
      <c r="K34" s="1485">
        <v>-0.34</v>
      </c>
      <c r="L34" s="1486">
        <v>0.46</v>
      </c>
      <c r="N34" s="1487">
        <f t="shared" si="76"/>
        <v>-2E-3</v>
      </c>
      <c r="O34" s="1488">
        <f t="shared" si="76"/>
        <v>4.0000000000000002E-4</v>
      </c>
      <c r="P34" s="1488">
        <f t="shared" si="76"/>
        <v>-3.4000000000000002E-3</v>
      </c>
      <c r="Q34" s="1488">
        <f t="shared" si="76"/>
        <v>4.5999999999999999E-3</v>
      </c>
      <c r="R34" s="1477"/>
      <c r="S34" s="1478"/>
      <c r="T34" s="1479"/>
      <c r="U34" s="1479"/>
      <c r="V34" s="1479"/>
      <c r="X34" s="1479"/>
      <c r="Y34" s="1479"/>
      <c r="Z34" s="1479"/>
    </row>
    <row r="35" spans="1:26">
      <c r="A35" s="1464" t="s">
        <v>1168</v>
      </c>
      <c r="B35" s="1480">
        <f t="shared" ref="B35:C37" si="86">B34/(1+N34)</f>
        <v>275.55110220440883</v>
      </c>
      <c r="C35" s="1480">
        <f t="shared" si="86"/>
        <v>231.90723710515795</v>
      </c>
      <c r="D35" s="1480">
        <f t="shared" si="74"/>
        <v>231.90723710515795</v>
      </c>
      <c r="E35" s="1480">
        <f t="shared" ref="E35:F37" si="87">E34/(1+P34)</f>
        <v>377.28276138872161</v>
      </c>
      <c r="F35" s="1480">
        <f t="shared" si="87"/>
        <v>212.02468644236512</v>
      </c>
      <c r="G35" s="3356">
        <v>2011</v>
      </c>
      <c r="H35" s="1490">
        <v>3</v>
      </c>
      <c r="I35" s="1490">
        <v>0.13</v>
      </c>
      <c r="J35" s="1490">
        <v>0.75</v>
      </c>
      <c r="K35" s="1490">
        <v>-0.08</v>
      </c>
      <c r="L35" s="1491">
        <v>0.53</v>
      </c>
      <c r="N35" s="1475">
        <f t="shared" si="76"/>
        <v>1.2999999999999999E-3</v>
      </c>
      <c r="O35" s="1492">
        <f t="shared" si="76"/>
        <v>7.4999999999999997E-3</v>
      </c>
      <c r="P35" s="1492">
        <f t="shared" si="76"/>
        <v>-8.0000000000000004E-4</v>
      </c>
      <c r="Q35" s="1492">
        <f t="shared" si="76"/>
        <v>5.3E-3</v>
      </c>
      <c r="R35" s="1477"/>
      <c r="S35" s="1475"/>
      <c r="T35" s="1476"/>
      <c r="U35" s="1476"/>
      <c r="V35" s="1476"/>
    </row>
    <row r="36" spans="1:26">
      <c r="A36" s="1464" t="s">
        <v>1169</v>
      </c>
      <c r="B36" s="1480">
        <f t="shared" si="86"/>
        <v>275.19335084830601</v>
      </c>
      <c r="C36" s="1480">
        <f t="shared" si="86"/>
        <v>230.18088050139744</v>
      </c>
      <c r="D36" s="1480">
        <f t="shared" si="74"/>
        <v>230.18088050139744</v>
      </c>
      <c r="E36" s="1480">
        <f t="shared" si="87"/>
        <v>377.58482925212331</v>
      </c>
      <c r="F36" s="1480">
        <f t="shared" si="87"/>
        <v>210.90687997847917</v>
      </c>
      <c r="G36" s="3356">
        <v>2011</v>
      </c>
      <c r="H36" s="1468">
        <v>2</v>
      </c>
      <c r="I36" s="1468">
        <v>-0.4</v>
      </c>
      <c r="J36" s="1468">
        <v>0.17</v>
      </c>
      <c r="K36" s="1468">
        <v>-0.57999999999999996</v>
      </c>
      <c r="L36" s="1482">
        <v>-0.2</v>
      </c>
      <c r="N36" s="1475">
        <f t="shared" si="76"/>
        <v>-4.0000000000000001E-3</v>
      </c>
      <c r="O36" s="1492">
        <f t="shared" si="76"/>
        <v>1.7000000000000001E-3</v>
      </c>
      <c r="P36" s="1492">
        <f t="shared" si="76"/>
        <v>-5.7999999999999996E-3</v>
      </c>
      <c r="Q36" s="1492">
        <f t="shared" si="76"/>
        <v>-2E-3</v>
      </c>
      <c r="R36" s="1477"/>
      <c r="S36" s="1475"/>
      <c r="T36" s="1476"/>
      <c r="U36" s="1476"/>
      <c r="V36" s="1476"/>
    </row>
    <row r="37" spans="1:26" ht="13.5" thickBot="1">
      <c r="A37" s="1464" t="s">
        <v>1170</v>
      </c>
      <c r="B37" s="1480">
        <f t="shared" si="86"/>
        <v>276.29854502841971</v>
      </c>
      <c r="C37" s="1480">
        <f t="shared" si="86"/>
        <v>229.79023709833027</v>
      </c>
      <c r="D37" s="1480">
        <f t="shared" si="74"/>
        <v>229.79023709833027</v>
      </c>
      <c r="E37" s="1480">
        <f t="shared" si="87"/>
        <v>379.78759731655936</v>
      </c>
      <c r="F37" s="1480">
        <f t="shared" si="87"/>
        <v>211.32953905659235</v>
      </c>
      <c r="G37" s="3357">
        <v>2011</v>
      </c>
      <c r="H37" s="1467">
        <v>1</v>
      </c>
      <c r="I37" s="1467">
        <v>2.65</v>
      </c>
      <c r="J37" s="1467">
        <v>3.76</v>
      </c>
      <c r="K37" s="1467">
        <v>1.89</v>
      </c>
      <c r="L37" s="1481">
        <v>7.95</v>
      </c>
      <c r="N37" s="1483">
        <f t="shared" si="76"/>
        <v>2.6499999999999999E-2</v>
      </c>
      <c r="O37" s="1484">
        <f t="shared" si="76"/>
        <v>3.7599999999999995E-2</v>
      </c>
      <c r="P37" s="1484">
        <f t="shared" si="76"/>
        <v>1.89E-2</v>
      </c>
      <c r="Q37" s="1484">
        <f t="shared" si="76"/>
        <v>7.9500000000000001E-2</v>
      </c>
      <c r="R37" s="1477"/>
      <c r="S37" s="1483">
        <f>B37/B38-1</f>
        <v>2.713213765211786E-2</v>
      </c>
      <c r="T37" s="1484">
        <f>C37/C38-1</f>
        <v>3.9774828499231862E-2</v>
      </c>
      <c r="U37" s="1484">
        <f>E37/E38-1</f>
        <v>1.8197311840641772E-2</v>
      </c>
      <c r="V37" s="1484">
        <f>F37/F38-1</f>
        <v>7.8211933962205826E-2</v>
      </c>
      <c r="X37" s="1463"/>
      <c r="Y37" s="1463"/>
      <c r="Z37" s="1463"/>
    </row>
    <row r="38" spans="1:26" ht="13.5" thickBot="1">
      <c r="A38" s="1464" t="s">
        <v>1171</v>
      </c>
      <c r="B38" s="1472">
        <v>269</v>
      </c>
      <c r="C38" s="1472">
        <v>221</v>
      </c>
      <c r="D38" s="1472">
        <f t="shared" si="74"/>
        <v>221</v>
      </c>
      <c r="E38" s="1472">
        <v>373</v>
      </c>
      <c r="F38" s="1473">
        <v>196</v>
      </c>
      <c r="G38" s="3355">
        <v>2010</v>
      </c>
      <c r="H38" s="1485">
        <v>4</v>
      </c>
      <c r="I38" s="1485">
        <v>5.72</v>
      </c>
      <c r="J38" s="1485">
        <v>6.57</v>
      </c>
      <c r="K38" s="1485">
        <v>5.72</v>
      </c>
      <c r="L38" s="1486">
        <v>2.72</v>
      </c>
      <c r="N38" s="1475">
        <f t="shared" si="76"/>
        <v>5.7200000000000001E-2</v>
      </c>
      <c r="O38" s="1476">
        <f t="shared" si="76"/>
        <v>6.5700000000000008E-2</v>
      </c>
      <c r="P38" s="1476">
        <f t="shared" si="76"/>
        <v>5.7200000000000001E-2</v>
      </c>
      <c r="Q38" s="1476">
        <f t="shared" si="76"/>
        <v>2.7200000000000002E-2</v>
      </c>
      <c r="R38" s="1477"/>
      <c r="S38" s="1478"/>
      <c r="T38" s="1479"/>
      <c r="U38" s="1479"/>
      <c r="V38" s="1479"/>
      <c r="X38" s="1479"/>
      <c r="Y38" s="1479"/>
      <c r="Z38" s="1479"/>
    </row>
    <row r="39" spans="1:26">
      <c r="A39" s="1464" t="s">
        <v>1172</v>
      </c>
      <c r="B39" s="1480">
        <f t="shared" ref="B39:C41" si="88">B38/(1+N38)</f>
        <v>254.44570563753314</v>
      </c>
      <c r="C39" s="1480">
        <f t="shared" si="88"/>
        <v>207.37543398705074</v>
      </c>
      <c r="D39" s="1480">
        <f t="shared" si="74"/>
        <v>207.37543398705074</v>
      </c>
      <c r="E39" s="1480">
        <f t="shared" ref="E39:F41" si="89">E38/(1+P38)</f>
        <v>352.81876655315932</v>
      </c>
      <c r="F39" s="1480">
        <f t="shared" si="89"/>
        <v>190.809968847352</v>
      </c>
      <c r="G39" s="3356">
        <v>2010</v>
      </c>
      <c r="H39" s="1490">
        <v>3</v>
      </c>
      <c r="I39" s="1490">
        <v>4.7300000000000004</v>
      </c>
      <c r="J39" s="1490">
        <v>3.9</v>
      </c>
      <c r="K39" s="1490">
        <v>5.03</v>
      </c>
      <c r="L39" s="1491">
        <v>4.21</v>
      </c>
      <c r="N39" s="1475">
        <f t="shared" si="76"/>
        <v>4.7300000000000002E-2</v>
      </c>
      <c r="O39" s="1476">
        <f t="shared" si="76"/>
        <v>3.9E-2</v>
      </c>
      <c r="P39" s="1476">
        <f t="shared" si="76"/>
        <v>5.0300000000000004E-2</v>
      </c>
      <c r="Q39" s="1476">
        <f t="shared" si="76"/>
        <v>4.2099999999999999E-2</v>
      </c>
      <c r="R39" s="1477"/>
      <c r="S39" s="1475"/>
      <c r="T39" s="1476"/>
      <c r="U39" s="1476"/>
      <c r="V39" s="1476"/>
    </row>
    <row r="40" spans="1:26">
      <c r="A40" s="1464" t="s">
        <v>1173</v>
      </c>
      <c r="B40" s="1480">
        <f t="shared" si="88"/>
        <v>242.95398227588385</v>
      </c>
      <c r="C40" s="1480">
        <f t="shared" si="88"/>
        <v>199.59137053614126</v>
      </c>
      <c r="D40" s="1480">
        <f t="shared" si="74"/>
        <v>199.59137053614126</v>
      </c>
      <c r="E40" s="1480">
        <f t="shared" si="89"/>
        <v>335.92189522342125</v>
      </c>
      <c r="F40" s="1480">
        <f t="shared" si="89"/>
        <v>183.10139991109489</v>
      </c>
      <c r="G40" s="3356">
        <v>2010</v>
      </c>
      <c r="H40" s="1468">
        <v>2</v>
      </c>
      <c r="I40" s="1468">
        <v>4.6900000000000004</v>
      </c>
      <c r="J40" s="1468">
        <v>3.55</v>
      </c>
      <c r="K40" s="1468">
        <v>5.07</v>
      </c>
      <c r="L40" s="1482">
        <v>4.2300000000000004</v>
      </c>
      <c r="N40" s="1475">
        <f t="shared" si="76"/>
        <v>4.6900000000000004E-2</v>
      </c>
      <c r="O40" s="1476">
        <f t="shared" si="76"/>
        <v>3.5499999999999997E-2</v>
      </c>
      <c r="P40" s="1476">
        <f t="shared" si="76"/>
        <v>5.0700000000000002E-2</v>
      </c>
      <c r="Q40" s="1476">
        <f t="shared" si="76"/>
        <v>4.2300000000000004E-2</v>
      </c>
      <c r="R40" s="1477"/>
      <c r="S40" s="1475"/>
      <c r="T40" s="1476"/>
      <c r="U40" s="1476"/>
      <c r="V40" s="1476"/>
    </row>
    <row r="41" spans="1:26" ht="13.5" thickBot="1">
      <c r="A41" s="1464" t="s">
        <v>1174</v>
      </c>
      <c r="B41" s="1480">
        <f t="shared" si="88"/>
        <v>232.06990378821649</v>
      </c>
      <c r="C41" s="1480">
        <f t="shared" si="88"/>
        <v>192.74878854286936</v>
      </c>
      <c r="D41" s="1480">
        <f t="shared" si="74"/>
        <v>192.74878854286936</v>
      </c>
      <c r="E41" s="1480">
        <f t="shared" si="89"/>
        <v>319.71247284992984</v>
      </c>
      <c r="F41" s="1480">
        <f t="shared" si="89"/>
        <v>175.67053622862409</v>
      </c>
      <c r="G41" s="3357">
        <v>2010</v>
      </c>
      <c r="H41" s="1467">
        <v>1</v>
      </c>
      <c r="I41" s="1467">
        <v>5.4</v>
      </c>
      <c r="J41" s="1467">
        <v>3.2</v>
      </c>
      <c r="K41" s="1467">
        <v>6.16</v>
      </c>
      <c r="L41" s="1481">
        <v>4.51</v>
      </c>
      <c r="N41" s="1475">
        <f t="shared" si="76"/>
        <v>5.4000000000000006E-2</v>
      </c>
      <c r="O41" s="1476">
        <f t="shared" si="76"/>
        <v>3.2000000000000001E-2</v>
      </c>
      <c r="P41" s="1476">
        <f t="shared" si="76"/>
        <v>6.1600000000000002E-2</v>
      </c>
      <c r="Q41" s="1476">
        <f t="shared" si="76"/>
        <v>4.5100000000000001E-2</v>
      </c>
      <c r="R41" s="1477"/>
      <c r="S41" s="1483">
        <f>B41/B42-1</f>
        <v>5.4863199037347599E-2</v>
      </c>
      <c r="T41" s="1484">
        <f>C41/C42-1</f>
        <v>3.0742184721226584E-2</v>
      </c>
      <c r="U41" s="1484">
        <f>E41/E42-1</f>
        <v>6.2167683886810154E-2</v>
      </c>
      <c r="V41" s="1484">
        <f>F41/F42-1</f>
        <v>4.5657953741810031E-2</v>
      </c>
      <c r="X41" s="1463"/>
      <c r="Y41" s="1463"/>
      <c r="Z41" s="1463"/>
    </row>
    <row r="42" spans="1:26" ht="13.5" thickBot="1">
      <c r="A42" s="1464" t="s">
        <v>1175</v>
      </c>
      <c r="B42" s="1472">
        <v>220</v>
      </c>
      <c r="C42" s="1472">
        <v>187</v>
      </c>
      <c r="D42" s="1472">
        <f t="shared" si="74"/>
        <v>187</v>
      </c>
      <c r="E42" s="1472">
        <v>301</v>
      </c>
      <c r="F42" s="1473">
        <v>168</v>
      </c>
      <c r="G42" s="3355">
        <v>2009</v>
      </c>
      <c r="H42" s="1485">
        <v>4</v>
      </c>
      <c r="I42" s="1485">
        <v>2.2999999999999998</v>
      </c>
      <c r="J42" s="1485">
        <v>1.04</v>
      </c>
      <c r="K42" s="1485">
        <v>2.84</v>
      </c>
      <c r="L42" s="1486">
        <v>0.67</v>
      </c>
      <c r="N42" s="1487">
        <f t="shared" si="76"/>
        <v>2.3E-2</v>
      </c>
      <c r="O42" s="1488">
        <f t="shared" si="76"/>
        <v>1.04E-2</v>
      </c>
      <c r="P42" s="1488">
        <f t="shared" si="76"/>
        <v>2.8399999999999998E-2</v>
      </c>
      <c r="Q42" s="1488">
        <f t="shared" si="76"/>
        <v>6.7000000000000002E-3</v>
      </c>
      <c r="R42" s="1477"/>
      <c r="S42" s="1478"/>
      <c r="T42" s="1479"/>
      <c r="U42" s="1479"/>
      <c r="V42" s="1479"/>
      <c r="X42" s="1479"/>
      <c r="Y42" s="1479"/>
      <c r="Z42" s="1479"/>
    </row>
    <row r="43" spans="1:26">
      <c r="A43" s="1464" t="s">
        <v>1176</v>
      </c>
      <c r="B43" s="1480">
        <f t="shared" ref="B43:C45" si="90">B42/(1+N42)</f>
        <v>215.05376344086022</v>
      </c>
      <c r="C43" s="1480">
        <f t="shared" si="90"/>
        <v>185.0752177355503</v>
      </c>
      <c r="D43" s="1480">
        <f t="shared" si="74"/>
        <v>185.0752177355503</v>
      </c>
      <c r="E43" s="1480">
        <f t="shared" ref="E43:F45" si="91">E42/(1+P42)</f>
        <v>292.68767016725008</v>
      </c>
      <c r="F43" s="1480">
        <f t="shared" si="91"/>
        <v>166.88189132810174</v>
      </c>
      <c r="G43" s="3356">
        <v>2009</v>
      </c>
      <c r="H43" s="1490">
        <v>3</v>
      </c>
      <c r="I43" s="1490">
        <v>2.1</v>
      </c>
      <c r="J43" s="1490">
        <v>1.86</v>
      </c>
      <c r="K43" s="1490">
        <v>2.29</v>
      </c>
      <c r="L43" s="1491">
        <v>0.85</v>
      </c>
      <c r="N43" s="1475">
        <f t="shared" si="76"/>
        <v>2.1000000000000001E-2</v>
      </c>
      <c r="O43" s="1492">
        <f t="shared" si="76"/>
        <v>1.8600000000000002E-2</v>
      </c>
      <c r="P43" s="1492">
        <f t="shared" si="76"/>
        <v>2.29E-2</v>
      </c>
      <c r="Q43" s="1492">
        <f t="shared" si="76"/>
        <v>8.5000000000000006E-3</v>
      </c>
      <c r="R43" s="1477"/>
      <c r="S43" s="1475"/>
      <c r="T43" s="1476"/>
      <c r="U43" s="1476"/>
      <c r="V43" s="1476"/>
    </row>
    <row r="44" spans="1:26">
      <c r="A44" s="1464" t="s">
        <v>1177</v>
      </c>
      <c r="B44" s="1480">
        <f t="shared" si="90"/>
        <v>210.630522469011</v>
      </c>
      <c r="C44" s="1480">
        <f t="shared" si="90"/>
        <v>181.69567812247232</v>
      </c>
      <c r="D44" s="1480">
        <f t="shared" si="74"/>
        <v>181.69567812247232</v>
      </c>
      <c r="E44" s="1480">
        <f t="shared" si="91"/>
        <v>286.13517466736738</v>
      </c>
      <c r="F44" s="1480">
        <f t="shared" si="91"/>
        <v>165.47535084591149</v>
      </c>
      <c r="G44" s="3356">
        <v>2009</v>
      </c>
      <c r="H44" s="1468">
        <v>2</v>
      </c>
      <c r="I44" s="1468">
        <v>0.86</v>
      </c>
      <c r="J44" s="1468">
        <v>-1.1299999999999999</v>
      </c>
      <c r="K44" s="1468">
        <v>1.79</v>
      </c>
      <c r="L44" s="1482">
        <v>-2.0699999999999998</v>
      </c>
      <c r="N44" s="1475">
        <f t="shared" si="76"/>
        <v>8.6E-3</v>
      </c>
      <c r="O44" s="1492">
        <f t="shared" si="76"/>
        <v>-1.1299999999999999E-2</v>
      </c>
      <c r="P44" s="1492">
        <f t="shared" si="76"/>
        <v>1.7899999999999999E-2</v>
      </c>
      <c r="Q44" s="1492">
        <f t="shared" si="76"/>
        <v>-2.07E-2</v>
      </c>
      <c r="R44" s="1477"/>
      <c r="S44" s="1475"/>
      <c r="T44" s="1476"/>
      <c r="U44" s="1476"/>
      <c r="V44" s="1476"/>
    </row>
    <row r="45" spans="1:26">
      <c r="A45" s="1464" t="s">
        <v>1178</v>
      </c>
      <c r="B45" s="1480">
        <f t="shared" si="90"/>
        <v>208.83454537875372</v>
      </c>
      <c r="C45" s="1480">
        <f t="shared" si="90"/>
        <v>183.77230517090351</v>
      </c>
      <c r="D45" s="1480">
        <f t="shared" si="74"/>
        <v>183.77230517090351</v>
      </c>
      <c r="E45" s="1480">
        <f t="shared" si="91"/>
        <v>281.10342338870947</v>
      </c>
      <c r="F45" s="1480">
        <f t="shared" si="91"/>
        <v>168.97309388942256</v>
      </c>
      <c r="G45" s="3357">
        <v>2009</v>
      </c>
      <c r="H45" s="1467">
        <v>1</v>
      </c>
      <c r="I45" s="1467">
        <v>-2.64</v>
      </c>
      <c r="J45" s="1467">
        <v>-2.5299999999999998</v>
      </c>
      <c r="K45" s="1467">
        <v>-3.02</v>
      </c>
      <c r="L45" s="1481">
        <v>1.52</v>
      </c>
      <c r="N45" s="1483">
        <f t="shared" si="76"/>
        <v>-2.64E-2</v>
      </c>
      <c r="O45" s="1484">
        <f t="shared" si="76"/>
        <v>-2.53E-2</v>
      </c>
      <c r="P45" s="1484">
        <f t="shared" si="76"/>
        <v>-3.0200000000000001E-2</v>
      </c>
      <c r="Q45" s="1484">
        <f t="shared" si="76"/>
        <v>1.52E-2</v>
      </c>
      <c r="R45" s="1477"/>
      <c r="S45" s="1483">
        <f>B45/B46-1</f>
        <v>-2.4137638417038754E-2</v>
      </c>
      <c r="T45" s="1484">
        <f>C45/C46-1</f>
        <v>-2.248773845264096E-2</v>
      </c>
      <c r="U45" s="1484">
        <f>E45/E46-1</f>
        <v>-2.7323794502735366E-2</v>
      </c>
      <c r="V45" s="1484">
        <f>F45/F46-1</f>
        <v>1.7910204153148035E-2</v>
      </c>
      <c r="X45" s="1463"/>
      <c r="Y45" s="1463"/>
      <c r="Z45" s="1463"/>
    </row>
    <row r="46" spans="1:26" ht="13.5" thickBot="1">
      <c r="A46" s="1464" t="s">
        <v>1179</v>
      </c>
      <c r="B46" s="1514">
        <v>214</v>
      </c>
      <c r="C46" s="1514">
        <v>188</v>
      </c>
      <c r="D46" s="1514">
        <f t="shared" si="74"/>
        <v>188</v>
      </c>
      <c r="E46" s="1514">
        <v>289</v>
      </c>
      <c r="F46" s="1515">
        <v>166</v>
      </c>
      <c r="G46" s="3355">
        <v>2008</v>
      </c>
      <c r="H46" s="1485">
        <v>4</v>
      </c>
      <c r="I46" s="1485">
        <v>1.73</v>
      </c>
      <c r="J46" s="1485">
        <v>0.03</v>
      </c>
      <c r="K46" s="1485">
        <v>2.59</v>
      </c>
      <c r="L46" s="1486">
        <v>-1.66</v>
      </c>
      <c r="N46" s="1475">
        <f t="shared" si="76"/>
        <v>1.7299999999999999E-2</v>
      </c>
      <c r="O46" s="1476">
        <f t="shared" si="76"/>
        <v>2.9999999999999997E-4</v>
      </c>
      <c r="P46" s="1476">
        <f t="shared" si="76"/>
        <v>2.5899999999999999E-2</v>
      </c>
      <c r="Q46" s="1476">
        <f t="shared" si="76"/>
        <v>-1.66E-2</v>
      </c>
      <c r="R46" s="1477"/>
      <c r="S46" s="1478"/>
      <c r="T46" s="1479"/>
      <c r="U46" s="1479"/>
      <c r="V46" s="1479"/>
      <c r="X46" s="1479"/>
      <c r="Y46" s="1479"/>
      <c r="Z46" s="1479"/>
    </row>
    <row r="47" spans="1:26">
      <c r="A47" s="1464" t="s">
        <v>1180</v>
      </c>
      <c r="B47" s="1480">
        <f t="shared" ref="B47:C49" si="92">B46/(1+N46)</f>
        <v>210.36075887152265</v>
      </c>
      <c r="C47" s="1480">
        <f t="shared" si="92"/>
        <v>187.94361691492554</v>
      </c>
      <c r="D47" s="1480">
        <f t="shared" si="74"/>
        <v>187.94361691492554</v>
      </c>
      <c r="E47" s="1480">
        <f t="shared" ref="E47:F49" si="93">E46/(1+P46)</f>
        <v>281.70386977288234</v>
      </c>
      <c r="F47" s="1480">
        <f t="shared" si="93"/>
        <v>168.80211511083994</v>
      </c>
      <c r="G47" s="3356">
        <v>2008</v>
      </c>
      <c r="H47" s="1490">
        <v>3</v>
      </c>
      <c r="I47" s="1490">
        <v>1.96</v>
      </c>
      <c r="J47" s="1490">
        <v>2.36</v>
      </c>
      <c r="K47" s="1490">
        <v>1.82</v>
      </c>
      <c r="L47" s="1491">
        <v>2.2200000000000002</v>
      </c>
      <c r="N47" s="1475">
        <f t="shared" si="76"/>
        <v>1.9599999999999999E-2</v>
      </c>
      <c r="O47" s="1476">
        <f t="shared" si="76"/>
        <v>2.3599999999999999E-2</v>
      </c>
      <c r="P47" s="1476">
        <f t="shared" si="76"/>
        <v>1.8200000000000001E-2</v>
      </c>
      <c r="Q47" s="1476">
        <f t="shared" si="76"/>
        <v>2.2200000000000001E-2</v>
      </c>
      <c r="R47" s="1477"/>
      <c r="S47" s="1475"/>
      <c r="T47" s="1476"/>
      <c r="U47" s="1476"/>
      <c r="V47" s="1476"/>
    </row>
    <row r="48" spans="1:26">
      <c r="A48" s="1464" t="s">
        <v>1181</v>
      </c>
      <c r="B48" s="1480">
        <f t="shared" si="92"/>
        <v>206.31694671589116</v>
      </c>
      <c r="C48" s="1480">
        <f t="shared" si="92"/>
        <v>183.61041121036101</v>
      </c>
      <c r="D48" s="1480">
        <f t="shared" si="74"/>
        <v>183.61041121036101</v>
      </c>
      <c r="E48" s="1480">
        <f t="shared" si="93"/>
        <v>276.66850301795557</v>
      </c>
      <c r="F48" s="1480">
        <f t="shared" si="93"/>
        <v>165.1360938278614</v>
      </c>
      <c r="G48" s="3356">
        <v>2008</v>
      </c>
      <c r="H48" s="1468">
        <v>2</v>
      </c>
      <c r="I48" s="1468">
        <v>4.93</v>
      </c>
      <c r="J48" s="1468">
        <v>7.38</v>
      </c>
      <c r="K48" s="1468">
        <v>3.98</v>
      </c>
      <c r="L48" s="1482">
        <v>6.86</v>
      </c>
      <c r="N48" s="1475">
        <f t="shared" si="76"/>
        <v>4.9299999999999997E-2</v>
      </c>
      <c r="O48" s="1476">
        <f t="shared" si="76"/>
        <v>7.3800000000000004E-2</v>
      </c>
      <c r="P48" s="1476">
        <f t="shared" si="76"/>
        <v>3.9800000000000002E-2</v>
      </c>
      <c r="Q48" s="1476">
        <f t="shared" si="76"/>
        <v>6.8600000000000008E-2</v>
      </c>
      <c r="R48" s="1477"/>
      <c r="S48" s="1475"/>
      <c r="T48" s="1476"/>
      <c r="U48" s="1476"/>
      <c r="V48" s="1476"/>
    </row>
    <row r="49" spans="1:26" s="1520" customFormat="1" ht="13.5" thickBot="1">
      <c r="A49" s="1464" t="s">
        <v>1182</v>
      </c>
      <c r="B49" s="1517">
        <f t="shared" si="92"/>
        <v>196.62341248059772</v>
      </c>
      <c r="C49" s="1517">
        <f t="shared" si="92"/>
        <v>170.99125648199012</v>
      </c>
      <c r="D49" s="1517">
        <f t="shared" si="74"/>
        <v>170.99125648199012</v>
      </c>
      <c r="E49" s="1517">
        <f t="shared" si="93"/>
        <v>266.07857570490052</v>
      </c>
      <c r="F49" s="1517">
        <f t="shared" si="93"/>
        <v>154.53499328828505</v>
      </c>
      <c r="G49" s="3357">
        <v>2008</v>
      </c>
      <c r="H49" s="1518">
        <v>1</v>
      </c>
      <c r="I49" s="1518">
        <v>4.1399999999999997</v>
      </c>
      <c r="J49" s="1518">
        <v>3.45</v>
      </c>
      <c r="K49" s="1518">
        <v>4.95</v>
      </c>
      <c r="L49" s="1519">
        <v>4.82</v>
      </c>
      <c r="N49" s="1521">
        <f t="shared" si="76"/>
        <v>4.1399999999999999E-2</v>
      </c>
      <c r="O49" s="1522">
        <f t="shared" si="76"/>
        <v>3.4500000000000003E-2</v>
      </c>
      <c r="P49" s="1522">
        <f t="shared" si="76"/>
        <v>4.9500000000000002E-2</v>
      </c>
      <c r="Q49" s="1522">
        <f t="shared" si="76"/>
        <v>4.82E-2</v>
      </c>
      <c r="R49" s="1523"/>
      <c r="S49" s="1521">
        <f>B49/B50-1</f>
        <v>4.5869215322328349E-2</v>
      </c>
      <c r="T49" s="1522">
        <f>C49/C50-1</f>
        <v>3.6310645345394743E-2</v>
      </c>
      <c r="U49" s="1522">
        <f>E49/E50-1</f>
        <v>4.7553447657088688E-2</v>
      </c>
      <c r="V49" s="1522">
        <f>F49/F50-1</f>
        <v>4.4155360055980086E-2</v>
      </c>
      <c r="X49" s="1524"/>
      <c r="Y49" s="1524"/>
      <c r="Z49" s="1524"/>
    </row>
    <row r="50" spans="1:26" ht="13.5" thickBot="1">
      <c r="A50" s="1464" t="s">
        <v>1183</v>
      </c>
      <c r="B50" s="1472">
        <v>188</v>
      </c>
      <c r="C50" s="1472">
        <v>165</v>
      </c>
      <c r="D50" s="1472">
        <f t="shared" si="74"/>
        <v>165</v>
      </c>
      <c r="E50" s="1472">
        <v>254</v>
      </c>
      <c r="F50" s="1473">
        <v>148</v>
      </c>
      <c r="G50" s="3355">
        <v>2007</v>
      </c>
      <c r="H50" s="1525">
        <v>4</v>
      </c>
      <c r="I50" s="1525">
        <v>5.51</v>
      </c>
      <c r="J50" s="1525">
        <v>4.8899999999999997</v>
      </c>
      <c r="K50" s="1525">
        <v>6.43</v>
      </c>
      <c r="L50" s="1526">
        <v>5.36</v>
      </c>
      <c r="N50" s="1527">
        <f t="shared" ref="N50:O53" si="94">B50/B51-1</f>
        <v>4.1339718365245526E-2</v>
      </c>
      <c r="O50" s="1528">
        <f t="shared" si="94"/>
        <v>4.0324492593776018E-2</v>
      </c>
      <c r="P50" s="1528">
        <f t="shared" ref="P50:Q53" si="95">E50/E51-1</f>
        <v>6.1625555347990968E-2</v>
      </c>
      <c r="Q50" s="1528">
        <f t="shared" si="95"/>
        <v>4.6757569250590603E-2</v>
      </c>
      <c r="R50" s="1477"/>
      <c r="S50" s="1478"/>
      <c r="T50" s="1479"/>
      <c r="U50" s="1479"/>
      <c r="V50" s="1479"/>
      <c r="X50" s="1479"/>
      <c r="Y50" s="1479"/>
      <c r="Z50" s="1479"/>
    </row>
    <row r="51" spans="1:26">
      <c r="A51" s="1464" t="s">
        <v>1184</v>
      </c>
      <c r="B51" s="1480">
        <f t="shared" ref="B51:C53" si="96">B52+(B$50-B$54)*I51/SUM(I$50:I$53)</f>
        <v>180.5366651097618</v>
      </c>
      <c r="C51" s="1480">
        <f t="shared" si="96"/>
        <v>158.60435967302453</v>
      </c>
      <c r="D51" s="1480">
        <f t="shared" si="74"/>
        <v>158.60435967302453</v>
      </c>
      <c r="E51" s="1480">
        <f t="shared" ref="E51:F53" si="97">E52+(E$50-E$54)*K51/SUM(K$50:K$53)</f>
        <v>239.25573260785075</v>
      </c>
      <c r="F51" s="1480">
        <f t="shared" si="97"/>
        <v>141.38899430740037</v>
      </c>
      <c r="G51" s="3356">
        <v>2007</v>
      </c>
      <c r="H51" s="1490">
        <v>3</v>
      </c>
      <c r="I51" s="1490">
        <v>8.65</v>
      </c>
      <c r="J51" s="1490">
        <v>8.06</v>
      </c>
      <c r="K51" s="1490">
        <v>9.94</v>
      </c>
      <c r="L51" s="1491">
        <v>5.8</v>
      </c>
      <c r="N51" s="1527">
        <f t="shared" si="94"/>
        <v>6.940217571740015E-2</v>
      </c>
      <c r="O51" s="1528">
        <f t="shared" si="94"/>
        <v>7.1197482471153428E-2</v>
      </c>
      <c r="P51" s="1528">
        <f t="shared" si="95"/>
        <v>0.10529679922579582</v>
      </c>
      <c r="Q51" s="1528">
        <f t="shared" si="95"/>
        <v>5.3292245059512133E-2</v>
      </c>
      <c r="R51" s="1477"/>
      <c r="S51" s="1475"/>
      <c r="T51" s="1476"/>
      <c r="U51" s="1476"/>
      <c r="V51" s="1476"/>
      <c r="X51" s="1529"/>
      <c r="Y51" s="1529"/>
      <c r="Z51" s="1529"/>
    </row>
    <row r="52" spans="1:26">
      <c r="A52" s="1464" t="s">
        <v>1185</v>
      </c>
      <c r="B52" s="1480">
        <f t="shared" si="96"/>
        <v>168.82017748715555</v>
      </c>
      <c r="C52" s="1480">
        <f t="shared" si="96"/>
        <v>148.06267029972753</v>
      </c>
      <c r="D52" s="1480">
        <f t="shared" si="74"/>
        <v>148.06267029972753</v>
      </c>
      <c r="E52" s="1480">
        <f t="shared" si="97"/>
        <v>216.46288379323747</v>
      </c>
      <c r="F52" s="1480">
        <f t="shared" si="97"/>
        <v>134.23529411764704</v>
      </c>
      <c r="G52" s="3356">
        <v>2007</v>
      </c>
      <c r="H52" s="1468">
        <v>2</v>
      </c>
      <c r="I52" s="1468">
        <v>3.67</v>
      </c>
      <c r="J52" s="1468">
        <v>2.3199999999999998</v>
      </c>
      <c r="K52" s="1468">
        <v>5.0199999999999996</v>
      </c>
      <c r="L52" s="1482">
        <v>6.71</v>
      </c>
      <c r="N52" s="1527">
        <f t="shared" si="94"/>
        <v>3.0339138143848032E-2</v>
      </c>
      <c r="O52" s="1528">
        <f t="shared" si="94"/>
        <v>2.0922341588790472E-2</v>
      </c>
      <c r="P52" s="1528">
        <f t="shared" si="95"/>
        <v>5.6164796592717003E-2</v>
      </c>
      <c r="Q52" s="1528">
        <f t="shared" si="95"/>
        <v>6.5704536723887319E-2</v>
      </c>
      <c r="R52" s="1477"/>
      <c r="S52" s="1475"/>
      <c r="T52" s="1476"/>
      <c r="U52" s="1476"/>
      <c r="V52" s="1476"/>
      <c r="X52" s="1529"/>
      <c r="Y52" s="1529"/>
      <c r="Z52" s="1529"/>
    </row>
    <row r="53" spans="1:26">
      <c r="A53" s="1464" t="s">
        <v>1186</v>
      </c>
      <c r="B53" s="1480">
        <f t="shared" si="96"/>
        <v>163.84913591779542</v>
      </c>
      <c r="C53" s="1480">
        <f t="shared" si="96"/>
        <v>145.0283378746594</v>
      </c>
      <c r="D53" s="1480">
        <f t="shared" si="74"/>
        <v>145.0283378746594</v>
      </c>
      <c r="E53" s="1480">
        <f t="shared" si="97"/>
        <v>204.95180722891567</v>
      </c>
      <c r="F53" s="1480">
        <f t="shared" si="97"/>
        <v>125.95920303605313</v>
      </c>
      <c r="G53" s="3357">
        <v>2007</v>
      </c>
      <c r="H53" s="1467">
        <v>1</v>
      </c>
      <c r="I53" s="1467">
        <v>3.58</v>
      </c>
      <c r="J53" s="1467">
        <v>3.08</v>
      </c>
      <c r="K53" s="1467">
        <v>4.34</v>
      </c>
      <c r="L53" s="1481">
        <v>3.21</v>
      </c>
      <c r="N53" s="1530">
        <f t="shared" si="94"/>
        <v>3.0497710174814063E-2</v>
      </c>
      <c r="O53" s="1531">
        <f t="shared" si="94"/>
        <v>2.8569772160704998E-2</v>
      </c>
      <c r="P53" s="1531">
        <f t="shared" si="95"/>
        <v>5.1034908866234296E-2</v>
      </c>
      <c r="Q53" s="1531">
        <f t="shared" si="95"/>
        <v>3.245248390207478E-2</v>
      </c>
      <c r="R53" s="1477"/>
      <c r="S53" s="1483">
        <f>B53/B54-1</f>
        <v>3.0497710174814063E-2</v>
      </c>
      <c r="T53" s="1484">
        <f>C53/C54-1</f>
        <v>2.8569772160704998E-2</v>
      </c>
      <c r="U53" s="1484">
        <f>E53/E54-1</f>
        <v>5.1034908866234296E-2</v>
      </c>
      <c r="V53" s="1484">
        <f>F53/F54-1</f>
        <v>3.245248390207478E-2</v>
      </c>
      <c r="X53" s="1529"/>
      <c r="Y53" s="1529"/>
      <c r="Z53" s="1529"/>
    </row>
    <row r="54" spans="1:26" ht="13.5" thickBot="1">
      <c r="A54" s="1464" t="s">
        <v>1187</v>
      </c>
      <c r="B54" s="1493">
        <v>159</v>
      </c>
      <c r="C54" s="1493">
        <v>141</v>
      </c>
      <c r="D54" s="1493">
        <f t="shared" si="74"/>
        <v>141</v>
      </c>
      <c r="E54" s="1493">
        <v>195</v>
      </c>
      <c r="F54" s="1494">
        <v>122</v>
      </c>
      <c r="G54" s="3355">
        <v>2006</v>
      </c>
      <c r="H54" s="1485">
        <v>4</v>
      </c>
      <c r="I54" s="1485">
        <v>3.79</v>
      </c>
      <c r="J54" s="1485">
        <v>2.21</v>
      </c>
      <c r="K54" s="1485">
        <v>5.65</v>
      </c>
      <c r="L54" s="1486">
        <v>5.41</v>
      </c>
      <c r="N54" s="1527">
        <f t="shared" ref="N54:O57" si="98">I54/SUM(I$54:I$57)*(B$54/B$58-1)</f>
        <v>7.245466462748526E-2</v>
      </c>
      <c r="O54" s="1528">
        <f t="shared" si="98"/>
        <v>2.3237230038062766E-2</v>
      </c>
      <c r="P54" s="1528">
        <f t="shared" ref="P54:Q57" si="99">K54/SUM(K$54:K$57)*(E$54/E$58-1)</f>
        <v>0.16146893866323722</v>
      </c>
      <c r="Q54" s="1528">
        <f t="shared" si="99"/>
        <v>5.0755230321793784E-2</v>
      </c>
      <c r="R54" s="1477"/>
      <c r="S54" s="1478"/>
      <c r="T54" s="1479"/>
      <c r="U54" s="1479"/>
      <c r="V54" s="1479"/>
      <c r="X54" s="1529"/>
      <c r="Y54" s="1529"/>
      <c r="Z54" s="1529"/>
    </row>
    <row r="55" spans="1:26">
      <c r="A55" s="1464" t="s">
        <v>1188</v>
      </c>
      <c r="B55" s="1480">
        <f t="shared" ref="B55:C57" si="100">B56+(B$54-B$58)*I55/SUM(I$54:I$57)</f>
        <v>149.00125628140702</v>
      </c>
      <c r="C55" s="1480">
        <f t="shared" si="100"/>
        <v>137.95592286501378</v>
      </c>
      <c r="D55" s="1480">
        <f t="shared" si="74"/>
        <v>137.95592286501378</v>
      </c>
      <c r="E55" s="1480">
        <f t="shared" ref="E55:F57" si="101">E56+(E$54-E$58)*K55/SUM(K$54:K$57)</f>
        <v>169.97231450719823</v>
      </c>
      <c r="F55" s="1480">
        <f t="shared" si="101"/>
        <v>116.21390374331551</v>
      </c>
      <c r="G55" s="3356">
        <v>2006</v>
      </c>
      <c r="H55" s="1490">
        <v>3</v>
      </c>
      <c r="I55" s="1490">
        <v>0.92</v>
      </c>
      <c r="J55" s="1490">
        <v>1.08</v>
      </c>
      <c r="K55" s="1490">
        <v>0.73</v>
      </c>
      <c r="L55" s="1491">
        <v>1.08</v>
      </c>
      <c r="N55" s="1527">
        <f t="shared" si="98"/>
        <v>1.7587939698492462E-2</v>
      </c>
      <c r="O55" s="1528">
        <f t="shared" si="98"/>
        <v>1.1355750425840628E-2</v>
      </c>
      <c r="P55" s="1528">
        <f t="shared" si="99"/>
        <v>2.0862358446754544E-2</v>
      </c>
      <c r="Q55" s="1528">
        <f t="shared" si="99"/>
        <v>1.0132282578103011E-2</v>
      </c>
      <c r="R55" s="1477"/>
      <c r="S55" s="1475"/>
      <c r="T55" s="1476"/>
      <c r="U55" s="1476"/>
      <c r="V55" s="1476"/>
      <c r="X55" s="1529"/>
      <c r="Y55" s="1529"/>
      <c r="Z55" s="1529"/>
    </row>
    <row r="56" spans="1:26">
      <c r="A56" s="1464" t="s">
        <v>1189</v>
      </c>
      <c r="B56" s="1480">
        <f t="shared" si="100"/>
        <v>146.57412060301507</v>
      </c>
      <c r="C56" s="1480">
        <f t="shared" si="100"/>
        <v>136.46831955922866</v>
      </c>
      <c r="D56" s="1480">
        <f t="shared" si="74"/>
        <v>136.46831955922866</v>
      </c>
      <c r="E56" s="1480">
        <f t="shared" si="101"/>
        <v>166.73864894795128</v>
      </c>
      <c r="F56" s="1480">
        <f t="shared" si="101"/>
        <v>115.05882352941177</v>
      </c>
      <c r="G56" s="3356">
        <v>2006</v>
      </c>
      <c r="H56" s="1468">
        <v>2</v>
      </c>
      <c r="I56" s="1468">
        <v>0.96</v>
      </c>
      <c r="J56" s="1468">
        <v>0.25</v>
      </c>
      <c r="K56" s="1468">
        <v>1.9</v>
      </c>
      <c r="L56" s="1482">
        <v>0.95</v>
      </c>
      <c r="N56" s="1527">
        <f t="shared" si="98"/>
        <v>1.8352632728861701E-2</v>
      </c>
      <c r="O56" s="1528">
        <f t="shared" si="98"/>
        <v>2.6286459319075526E-3</v>
      </c>
      <c r="P56" s="1528">
        <f t="shared" si="99"/>
        <v>5.4299289107991269E-2</v>
      </c>
      <c r="Q56" s="1528">
        <f t="shared" si="99"/>
        <v>8.9126559714794995E-3</v>
      </c>
      <c r="R56" s="1477"/>
      <c r="S56" s="1475"/>
      <c r="T56" s="1476"/>
      <c r="U56" s="1476"/>
      <c r="V56" s="1476"/>
      <c r="X56" s="1529"/>
      <c r="Y56" s="1529"/>
      <c r="Z56" s="1529"/>
    </row>
    <row r="57" spans="1:26">
      <c r="A57" s="1464" t="s">
        <v>1190</v>
      </c>
      <c r="B57" s="1480">
        <f t="shared" si="100"/>
        <v>144.04145728643215</v>
      </c>
      <c r="C57" s="1480">
        <f t="shared" si="100"/>
        <v>136.12396694214877</v>
      </c>
      <c r="D57" s="1480">
        <f t="shared" si="74"/>
        <v>136.12396694214877</v>
      </c>
      <c r="E57" s="1480">
        <f t="shared" si="101"/>
        <v>158.32225913621264</v>
      </c>
      <c r="F57" s="1480">
        <f t="shared" si="101"/>
        <v>114.04278074866311</v>
      </c>
      <c r="G57" s="3357">
        <v>2006</v>
      </c>
      <c r="H57" s="1467">
        <v>1</v>
      </c>
      <c r="I57" s="1467">
        <v>2.29</v>
      </c>
      <c r="J57" s="1467">
        <v>3.72</v>
      </c>
      <c r="K57" s="1467">
        <v>0.75</v>
      </c>
      <c r="L57" s="1481">
        <v>0.04</v>
      </c>
      <c r="N57" s="1530">
        <f t="shared" si="98"/>
        <v>4.3778675988638847E-2</v>
      </c>
      <c r="O57" s="1531">
        <f t="shared" si="98"/>
        <v>3.9114251466784385E-2</v>
      </c>
      <c r="P57" s="1531">
        <f t="shared" si="99"/>
        <v>2.1433929911049188E-2</v>
      </c>
      <c r="Q57" s="1531">
        <f t="shared" si="99"/>
        <v>3.7526972511492629E-4</v>
      </c>
      <c r="R57" s="1477"/>
      <c r="S57" s="1483">
        <f>B57/B58-1</f>
        <v>4.3778675988638716E-2</v>
      </c>
      <c r="T57" s="1484">
        <f>C57/C58-1</f>
        <v>3.91142514667846E-2</v>
      </c>
      <c r="U57" s="1484">
        <f>E57/E58-1</f>
        <v>2.143392991104931E-2</v>
      </c>
      <c r="V57" s="1484">
        <f>F57/F58-1</f>
        <v>3.7526972511492396E-4</v>
      </c>
      <c r="X57" s="1529"/>
      <c r="Y57" s="1529"/>
      <c r="Z57" s="1529"/>
    </row>
    <row r="58" spans="1:26" ht="13.5" thickBot="1">
      <c r="A58" s="1464" t="s">
        <v>1191</v>
      </c>
      <c r="B58" s="1493">
        <v>138</v>
      </c>
      <c r="C58" s="1493">
        <v>131</v>
      </c>
      <c r="D58" s="1493">
        <f t="shared" si="74"/>
        <v>131</v>
      </c>
      <c r="E58" s="1493">
        <v>155</v>
      </c>
      <c r="F58" s="1494">
        <v>114</v>
      </c>
      <c r="G58" s="3355">
        <v>2005</v>
      </c>
      <c r="H58" s="1485">
        <v>4</v>
      </c>
      <c r="I58" s="1485">
        <v>3.29</v>
      </c>
      <c r="J58" s="1485">
        <v>1.44</v>
      </c>
      <c r="K58" s="1485">
        <v>0.66</v>
      </c>
      <c r="L58" s="1486">
        <v>7.78</v>
      </c>
      <c r="N58" s="1527">
        <f t="shared" ref="N58:O61" si="102">I58/SUM(I$58:I$61)*(B$58/B$62-1)</f>
        <v>9.9404603216919935E-2</v>
      </c>
      <c r="O58" s="1528">
        <f t="shared" si="102"/>
        <v>4.7636550760861554E-2</v>
      </c>
      <c r="P58" s="1528">
        <f t="shared" ref="P58:Q61" si="103">K58/SUM(K$58:K$61)*(E$58/E$62-1)</f>
        <v>8.3756345177664976E-2</v>
      </c>
      <c r="Q58" s="1528">
        <f t="shared" si="103"/>
        <v>5.2148766661559584E-2</v>
      </c>
      <c r="R58" s="1477"/>
      <c r="S58" s="1478"/>
      <c r="T58" s="1479"/>
      <c r="U58" s="1479"/>
      <c r="V58" s="1479"/>
      <c r="X58" s="1529"/>
      <c r="Y58" s="1529"/>
      <c r="Z58" s="1529"/>
    </row>
    <row r="59" spans="1:26">
      <c r="A59" s="1464" t="s">
        <v>1192</v>
      </c>
      <c r="B59" s="1480">
        <f t="shared" ref="B59:C61" si="104">B60+(B$58-B$62)*I59/SUM(I$58:I$61)</f>
        <v>125.9720430107527</v>
      </c>
      <c r="C59" s="1480">
        <f t="shared" si="104"/>
        <v>125.1883408071749</v>
      </c>
      <c r="D59" s="1480">
        <f t="shared" si="74"/>
        <v>125.1883408071749</v>
      </c>
      <c r="E59" s="1480">
        <f t="shared" ref="E59:F61" si="105">E60+(E$58-E$62)*K59/SUM(K$58:K$61)</f>
        <v>144.61421319796952</v>
      </c>
      <c r="F59" s="1480">
        <f t="shared" si="105"/>
        <v>108.42008196721311</v>
      </c>
      <c r="G59" s="3356">
        <v>2005</v>
      </c>
      <c r="H59" s="1490">
        <v>3</v>
      </c>
      <c r="I59" s="1490">
        <v>0.46</v>
      </c>
      <c r="J59" s="1490">
        <v>0.32</v>
      </c>
      <c r="K59" s="1490">
        <v>0.42</v>
      </c>
      <c r="L59" s="1491">
        <v>0.64</v>
      </c>
      <c r="N59" s="1527">
        <f t="shared" si="102"/>
        <v>1.3898515951301874E-2</v>
      </c>
      <c r="O59" s="1528">
        <f t="shared" si="102"/>
        <v>1.0585900169080346E-2</v>
      </c>
      <c r="P59" s="1528">
        <f t="shared" si="103"/>
        <v>5.3299492385786795E-2</v>
      </c>
      <c r="Q59" s="1528">
        <f t="shared" si="103"/>
        <v>4.2898728359123568E-3</v>
      </c>
      <c r="R59" s="1477"/>
      <c r="S59" s="1475"/>
      <c r="T59" s="1476"/>
      <c r="U59" s="1476"/>
      <c r="V59" s="1476"/>
      <c r="X59" s="1529"/>
      <c r="Y59" s="1529"/>
      <c r="Z59" s="1529"/>
    </row>
    <row r="60" spans="1:26">
      <c r="A60" s="1464" t="s">
        <v>1193</v>
      </c>
      <c r="B60" s="1480">
        <f t="shared" si="104"/>
        <v>124.29032258064517</v>
      </c>
      <c r="C60" s="1480">
        <f t="shared" si="104"/>
        <v>123.8968609865471</v>
      </c>
      <c r="D60" s="1480">
        <f t="shared" si="74"/>
        <v>123.8968609865471</v>
      </c>
      <c r="E60" s="1480">
        <f t="shared" si="105"/>
        <v>138.00507614213197</v>
      </c>
      <c r="F60" s="1480">
        <f t="shared" si="105"/>
        <v>107.96106557377048</v>
      </c>
      <c r="G60" s="3356">
        <v>2005</v>
      </c>
      <c r="H60" s="1468">
        <v>2</v>
      </c>
      <c r="I60" s="1468">
        <v>0.47</v>
      </c>
      <c r="J60" s="1468">
        <v>0.1</v>
      </c>
      <c r="K60" s="1468">
        <v>0.52</v>
      </c>
      <c r="L60" s="1482">
        <v>0.79</v>
      </c>
      <c r="N60" s="1527">
        <f t="shared" si="102"/>
        <v>1.420065760241713E-2</v>
      </c>
      <c r="O60" s="1528">
        <f t="shared" si="102"/>
        <v>3.3080938028376083E-3</v>
      </c>
      <c r="P60" s="1528">
        <f t="shared" si="103"/>
        <v>6.598984771573603E-2</v>
      </c>
      <c r="Q60" s="1528">
        <f t="shared" si="103"/>
        <v>5.2953117818293153E-3</v>
      </c>
      <c r="R60" s="1477"/>
      <c r="S60" s="1475"/>
      <c r="T60" s="1476"/>
      <c r="U60" s="1476"/>
      <c r="V60" s="1476"/>
      <c r="X60" s="1529"/>
      <c r="Y60" s="1529"/>
      <c r="Z60" s="1529"/>
    </row>
    <row r="61" spans="1:26">
      <c r="A61" s="1464" t="s">
        <v>1194</v>
      </c>
      <c r="B61" s="1480">
        <f t="shared" si="104"/>
        <v>122.57204301075269</v>
      </c>
      <c r="C61" s="1480">
        <f t="shared" si="104"/>
        <v>123.4932735426009</v>
      </c>
      <c r="D61" s="1480">
        <f t="shared" si="74"/>
        <v>123.4932735426009</v>
      </c>
      <c r="E61" s="1480">
        <f t="shared" si="105"/>
        <v>129.82233502538071</v>
      </c>
      <c r="F61" s="1480">
        <f t="shared" si="105"/>
        <v>107.39446721311475</v>
      </c>
      <c r="G61" s="3357">
        <v>2005</v>
      </c>
      <c r="H61" s="1467">
        <v>1</v>
      </c>
      <c r="I61" s="1467">
        <v>0.43</v>
      </c>
      <c r="J61" s="1467">
        <v>0.37</v>
      </c>
      <c r="K61" s="1467">
        <v>0.37</v>
      </c>
      <c r="L61" s="1481">
        <v>0.55000000000000004</v>
      </c>
      <c r="N61" s="1530">
        <f t="shared" si="102"/>
        <v>1.2992090997956099E-2</v>
      </c>
      <c r="O61" s="1531">
        <f t="shared" si="102"/>
        <v>1.2239947070499151E-2</v>
      </c>
      <c r="P61" s="1531">
        <f t="shared" si="103"/>
        <v>4.6954314720812178E-2</v>
      </c>
      <c r="Q61" s="1531">
        <f t="shared" si="103"/>
        <v>3.6866094683621815E-3</v>
      </c>
      <c r="R61" s="1477"/>
      <c r="S61" s="1483">
        <f>B61/B62-1</f>
        <v>1.2992090997956174E-2</v>
      </c>
      <c r="T61" s="1484">
        <f>C61/C62-1</f>
        <v>1.2239947070499246E-2</v>
      </c>
      <c r="U61" s="1484">
        <f>E61/E62-1</f>
        <v>4.695431472081224E-2</v>
      </c>
      <c r="V61" s="1484">
        <f>F61/F62-1</f>
        <v>3.6866094683620787E-3</v>
      </c>
      <c r="X61" s="1529"/>
      <c r="Y61" s="1529"/>
      <c r="Z61" s="1529"/>
    </row>
    <row r="62" spans="1:26" ht="13.5" thickBot="1">
      <c r="A62" s="1464" t="s">
        <v>1195</v>
      </c>
      <c r="B62" s="1514">
        <v>121</v>
      </c>
      <c r="C62" s="1514">
        <v>122</v>
      </c>
      <c r="D62" s="1514">
        <f t="shared" si="74"/>
        <v>122</v>
      </c>
      <c r="E62" s="1514">
        <v>124</v>
      </c>
      <c r="F62" s="1515">
        <v>107</v>
      </c>
      <c r="G62" s="3355">
        <v>2004</v>
      </c>
      <c r="H62" s="1485">
        <v>4</v>
      </c>
      <c r="I62" s="1485">
        <v>0.33</v>
      </c>
      <c r="J62" s="1485">
        <v>0.5</v>
      </c>
      <c r="K62" s="1485">
        <v>0.5</v>
      </c>
      <c r="L62" s="1486">
        <v>0</v>
      </c>
      <c r="N62" s="1527">
        <f t="shared" ref="N62:O65" si="106">I62/SUM(I$62:I$65)*(B$62/B$66-1)</f>
        <v>1.3391770148526898E-2</v>
      </c>
      <c r="O62" s="1528">
        <f t="shared" si="106"/>
        <v>1.063264221158958E-2</v>
      </c>
      <c r="P62" s="1528">
        <f t="shared" ref="P62:Q65" si="107">K62/SUM(K$62:K$65)*(E$62/E$66-1)</f>
        <v>2.2244466688911134E-2</v>
      </c>
      <c r="Q62" s="1528">
        <f t="shared" si="107"/>
        <v>0</v>
      </c>
      <c r="R62" s="1477"/>
      <c r="S62" s="1478"/>
      <c r="T62" s="1479"/>
      <c r="U62" s="1479"/>
      <c r="V62" s="1479"/>
      <c r="X62" s="1529"/>
      <c r="Y62" s="1529"/>
      <c r="Z62" s="1529"/>
    </row>
    <row r="63" spans="1:26">
      <c r="A63" s="1464" t="s">
        <v>1196</v>
      </c>
      <c r="B63" s="1480">
        <f t="shared" ref="B63:C65" si="108">B64+(B$62-B$66)*I63/SUM(I$62:I$65)</f>
        <v>119.51351351351352</v>
      </c>
      <c r="C63" s="1480">
        <f t="shared" si="108"/>
        <v>120.7878787878788</v>
      </c>
      <c r="D63" s="1480">
        <f t="shared" si="74"/>
        <v>120.7878787878788</v>
      </c>
      <c r="E63" s="1480">
        <f t="shared" ref="E63:F65" si="109">E64+(E$62-E$66)*K63/SUM(K$62:K$65)</f>
        <v>121.5975975975976</v>
      </c>
      <c r="F63" s="1480">
        <f t="shared" si="109"/>
        <v>107</v>
      </c>
      <c r="G63" s="3356">
        <v>2004</v>
      </c>
      <c r="H63" s="1490">
        <v>3</v>
      </c>
      <c r="I63" s="1490">
        <v>0.56000000000000005</v>
      </c>
      <c r="J63" s="1490">
        <v>0.8</v>
      </c>
      <c r="K63" s="1490">
        <v>0.83</v>
      </c>
      <c r="L63" s="1491">
        <v>0.06</v>
      </c>
      <c r="N63" s="1527">
        <f t="shared" si="106"/>
        <v>2.2725428130833527E-2</v>
      </c>
      <c r="O63" s="1528">
        <f t="shared" si="106"/>
        <v>1.7012227538543329E-2</v>
      </c>
      <c r="P63" s="1528">
        <f t="shared" si="107"/>
        <v>3.6925814703592477E-2</v>
      </c>
      <c r="Q63" s="1528">
        <f t="shared" si="107"/>
        <v>2.8846153846153744E-2</v>
      </c>
      <c r="R63" s="1477"/>
      <c r="S63" s="1475"/>
      <c r="T63" s="1476"/>
      <c r="U63" s="1476"/>
      <c r="V63" s="1476"/>
      <c r="X63" s="1529"/>
      <c r="Y63" s="1529"/>
      <c r="Z63" s="1529"/>
    </row>
    <row r="64" spans="1:26">
      <c r="A64" s="1464" t="s">
        <v>1197</v>
      </c>
      <c r="B64" s="1480">
        <f t="shared" si="108"/>
        <v>116.99099099099099</v>
      </c>
      <c r="C64" s="1480">
        <f t="shared" si="108"/>
        <v>118.84848484848486</v>
      </c>
      <c r="D64" s="1480">
        <f t="shared" si="74"/>
        <v>118.84848484848486</v>
      </c>
      <c r="E64" s="1480">
        <f t="shared" si="109"/>
        <v>117.60960960960961</v>
      </c>
      <c r="F64" s="1480">
        <f t="shared" si="109"/>
        <v>104</v>
      </c>
      <c r="G64" s="3356">
        <v>2004</v>
      </c>
      <c r="H64" s="1468">
        <v>2</v>
      </c>
      <c r="I64" s="1468">
        <v>1</v>
      </c>
      <c r="J64" s="1468">
        <v>1.5</v>
      </c>
      <c r="K64" s="1468">
        <v>1.5</v>
      </c>
      <c r="L64" s="1482">
        <v>0</v>
      </c>
      <c r="N64" s="1527">
        <f t="shared" si="106"/>
        <v>4.0581121662202721E-2</v>
      </c>
      <c r="O64" s="1528">
        <f t="shared" si="106"/>
        <v>3.1897926634768738E-2</v>
      </c>
      <c r="P64" s="1528">
        <f t="shared" si="107"/>
        <v>6.6733400066733395E-2</v>
      </c>
      <c r="Q64" s="1528">
        <f t="shared" si="107"/>
        <v>0</v>
      </c>
      <c r="R64" s="1477"/>
      <c r="S64" s="1475"/>
      <c r="T64" s="1476"/>
      <c r="U64" s="1476"/>
      <c r="V64" s="1476"/>
      <c r="X64" s="1529"/>
      <c r="Y64" s="1529"/>
      <c r="Z64" s="1529"/>
    </row>
    <row r="65" spans="1:26" s="1520" customFormat="1" ht="13.5" thickBot="1">
      <c r="A65" s="1464" t="s">
        <v>1198</v>
      </c>
      <c r="B65" s="1517">
        <f t="shared" si="108"/>
        <v>112.48648648648648</v>
      </c>
      <c r="C65" s="1517">
        <f t="shared" si="108"/>
        <v>115.21212121212122</v>
      </c>
      <c r="D65" s="1517">
        <f t="shared" si="74"/>
        <v>115.21212121212122</v>
      </c>
      <c r="E65" s="1517">
        <f t="shared" si="109"/>
        <v>110.4024024024024</v>
      </c>
      <c r="F65" s="1517">
        <f t="shared" si="109"/>
        <v>104</v>
      </c>
      <c r="G65" s="3357">
        <v>2004</v>
      </c>
      <c r="H65" s="1518">
        <v>1</v>
      </c>
      <c r="I65" s="1518">
        <v>0.33</v>
      </c>
      <c r="J65" s="1518">
        <v>0.5</v>
      </c>
      <c r="K65" s="1518">
        <v>0.5</v>
      </c>
      <c r="L65" s="1519">
        <v>0</v>
      </c>
      <c r="N65" s="1532">
        <f t="shared" si="106"/>
        <v>1.3391770148526898E-2</v>
      </c>
      <c r="O65" s="1533">
        <f t="shared" si="106"/>
        <v>1.063264221158958E-2</v>
      </c>
      <c r="P65" s="1533">
        <f t="shared" si="107"/>
        <v>2.2244466688911134E-2</v>
      </c>
      <c r="Q65" s="1533">
        <f t="shared" si="107"/>
        <v>0</v>
      </c>
      <c r="R65" s="1523"/>
      <c r="S65" s="1521">
        <f>B65/B66-1</f>
        <v>1.3391770148526883E-2</v>
      </c>
      <c r="T65" s="1522">
        <f>C65/C66-1</f>
        <v>1.063264221158966E-2</v>
      </c>
      <c r="U65" s="1522">
        <f>E65/E66-1</f>
        <v>2.2244466688911224E-2</v>
      </c>
      <c r="V65" s="1522">
        <f>F65/F66-1</f>
        <v>0</v>
      </c>
      <c r="X65" s="1534"/>
      <c r="Y65" s="1534"/>
      <c r="Z65" s="1534"/>
    </row>
    <row r="66" spans="1:26" ht="13.5" thickBot="1">
      <c r="A66" s="1464" t="s">
        <v>1199</v>
      </c>
      <c r="B66" s="1535">
        <v>111</v>
      </c>
      <c r="C66" s="1535">
        <v>114</v>
      </c>
      <c r="D66" s="1535">
        <f t="shared" si="74"/>
        <v>114</v>
      </c>
      <c r="E66" s="1535">
        <v>108</v>
      </c>
      <c r="F66" s="1536">
        <v>104</v>
      </c>
      <c r="G66" s="3355">
        <v>2003</v>
      </c>
      <c r="H66" s="1525">
        <v>4</v>
      </c>
      <c r="I66" s="1537"/>
      <c r="J66" s="1537"/>
      <c r="K66" s="1537"/>
      <c r="L66" s="1537"/>
      <c r="N66" s="1538"/>
      <c r="O66" s="1537"/>
      <c r="P66" s="1537"/>
      <c r="Q66" s="1537"/>
      <c r="S66" s="1538"/>
      <c r="T66" s="1537"/>
      <c r="U66" s="1537"/>
      <c r="V66" s="1537"/>
      <c r="X66" s="1529"/>
      <c r="Y66" s="1529"/>
      <c r="Z66" s="1529"/>
    </row>
    <row r="67" spans="1:26">
      <c r="A67" s="1464" t="s">
        <v>1200</v>
      </c>
      <c r="B67" s="1539">
        <f t="shared" ref="B67:C69" si="110">B68+(B$66-B$70)/4</f>
        <v>109.75</v>
      </c>
      <c r="C67" s="1539">
        <f t="shared" si="110"/>
        <v>112.25</v>
      </c>
      <c r="D67" s="1539">
        <f t="shared" si="74"/>
        <v>112.25</v>
      </c>
      <c r="E67" s="1539">
        <f t="shared" ref="E67:F69" si="111">E68+(E$66-E$70)/4</f>
        <v>107.25</v>
      </c>
      <c r="F67" s="1539">
        <f t="shared" si="111"/>
        <v>103.5</v>
      </c>
      <c r="G67" s="3356">
        <v>2003</v>
      </c>
      <c r="H67" s="1490">
        <v>3</v>
      </c>
      <c r="I67" s="1537"/>
      <c r="J67" s="1537"/>
      <c r="K67" s="1537"/>
      <c r="L67" s="1537"/>
      <c r="X67" s="1529"/>
      <c r="Y67" s="1529"/>
      <c r="Z67" s="1529"/>
    </row>
    <row r="68" spans="1:26">
      <c r="A68" s="1464" t="s">
        <v>1201</v>
      </c>
      <c r="B68" s="1539">
        <f t="shared" si="110"/>
        <v>108.5</v>
      </c>
      <c r="C68" s="1539">
        <f t="shared" si="110"/>
        <v>110.5</v>
      </c>
      <c r="D68" s="1539">
        <f t="shared" si="74"/>
        <v>110.5</v>
      </c>
      <c r="E68" s="1539">
        <f t="shared" si="111"/>
        <v>106.5</v>
      </c>
      <c r="F68" s="1539">
        <f t="shared" si="111"/>
        <v>103</v>
      </c>
      <c r="G68" s="3356">
        <v>2003</v>
      </c>
      <c r="H68" s="1468">
        <v>2</v>
      </c>
      <c r="I68" s="1537"/>
      <c r="J68" s="1537"/>
      <c r="K68" s="1537"/>
      <c r="L68" s="1537"/>
      <c r="X68" s="1529"/>
      <c r="Y68" s="1529"/>
      <c r="Z68" s="1529"/>
    </row>
    <row r="69" spans="1:26" ht="13.5" thickBot="1">
      <c r="A69" s="1464" t="s">
        <v>1202</v>
      </c>
      <c r="B69" s="1539">
        <f t="shared" si="110"/>
        <v>107.25</v>
      </c>
      <c r="C69" s="1539">
        <f t="shared" si="110"/>
        <v>108.75</v>
      </c>
      <c r="D69" s="1539">
        <f t="shared" si="74"/>
        <v>108.75</v>
      </c>
      <c r="E69" s="1539">
        <f t="shared" si="111"/>
        <v>105.75</v>
      </c>
      <c r="F69" s="1539">
        <f t="shared" si="111"/>
        <v>102.5</v>
      </c>
      <c r="G69" s="3357">
        <v>2003</v>
      </c>
      <c r="H69" s="1540">
        <v>1</v>
      </c>
      <c r="I69" s="1537"/>
      <c r="J69" s="1537"/>
      <c r="K69" s="1537"/>
      <c r="L69" s="1537"/>
      <c r="S69" s="1475"/>
      <c r="T69" s="1476"/>
      <c r="U69" s="1476"/>
      <c r="X69" s="1529"/>
      <c r="Y69" s="1529"/>
      <c r="Z69" s="1529"/>
    </row>
    <row r="70" spans="1:26" ht="13.5" thickBot="1">
      <c r="A70" s="1464" t="s">
        <v>1203</v>
      </c>
      <c r="B70" s="1541">
        <v>106</v>
      </c>
      <c r="C70" s="1541">
        <v>107</v>
      </c>
      <c r="D70" s="1541">
        <f t="shared" si="74"/>
        <v>107</v>
      </c>
      <c r="E70" s="1541">
        <v>105</v>
      </c>
      <c r="F70" s="1542">
        <v>102</v>
      </c>
      <c r="G70" s="3355">
        <v>2002</v>
      </c>
      <c r="H70" s="1485">
        <v>4</v>
      </c>
      <c r="I70" s="1537"/>
      <c r="J70" s="1537"/>
      <c r="K70" s="1537"/>
      <c r="L70" s="1537"/>
      <c r="N70" s="1538"/>
      <c r="O70" s="1537"/>
      <c r="P70" s="1537"/>
      <c r="Q70" s="1537"/>
      <c r="S70" s="1538"/>
      <c r="T70" s="1537"/>
      <c r="U70" s="1537"/>
      <c r="V70" s="1537"/>
      <c r="X70" s="1529"/>
      <c r="Y70" s="1529"/>
      <c r="Z70" s="1529"/>
    </row>
    <row r="71" spans="1:26">
      <c r="A71" s="1464" t="s">
        <v>1204</v>
      </c>
      <c r="B71" s="1539">
        <f t="shared" ref="B71:C73" si="112">B72+(B$70-B$74)/4</f>
        <v>105</v>
      </c>
      <c r="C71" s="1539">
        <f t="shared" si="112"/>
        <v>106</v>
      </c>
      <c r="D71" s="1539">
        <f t="shared" si="74"/>
        <v>106</v>
      </c>
      <c r="E71" s="1539">
        <f t="shared" ref="E71:F73" si="113">E72+(E$70-E$74)/4</f>
        <v>104.5</v>
      </c>
      <c r="F71" s="1539">
        <f t="shared" si="113"/>
        <v>101.5</v>
      </c>
      <c r="G71" s="3356">
        <v>2002</v>
      </c>
      <c r="H71" s="1490">
        <v>3</v>
      </c>
      <c r="I71" s="1537"/>
      <c r="J71" s="1537"/>
      <c r="K71" s="1537"/>
      <c r="L71" s="1537"/>
      <c r="X71" s="1529"/>
      <c r="Y71" s="1529"/>
      <c r="Z71" s="1529"/>
    </row>
    <row r="72" spans="1:26">
      <c r="A72" s="1464" t="s">
        <v>1205</v>
      </c>
      <c r="B72" s="1539">
        <f t="shared" si="112"/>
        <v>104</v>
      </c>
      <c r="C72" s="1539">
        <f t="shared" si="112"/>
        <v>105</v>
      </c>
      <c r="D72" s="1539">
        <f t="shared" si="74"/>
        <v>105</v>
      </c>
      <c r="E72" s="1539">
        <f t="shared" si="113"/>
        <v>104</v>
      </c>
      <c r="F72" s="1539">
        <f t="shared" si="113"/>
        <v>101</v>
      </c>
      <c r="G72" s="3356">
        <v>2002</v>
      </c>
      <c r="H72" s="1468">
        <v>2</v>
      </c>
      <c r="I72" s="1537"/>
      <c r="J72" s="1537"/>
      <c r="K72" s="1537"/>
      <c r="L72" s="1537"/>
      <c r="X72" s="1529"/>
      <c r="Y72" s="1529"/>
      <c r="Z72" s="1529"/>
    </row>
    <row r="73" spans="1:26" s="1501" customFormat="1" ht="13.5" thickBot="1">
      <c r="A73" s="1497" t="s">
        <v>1206</v>
      </c>
      <c r="B73" s="1543">
        <f t="shared" si="112"/>
        <v>103</v>
      </c>
      <c r="C73" s="1543">
        <f t="shared" si="112"/>
        <v>104</v>
      </c>
      <c r="D73" s="1543">
        <f t="shared" si="74"/>
        <v>104</v>
      </c>
      <c r="E73" s="1543">
        <f t="shared" si="113"/>
        <v>103.5</v>
      </c>
      <c r="F73" s="1543">
        <f t="shared" si="113"/>
        <v>100.5</v>
      </c>
      <c r="G73" s="3357">
        <v>2002</v>
      </c>
      <c r="H73" s="1544">
        <v>1</v>
      </c>
      <c r="I73" s="1545"/>
      <c r="J73" s="1545"/>
      <c r="K73" s="1545"/>
      <c r="L73" s="1545"/>
      <c r="N73" s="1546"/>
      <c r="S73" s="1546"/>
      <c r="X73" s="1547"/>
      <c r="Y73" s="1547"/>
      <c r="Z73" s="1547"/>
    </row>
    <row r="74" spans="1:26" ht="13.5" thickBot="1">
      <c r="B74" s="1548">
        <v>102</v>
      </c>
      <c r="C74" s="1549">
        <v>103</v>
      </c>
      <c r="D74" s="1549">
        <f t="shared" si="74"/>
        <v>103</v>
      </c>
      <c r="E74" s="1549">
        <v>103</v>
      </c>
      <c r="F74" s="1550">
        <v>100</v>
      </c>
      <c r="I74" s="1537"/>
      <c r="J74" s="1537"/>
      <c r="K74" s="1537"/>
      <c r="L74" s="1537"/>
      <c r="N74" s="1538"/>
      <c r="O74" s="1537"/>
      <c r="P74" s="1537"/>
      <c r="Q74" s="1537"/>
      <c r="S74" s="1538"/>
      <c r="T74" s="1537"/>
      <c r="U74" s="1537"/>
      <c r="V74" s="1537"/>
      <c r="X74" s="1479"/>
      <c r="Y74" s="1479"/>
      <c r="Z74" s="1479"/>
    </row>
    <row r="76" spans="1:26" s="1552" customFormat="1">
      <c r="A76" s="1551" t="s">
        <v>1207</v>
      </c>
      <c r="G76" s="1553"/>
      <c r="N76" s="1553"/>
      <c r="S76" s="1553"/>
    </row>
    <row r="77" spans="1:26" s="1552" customFormat="1">
      <c r="A77" s="1552" t="s">
        <v>1208</v>
      </c>
      <c r="G77" s="1553"/>
      <c r="N77" s="1553"/>
      <c r="S77" s="1553"/>
    </row>
    <row r="78" spans="1:26" s="1552" customFormat="1">
      <c r="A78" s="1552" t="s">
        <v>1209</v>
      </c>
      <c r="G78" s="1553"/>
      <c r="I78" s="1554"/>
      <c r="J78" s="1554"/>
      <c r="K78" s="1554"/>
      <c r="L78" s="1554"/>
      <c r="N78" s="1555"/>
      <c r="O78" s="1554"/>
      <c r="P78" s="1554"/>
      <c r="Q78" s="1554"/>
      <c r="S78" s="1555"/>
      <c r="T78" s="1554"/>
      <c r="U78" s="1554"/>
      <c r="V78" s="1554"/>
    </row>
    <row r="79" spans="1:26" s="1552" customFormat="1">
      <c r="A79" s="1552" t="s">
        <v>1210</v>
      </c>
      <c r="G79" s="1553"/>
      <c r="N79" s="1553"/>
      <c r="S79" s="1553"/>
    </row>
    <row r="86" spans="7:22" ht="13.5" thickBot="1"/>
    <row r="87" spans="7:22">
      <c r="G87" s="1474"/>
      <c r="S87" s="1556" t="s">
        <v>1211</v>
      </c>
      <c r="T87" s="1557" t="s">
        <v>1212</v>
      </c>
      <c r="U87" s="1557" t="s">
        <v>1213</v>
      </c>
      <c r="V87" s="1557" t="s">
        <v>1214</v>
      </c>
    </row>
    <row r="88" spans="7:22">
      <c r="G88" s="1474"/>
      <c r="N88" s="1478"/>
      <c r="O88" s="1479"/>
      <c r="P88" s="1479"/>
      <c r="Q88" s="1479"/>
      <c r="S88" s="1558">
        <v>2006</v>
      </c>
      <c r="T88" s="1559">
        <v>15.1</v>
      </c>
      <c r="U88" s="1559">
        <v>7.43</v>
      </c>
      <c r="V88" s="1559">
        <v>26.26</v>
      </c>
    </row>
    <row r="89" spans="7:22">
      <c r="G89" s="1474"/>
      <c r="N89" s="1478"/>
      <c r="O89" s="1479"/>
      <c r="P89" s="1479"/>
      <c r="Q89" s="1479"/>
      <c r="S89" s="1560">
        <v>2005</v>
      </c>
      <c r="T89" s="1561">
        <v>13.9</v>
      </c>
      <c r="U89" s="1561">
        <v>7.49</v>
      </c>
      <c r="V89" s="1561">
        <v>24.92</v>
      </c>
    </row>
    <row r="90" spans="7:22">
      <c r="G90" s="1474"/>
      <c r="N90" s="1478"/>
      <c r="O90" s="1479"/>
      <c r="P90" s="1479"/>
      <c r="Q90" s="1479"/>
      <c r="S90" s="1558">
        <v>2004</v>
      </c>
      <c r="T90" s="1559">
        <v>9.48</v>
      </c>
      <c r="U90" s="1559">
        <v>7.2</v>
      </c>
      <c r="V90" s="1559">
        <v>14.68</v>
      </c>
    </row>
    <row r="91" spans="7:22">
      <c r="G91" s="1474"/>
      <c r="N91" s="1478"/>
      <c r="O91" s="1479"/>
      <c r="P91" s="1479"/>
      <c r="Q91" s="1479"/>
      <c r="S91" s="1560">
        <v>2003</v>
      </c>
      <c r="T91" s="1561">
        <v>4.5</v>
      </c>
      <c r="U91" s="1561">
        <v>6.12</v>
      </c>
      <c r="V91" s="1561">
        <v>2.34</v>
      </c>
    </row>
    <row r="92" spans="7:22" ht="13.5" thickBot="1">
      <c r="G92" s="1474"/>
      <c r="N92" s="1478"/>
      <c r="O92" s="1479"/>
      <c r="P92" s="1479"/>
      <c r="Q92" s="1479"/>
      <c r="S92" s="1562">
        <v>2002</v>
      </c>
      <c r="T92" s="1563">
        <v>3.59</v>
      </c>
      <c r="U92" s="1563">
        <v>4.54</v>
      </c>
      <c r="V92" s="1563">
        <v>2.5499999999999998</v>
      </c>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row r="108" spans="7:19">
      <c r="G108" s="1474"/>
      <c r="N108" s="1478"/>
      <c r="O108" s="1479"/>
      <c r="P108" s="1479"/>
      <c r="Q108" s="1479"/>
      <c r="S108" s="1474"/>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C1" workbookViewId="0">
      <selection activeCell="E14" sqref="E14"/>
    </sheetView>
  </sheetViews>
  <sheetFormatPr defaultRowHeight="13.5"/>
  <cols>
    <col min="1" max="1" width="24.5" style="2961" customWidth="1"/>
    <col min="2" max="2" width="6.25" style="2961" customWidth="1"/>
    <col min="3" max="3" width="11.75" style="2961" customWidth="1"/>
    <col min="4" max="5" width="13.875" style="2961" customWidth="1"/>
    <col min="6" max="6" width="19.125" style="2961" customWidth="1"/>
    <col min="7" max="7" width="7.375" style="2961" customWidth="1"/>
    <col min="8" max="8" width="7.875" style="2961" customWidth="1"/>
    <col min="9" max="9" width="12.125" style="2961" customWidth="1"/>
    <col min="10" max="11" width="10.625" style="2961" customWidth="1"/>
    <col min="12" max="12" width="11.375" style="2961" customWidth="1"/>
    <col min="13" max="13" width="8" style="2961" customWidth="1"/>
    <col min="14" max="14" width="6.25" style="2961" customWidth="1"/>
    <col min="15" max="15" width="29.375" style="2961" customWidth="1"/>
    <col min="16" max="258" width="9" style="2961"/>
    <col min="259" max="259" width="24.5" style="2961" customWidth="1"/>
    <col min="260" max="260" width="6.25" style="2961" customWidth="1"/>
    <col min="261" max="261" width="11.75" style="2961" customWidth="1"/>
    <col min="262" max="263" width="13.875" style="2961" customWidth="1"/>
    <col min="264" max="264" width="19.125" style="2961" customWidth="1"/>
    <col min="265" max="265" width="7.875" style="2961" customWidth="1"/>
    <col min="266" max="266" width="9" style="2961" customWidth="1"/>
    <col min="267" max="268" width="10.625" style="2961" customWidth="1"/>
    <col min="269" max="269" width="14.375" style="2961" customWidth="1"/>
    <col min="270" max="270" width="6.25" style="2961" customWidth="1"/>
    <col min="271" max="271" width="29.375" style="2961" customWidth="1"/>
    <col min="272" max="514" width="9" style="2961"/>
    <col min="515" max="515" width="24.5" style="2961" customWidth="1"/>
    <col min="516" max="516" width="6.25" style="2961" customWidth="1"/>
    <col min="517" max="517" width="11.75" style="2961" customWidth="1"/>
    <col min="518" max="519" width="13.875" style="2961" customWidth="1"/>
    <col min="520" max="520" width="19.125" style="2961" customWidth="1"/>
    <col min="521" max="521" width="7.875" style="2961" customWidth="1"/>
    <col min="522" max="522" width="9" style="2961" customWidth="1"/>
    <col min="523" max="524" width="10.625" style="2961" customWidth="1"/>
    <col min="525" max="525" width="14.375" style="2961" customWidth="1"/>
    <col min="526" max="526" width="6.25" style="2961" customWidth="1"/>
    <col min="527" max="527" width="29.375" style="2961" customWidth="1"/>
    <col min="528" max="770" width="9" style="2961"/>
    <col min="771" max="771" width="24.5" style="2961" customWidth="1"/>
    <col min="772" max="772" width="6.25" style="2961" customWidth="1"/>
    <col min="773" max="773" width="11.75" style="2961" customWidth="1"/>
    <col min="774" max="775" width="13.875" style="2961" customWidth="1"/>
    <col min="776" max="776" width="19.125" style="2961" customWidth="1"/>
    <col min="777" max="777" width="7.875" style="2961" customWidth="1"/>
    <col min="778" max="778" width="9" style="2961" customWidth="1"/>
    <col min="779" max="780" width="10.625" style="2961" customWidth="1"/>
    <col min="781" max="781" width="14.375" style="2961" customWidth="1"/>
    <col min="782" max="782" width="6.25" style="2961" customWidth="1"/>
    <col min="783" max="783" width="29.375" style="2961" customWidth="1"/>
    <col min="784" max="1026" width="9" style="2961"/>
    <col min="1027" max="1027" width="24.5" style="2961" customWidth="1"/>
    <col min="1028" max="1028" width="6.25" style="2961" customWidth="1"/>
    <col min="1029" max="1029" width="11.75" style="2961" customWidth="1"/>
    <col min="1030" max="1031" width="13.875" style="2961" customWidth="1"/>
    <col min="1032" max="1032" width="19.125" style="2961" customWidth="1"/>
    <col min="1033" max="1033" width="7.875" style="2961" customWidth="1"/>
    <col min="1034" max="1034" width="9" style="2961" customWidth="1"/>
    <col min="1035" max="1036" width="10.625" style="2961" customWidth="1"/>
    <col min="1037" max="1037" width="14.375" style="2961" customWidth="1"/>
    <col min="1038" max="1038" width="6.25" style="2961" customWidth="1"/>
    <col min="1039" max="1039" width="29.375" style="2961" customWidth="1"/>
    <col min="1040" max="1282" width="9" style="2961"/>
    <col min="1283" max="1283" width="24.5" style="2961" customWidth="1"/>
    <col min="1284" max="1284" width="6.25" style="2961" customWidth="1"/>
    <col min="1285" max="1285" width="11.75" style="2961" customWidth="1"/>
    <col min="1286" max="1287" width="13.875" style="2961" customWidth="1"/>
    <col min="1288" max="1288" width="19.125" style="2961" customWidth="1"/>
    <col min="1289" max="1289" width="7.875" style="2961" customWidth="1"/>
    <col min="1290" max="1290" width="9" style="2961" customWidth="1"/>
    <col min="1291" max="1292" width="10.625" style="2961" customWidth="1"/>
    <col min="1293" max="1293" width="14.375" style="2961" customWidth="1"/>
    <col min="1294" max="1294" width="6.25" style="2961" customWidth="1"/>
    <col min="1295" max="1295" width="29.375" style="2961" customWidth="1"/>
    <col min="1296" max="1538" width="9" style="2961"/>
    <col min="1539" max="1539" width="24.5" style="2961" customWidth="1"/>
    <col min="1540" max="1540" width="6.25" style="2961" customWidth="1"/>
    <col min="1541" max="1541" width="11.75" style="2961" customWidth="1"/>
    <col min="1542" max="1543" width="13.875" style="2961" customWidth="1"/>
    <col min="1544" max="1544" width="19.125" style="2961" customWidth="1"/>
    <col min="1545" max="1545" width="7.875" style="2961" customWidth="1"/>
    <col min="1546" max="1546" width="9" style="2961" customWidth="1"/>
    <col min="1547" max="1548" width="10.625" style="2961" customWidth="1"/>
    <col min="1549" max="1549" width="14.375" style="2961" customWidth="1"/>
    <col min="1550" max="1550" width="6.25" style="2961" customWidth="1"/>
    <col min="1551" max="1551" width="29.375" style="2961" customWidth="1"/>
    <col min="1552" max="1794" width="9" style="2961"/>
    <col min="1795" max="1795" width="24.5" style="2961" customWidth="1"/>
    <col min="1796" max="1796" width="6.25" style="2961" customWidth="1"/>
    <col min="1797" max="1797" width="11.75" style="2961" customWidth="1"/>
    <col min="1798" max="1799" width="13.875" style="2961" customWidth="1"/>
    <col min="1800" max="1800" width="19.125" style="2961" customWidth="1"/>
    <col min="1801" max="1801" width="7.875" style="2961" customWidth="1"/>
    <col min="1802" max="1802" width="9" style="2961" customWidth="1"/>
    <col min="1803" max="1804" width="10.625" style="2961" customWidth="1"/>
    <col min="1805" max="1805" width="14.375" style="2961" customWidth="1"/>
    <col min="1806" max="1806" width="6.25" style="2961" customWidth="1"/>
    <col min="1807" max="1807" width="29.375" style="2961" customWidth="1"/>
    <col min="1808" max="2050" width="9" style="2961"/>
    <col min="2051" max="2051" width="24.5" style="2961" customWidth="1"/>
    <col min="2052" max="2052" width="6.25" style="2961" customWidth="1"/>
    <col min="2053" max="2053" width="11.75" style="2961" customWidth="1"/>
    <col min="2054" max="2055" width="13.875" style="2961" customWidth="1"/>
    <col min="2056" max="2056" width="19.125" style="2961" customWidth="1"/>
    <col min="2057" max="2057" width="7.875" style="2961" customWidth="1"/>
    <col min="2058" max="2058" width="9" style="2961" customWidth="1"/>
    <col min="2059" max="2060" width="10.625" style="2961" customWidth="1"/>
    <col min="2061" max="2061" width="14.375" style="2961" customWidth="1"/>
    <col min="2062" max="2062" width="6.25" style="2961" customWidth="1"/>
    <col min="2063" max="2063" width="29.375" style="2961" customWidth="1"/>
    <col min="2064" max="2306" width="9" style="2961"/>
    <col min="2307" max="2307" width="24.5" style="2961" customWidth="1"/>
    <col min="2308" max="2308" width="6.25" style="2961" customWidth="1"/>
    <col min="2309" max="2309" width="11.75" style="2961" customWidth="1"/>
    <col min="2310" max="2311" width="13.875" style="2961" customWidth="1"/>
    <col min="2312" max="2312" width="19.125" style="2961" customWidth="1"/>
    <col min="2313" max="2313" width="7.875" style="2961" customWidth="1"/>
    <col min="2314" max="2314" width="9" style="2961" customWidth="1"/>
    <col min="2315" max="2316" width="10.625" style="2961" customWidth="1"/>
    <col min="2317" max="2317" width="14.375" style="2961" customWidth="1"/>
    <col min="2318" max="2318" width="6.25" style="2961" customWidth="1"/>
    <col min="2319" max="2319" width="29.375" style="2961" customWidth="1"/>
    <col min="2320" max="2562" width="9" style="2961"/>
    <col min="2563" max="2563" width="24.5" style="2961" customWidth="1"/>
    <col min="2564" max="2564" width="6.25" style="2961" customWidth="1"/>
    <col min="2565" max="2565" width="11.75" style="2961" customWidth="1"/>
    <col min="2566" max="2567" width="13.875" style="2961" customWidth="1"/>
    <col min="2568" max="2568" width="19.125" style="2961" customWidth="1"/>
    <col min="2569" max="2569" width="7.875" style="2961" customWidth="1"/>
    <col min="2570" max="2570" width="9" style="2961" customWidth="1"/>
    <col min="2571" max="2572" width="10.625" style="2961" customWidth="1"/>
    <col min="2573" max="2573" width="14.375" style="2961" customWidth="1"/>
    <col min="2574" max="2574" width="6.25" style="2961" customWidth="1"/>
    <col min="2575" max="2575" width="29.375" style="2961" customWidth="1"/>
    <col min="2576" max="2818" width="9" style="2961"/>
    <col min="2819" max="2819" width="24.5" style="2961" customWidth="1"/>
    <col min="2820" max="2820" width="6.25" style="2961" customWidth="1"/>
    <col min="2821" max="2821" width="11.75" style="2961" customWidth="1"/>
    <col min="2822" max="2823" width="13.875" style="2961" customWidth="1"/>
    <col min="2824" max="2824" width="19.125" style="2961" customWidth="1"/>
    <col min="2825" max="2825" width="7.875" style="2961" customWidth="1"/>
    <col min="2826" max="2826" width="9" style="2961" customWidth="1"/>
    <col min="2827" max="2828" width="10.625" style="2961" customWidth="1"/>
    <col min="2829" max="2829" width="14.375" style="2961" customWidth="1"/>
    <col min="2830" max="2830" width="6.25" style="2961" customWidth="1"/>
    <col min="2831" max="2831" width="29.375" style="2961" customWidth="1"/>
    <col min="2832" max="3074" width="9" style="2961"/>
    <col min="3075" max="3075" width="24.5" style="2961" customWidth="1"/>
    <col min="3076" max="3076" width="6.25" style="2961" customWidth="1"/>
    <col min="3077" max="3077" width="11.75" style="2961" customWidth="1"/>
    <col min="3078" max="3079" width="13.875" style="2961" customWidth="1"/>
    <col min="3080" max="3080" width="19.125" style="2961" customWidth="1"/>
    <col min="3081" max="3081" width="7.875" style="2961" customWidth="1"/>
    <col min="3082" max="3082" width="9" style="2961" customWidth="1"/>
    <col min="3083" max="3084" width="10.625" style="2961" customWidth="1"/>
    <col min="3085" max="3085" width="14.375" style="2961" customWidth="1"/>
    <col min="3086" max="3086" width="6.25" style="2961" customWidth="1"/>
    <col min="3087" max="3087" width="29.375" style="2961" customWidth="1"/>
    <col min="3088" max="3330" width="9" style="2961"/>
    <col min="3331" max="3331" width="24.5" style="2961" customWidth="1"/>
    <col min="3332" max="3332" width="6.25" style="2961" customWidth="1"/>
    <col min="3333" max="3333" width="11.75" style="2961" customWidth="1"/>
    <col min="3334" max="3335" width="13.875" style="2961" customWidth="1"/>
    <col min="3336" max="3336" width="19.125" style="2961" customWidth="1"/>
    <col min="3337" max="3337" width="7.875" style="2961" customWidth="1"/>
    <col min="3338" max="3338" width="9" style="2961" customWidth="1"/>
    <col min="3339" max="3340" width="10.625" style="2961" customWidth="1"/>
    <col min="3341" max="3341" width="14.375" style="2961" customWidth="1"/>
    <col min="3342" max="3342" width="6.25" style="2961" customWidth="1"/>
    <col min="3343" max="3343" width="29.375" style="2961" customWidth="1"/>
    <col min="3344" max="3586" width="9" style="2961"/>
    <col min="3587" max="3587" width="24.5" style="2961" customWidth="1"/>
    <col min="3588" max="3588" width="6.25" style="2961" customWidth="1"/>
    <col min="3589" max="3589" width="11.75" style="2961" customWidth="1"/>
    <col min="3590" max="3591" width="13.875" style="2961" customWidth="1"/>
    <col min="3592" max="3592" width="19.125" style="2961" customWidth="1"/>
    <col min="3593" max="3593" width="7.875" style="2961" customWidth="1"/>
    <col min="3594" max="3594" width="9" style="2961" customWidth="1"/>
    <col min="3595" max="3596" width="10.625" style="2961" customWidth="1"/>
    <col min="3597" max="3597" width="14.375" style="2961" customWidth="1"/>
    <col min="3598" max="3598" width="6.25" style="2961" customWidth="1"/>
    <col min="3599" max="3599" width="29.375" style="2961" customWidth="1"/>
    <col min="3600" max="3842" width="9" style="2961"/>
    <col min="3843" max="3843" width="24.5" style="2961" customWidth="1"/>
    <col min="3844" max="3844" width="6.25" style="2961" customWidth="1"/>
    <col min="3845" max="3845" width="11.75" style="2961" customWidth="1"/>
    <col min="3846" max="3847" width="13.875" style="2961" customWidth="1"/>
    <col min="3848" max="3848" width="19.125" style="2961" customWidth="1"/>
    <col min="3849" max="3849" width="7.875" style="2961" customWidth="1"/>
    <col min="3850" max="3850" width="9" style="2961" customWidth="1"/>
    <col min="3851" max="3852" width="10.625" style="2961" customWidth="1"/>
    <col min="3853" max="3853" width="14.375" style="2961" customWidth="1"/>
    <col min="3854" max="3854" width="6.25" style="2961" customWidth="1"/>
    <col min="3855" max="3855" width="29.375" style="2961" customWidth="1"/>
    <col min="3856" max="4098" width="9" style="2961"/>
    <col min="4099" max="4099" width="24.5" style="2961" customWidth="1"/>
    <col min="4100" max="4100" width="6.25" style="2961" customWidth="1"/>
    <col min="4101" max="4101" width="11.75" style="2961" customWidth="1"/>
    <col min="4102" max="4103" width="13.875" style="2961" customWidth="1"/>
    <col min="4104" max="4104" width="19.125" style="2961" customWidth="1"/>
    <col min="4105" max="4105" width="7.875" style="2961" customWidth="1"/>
    <col min="4106" max="4106" width="9" style="2961" customWidth="1"/>
    <col min="4107" max="4108" width="10.625" style="2961" customWidth="1"/>
    <col min="4109" max="4109" width="14.375" style="2961" customWidth="1"/>
    <col min="4110" max="4110" width="6.25" style="2961" customWidth="1"/>
    <col min="4111" max="4111" width="29.375" style="2961" customWidth="1"/>
    <col min="4112" max="4354" width="9" style="2961"/>
    <col min="4355" max="4355" width="24.5" style="2961" customWidth="1"/>
    <col min="4356" max="4356" width="6.25" style="2961" customWidth="1"/>
    <col min="4357" max="4357" width="11.75" style="2961" customWidth="1"/>
    <col min="4358" max="4359" width="13.875" style="2961" customWidth="1"/>
    <col min="4360" max="4360" width="19.125" style="2961" customWidth="1"/>
    <col min="4361" max="4361" width="7.875" style="2961" customWidth="1"/>
    <col min="4362" max="4362" width="9" style="2961" customWidth="1"/>
    <col min="4363" max="4364" width="10.625" style="2961" customWidth="1"/>
    <col min="4365" max="4365" width="14.375" style="2961" customWidth="1"/>
    <col min="4366" max="4366" width="6.25" style="2961" customWidth="1"/>
    <col min="4367" max="4367" width="29.375" style="2961" customWidth="1"/>
    <col min="4368" max="4610" width="9" style="2961"/>
    <col min="4611" max="4611" width="24.5" style="2961" customWidth="1"/>
    <col min="4612" max="4612" width="6.25" style="2961" customWidth="1"/>
    <col min="4613" max="4613" width="11.75" style="2961" customWidth="1"/>
    <col min="4614" max="4615" width="13.875" style="2961" customWidth="1"/>
    <col min="4616" max="4616" width="19.125" style="2961" customWidth="1"/>
    <col min="4617" max="4617" width="7.875" style="2961" customWidth="1"/>
    <col min="4618" max="4618" width="9" style="2961" customWidth="1"/>
    <col min="4619" max="4620" width="10.625" style="2961" customWidth="1"/>
    <col min="4621" max="4621" width="14.375" style="2961" customWidth="1"/>
    <col min="4622" max="4622" width="6.25" style="2961" customWidth="1"/>
    <col min="4623" max="4623" width="29.375" style="2961" customWidth="1"/>
    <col min="4624" max="4866" width="9" style="2961"/>
    <col min="4867" max="4867" width="24.5" style="2961" customWidth="1"/>
    <col min="4868" max="4868" width="6.25" style="2961" customWidth="1"/>
    <col min="4869" max="4869" width="11.75" style="2961" customWidth="1"/>
    <col min="4870" max="4871" width="13.875" style="2961" customWidth="1"/>
    <col min="4872" max="4872" width="19.125" style="2961" customWidth="1"/>
    <col min="4873" max="4873" width="7.875" style="2961" customWidth="1"/>
    <col min="4874" max="4874" width="9" style="2961" customWidth="1"/>
    <col min="4875" max="4876" width="10.625" style="2961" customWidth="1"/>
    <col min="4877" max="4877" width="14.375" style="2961" customWidth="1"/>
    <col min="4878" max="4878" width="6.25" style="2961" customWidth="1"/>
    <col min="4879" max="4879" width="29.375" style="2961" customWidth="1"/>
    <col min="4880" max="5122" width="9" style="2961"/>
    <col min="5123" max="5123" width="24.5" style="2961" customWidth="1"/>
    <col min="5124" max="5124" width="6.25" style="2961" customWidth="1"/>
    <col min="5125" max="5125" width="11.75" style="2961" customWidth="1"/>
    <col min="5126" max="5127" width="13.875" style="2961" customWidth="1"/>
    <col min="5128" max="5128" width="19.125" style="2961" customWidth="1"/>
    <col min="5129" max="5129" width="7.875" style="2961" customWidth="1"/>
    <col min="5130" max="5130" width="9" style="2961" customWidth="1"/>
    <col min="5131" max="5132" width="10.625" style="2961" customWidth="1"/>
    <col min="5133" max="5133" width="14.375" style="2961" customWidth="1"/>
    <col min="5134" max="5134" width="6.25" style="2961" customWidth="1"/>
    <col min="5135" max="5135" width="29.375" style="2961" customWidth="1"/>
    <col min="5136" max="5378" width="9" style="2961"/>
    <col min="5379" max="5379" width="24.5" style="2961" customWidth="1"/>
    <col min="5380" max="5380" width="6.25" style="2961" customWidth="1"/>
    <col min="5381" max="5381" width="11.75" style="2961" customWidth="1"/>
    <col min="5382" max="5383" width="13.875" style="2961" customWidth="1"/>
    <col min="5384" max="5384" width="19.125" style="2961" customWidth="1"/>
    <col min="5385" max="5385" width="7.875" style="2961" customWidth="1"/>
    <col min="5386" max="5386" width="9" style="2961" customWidth="1"/>
    <col min="5387" max="5388" width="10.625" style="2961" customWidth="1"/>
    <col min="5389" max="5389" width="14.375" style="2961" customWidth="1"/>
    <col min="5390" max="5390" width="6.25" style="2961" customWidth="1"/>
    <col min="5391" max="5391" width="29.375" style="2961" customWidth="1"/>
    <col min="5392" max="5634" width="9" style="2961"/>
    <col min="5635" max="5635" width="24.5" style="2961" customWidth="1"/>
    <col min="5636" max="5636" width="6.25" style="2961" customWidth="1"/>
    <col min="5637" max="5637" width="11.75" style="2961" customWidth="1"/>
    <col min="5638" max="5639" width="13.875" style="2961" customWidth="1"/>
    <col min="5640" max="5640" width="19.125" style="2961" customWidth="1"/>
    <col min="5641" max="5641" width="7.875" style="2961" customWidth="1"/>
    <col min="5642" max="5642" width="9" style="2961" customWidth="1"/>
    <col min="5643" max="5644" width="10.625" style="2961" customWidth="1"/>
    <col min="5645" max="5645" width="14.375" style="2961" customWidth="1"/>
    <col min="5646" max="5646" width="6.25" style="2961" customWidth="1"/>
    <col min="5647" max="5647" width="29.375" style="2961" customWidth="1"/>
    <col min="5648" max="5890" width="9" style="2961"/>
    <col min="5891" max="5891" width="24.5" style="2961" customWidth="1"/>
    <col min="5892" max="5892" width="6.25" style="2961" customWidth="1"/>
    <col min="5893" max="5893" width="11.75" style="2961" customWidth="1"/>
    <col min="5894" max="5895" width="13.875" style="2961" customWidth="1"/>
    <col min="5896" max="5896" width="19.125" style="2961" customWidth="1"/>
    <col min="5897" max="5897" width="7.875" style="2961" customWidth="1"/>
    <col min="5898" max="5898" width="9" style="2961" customWidth="1"/>
    <col min="5899" max="5900" width="10.625" style="2961" customWidth="1"/>
    <col min="5901" max="5901" width="14.375" style="2961" customWidth="1"/>
    <col min="5902" max="5902" width="6.25" style="2961" customWidth="1"/>
    <col min="5903" max="5903" width="29.375" style="2961" customWidth="1"/>
    <col min="5904" max="6146" width="9" style="2961"/>
    <col min="6147" max="6147" width="24.5" style="2961" customWidth="1"/>
    <col min="6148" max="6148" width="6.25" style="2961" customWidth="1"/>
    <col min="6149" max="6149" width="11.75" style="2961" customWidth="1"/>
    <col min="6150" max="6151" width="13.875" style="2961" customWidth="1"/>
    <col min="6152" max="6152" width="19.125" style="2961" customWidth="1"/>
    <col min="6153" max="6153" width="7.875" style="2961" customWidth="1"/>
    <col min="6154" max="6154" width="9" style="2961" customWidth="1"/>
    <col min="6155" max="6156" width="10.625" style="2961" customWidth="1"/>
    <col min="6157" max="6157" width="14.375" style="2961" customWidth="1"/>
    <col min="6158" max="6158" width="6.25" style="2961" customWidth="1"/>
    <col min="6159" max="6159" width="29.375" style="2961" customWidth="1"/>
    <col min="6160" max="6402" width="9" style="2961"/>
    <col min="6403" max="6403" width="24.5" style="2961" customWidth="1"/>
    <col min="6404" max="6404" width="6.25" style="2961" customWidth="1"/>
    <col min="6405" max="6405" width="11.75" style="2961" customWidth="1"/>
    <col min="6406" max="6407" width="13.875" style="2961" customWidth="1"/>
    <col min="6408" max="6408" width="19.125" style="2961" customWidth="1"/>
    <col min="6409" max="6409" width="7.875" style="2961" customWidth="1"/>
    <col min="6410" max="6410" width="9" style="2961" customWidth="1"/>
    <col min="6411" max="6412" width="10.625" style="2961" customWidth="1"/>
    <col min="6413" max="6413" width="14.375" style="2961" customWidth="1"/>
    <col min="6414" max="6414" width="6.25" style="2961" customWidth="1"/>
    <col min="6415" max="6415" width="29.375" style="2961" customWidth="1"/>
    <col min="6416" max="6658" width="9" style="2961"/>
    <col min="6659" max="6659" width="24.5" style="2961" customWidth="1"/>
    <col min="6660" max="6660" width="6.25" style="2961" customWidth="1"/>
    <col min="6661" max="6661" width="11.75" style="2961" customWidth="1"/>
    <col min="6662" max="6663" width="13.875" style="2961" customWidth="1"/>
    <col min="6664" max="6664" width="19.125" style="2961" customWidth="1"/>
    <col min="6665" max="6665" width="7.875" style="2961" customWidth="1"/>
    <col min="6666" max="6666" width="9" style="2961" customWidth="1"/>
    <col min="6667" max="6668" width="10.625" style="2961" customWidth="1"/>
    <col min="6669" max="6669" width="14.375" style="2961" customWidth="1"/>
    <col min="6670" max="6670" width="6.25" style="2961" customWidth="1"/>
    <col min="6671" max="6671" width="29.375" style="2961" customWidth="1"/>
    <col min="6672" max="6914" width="9" style="2961"/>
    <col min="6915" max="6915" width="24.5" style="2961" customWidth="1"/>
    <col min="6916" max="6916" width="6.25" style="2961" customWidth="1"/>
    <col min="6917" max="6917" width="11.75" style="2961" customWidth="1"/>
    <col min="6918" max="6919" width="13.875" style="2961" customWidth="1"/>
    <col min="6920" max="6920" width="19.125" style="2961" customWidth="1"/>
    <col min="6921" max="6921" width="7.875" style="2961" customWidth="1"/>
    <col min="6922" max="6922" width="9" style="2961" customWidth="1"/>
    <col min="6923" max="6924" width="10.625" style="2961" customWidth="1"/>
    <col min="6925" max="6925" width="14.375" style="2961" customWidth="1"/>
    <col min="6926" max="6926" width="6.25" style="2961" customWidth="1"/>
    <col min="6927" max="6927" width="29.375" style="2961" customWidth="1"/>
    <col min="6928" max="7170" width="9" style="2961"/>
    <col min="7171" max="7171" width="24.5" style="2961" customWidth="1"/>
    <col min="7172" max="7172" width="6.25" style="2961" customWidth="1"/>
    <col min="7173" max="7173" width="11.75" style="2961" customWidth="1"/>
    <col min="7174" max="7175" width="13.875" style="2961" customWidth="1"/>
    <col min="7176" max="7176" width="19.125" style="2961" customWidth="1"/>
    <col min="7177" max="7177" width="7.875" style="2961" customWidth="1"/>
    <col min="7178" max="7178" width="9" style="2961" customWidth="1"/>
    <col min="7179" max="7180" width="10.625" style="2961" customWidth="1"/>
    <col min="7181" max="7181" width="14.375" style="2961" customWidth="1"/>
    <col min="7182" max="7182" width="6.25" style="2961" customWidth="1"/>
    <col min="7183" max="7183" width="29.375" style="2961" customWidth="1"/>
    <col min="7184" max="7426" width="9" style="2961"/>
    <col min="7427" max="7427" width="24.5" style="2961" customWidth="1"/>
    <col min="7428" max="7428" width="6.25" style="2961" customWidth="1"/>
    <col min="7429" max="7429" width="11.75" style="2961" customWidth="1"/>
    <col min="7430" max="7431" width="13.875" style="2961" customWidth="1"/>
    <col min="7432" max="7432" width="19.125" style="2961" customWidth="1"/>
    <col min="7433" max="7433" width="7.875" style="2961" customWidth="1"/>
    <col min="7434" max="7434" width="9" style="2961" customWidth="1"/>
    <col min="7435" max="7436" width="10.625" style="2961" customWidth="1"/>
    <col min="7437" max="7437" width="14.375" style="2961" customWidth="1"/>
    <col min="7438" max="7438" width="6.25" style="2961" customWidth="1"/>
    <col min="7439" max="7439" width="29.375" style="2961" customWidth="1"/>
    <col min="7440" max="7682" width="9" style="2961"/>
    <col min="7683" max="7683" width="24.5" style="2961" customWidth="1"/>
    <col min="7684" max="7684" width="6.25" style="2961" customWidth="1"/>
    <col min="7685" max="7685" width="11.75" style="2961" customWidth="1"/>
    <col min="7686" max="7687" width="13.875" style="2961" customWidth="1"/>
    <col min="7688" max="7688" width="19.125" style="2961" customWidth="1"/>
    <col min="7689" max="7689" width="7.875" style="2961" customWidth="1"/>
    <col min="7690" max="7690" width="9" style="2961" customWidth="1"/>
    <col min="7691" max="7692" width="10.625" style="2961" customWidth="1"/>
    <col min="7693" max="7693" width="14.375" style="2961" customWidth="1"/>
    <col min="7694" max="7694" width="6.25" style="2961" customWidth="1"/>
    <col min="7695" max="7695" width="29.375" style="2961" customWidth="1"/>
    <col min="7696" max="7938" width="9" style="2961"/>
    <col min="7939" max="7939" width="24.5" style="2961" customWidth="1"/>
    <col min="7940" max="7940" width="6.25" style="2961" customWidth="1"/>
    <col min="7941" max="7941" width="11.75" style="2961" customWidth="1"/>
    <col min="7942" max="7943" width="13.875" style="2961" customWidth="1"/>
    <col min="7944" max="7944" width="19.125" style="2961" customWidth="1"/>
    <col min="7945" max="7945" width="7.875" style="2961" customWidth="1"/>
    <col min="7946" max="7946" width="9" style="2961" customWidth="1"/>
    <col min="7947" max="7948" width="10.625" style="2961" customWidth="1"/>
    <col min="7949" max="7949" width="14.375" style="2961" customWidth="1"/>
    <col min="7950" max="7950" width="6.25" style="2961" customWidth="1"/>
    <col min="7951" max="7951" width="29.375" style="2961" customWidth="1"/>
    <col min="7952" max="8194" width="9" style="2961"/>
    <col min="8195" max="8195" width="24.5" style="2961" customWidth="1"/>
    <col min="8196" max="8196" width="6.25" style="2961" customWidth="1"/>
    <col min="8197" max="8197" width="11.75" style="2961" customWidth="1"/>
    <col min="8198" max="8199" width="13.875" style="2961" customWidth="1"/>
    <col min="8200" max="8200" width="19.125" style="2961" customWidth="1"/>
    <col min="8201" max="8201" width="7.875" style="2961" customWidth="1"/>
    <col min="8202" max="8202" width="9" style="2961" customWidth="1"/>
    <col min="8203" max="8204" width="10.625" style="2961" customWidth="1"/>
    <col min="8205" max="8205" width="14.375" style="2961" customWidth="1"/>
    <col min="8206" max="8206" width="6.25" style="2961" customWidth="1"/>
    <col min="8207" max="8207" width="29.375" style="2961" customWidth="1"/>
    <col min="8208" max="8450" width="9" style="2961"/>
    <col min="8451" max="8451" width="24.5" style="2961" customWidth="1"/>
    <col min="8452" max="8452" width="6.25" style="2961" customWidth="1"/>
    <col min="8453" max="8453" width="11.75" style="2961" customWidth="1"/>
    <col min="8454" max="8455" width="13.875" style="2961" customWidth="1"/>
    <col min="8456" max="8456" width="19.125" style="2961" customWidth="1"/>
    <col min="8457" max="8457" width="7.875" style="2961" customWidth="1"/>
    <col min="8458" max="8458" width="9" style="2961" customWidth="1"/>
    <col min="8459" max="8460" width="10.625" style="2961" customWidth="1"/>
    <col min="8461" max="8461" width="14.375" style="2961" customWidth="1"/>
    <col min="8462" max="8462" width="6.25" style="2961" customWidth="1"/>
    <col min="8463" max="8463" width="29.375" style="2961" customWidth="1"/>
    <col min="8464" max="8706" width="9" style="2961"/>
    <col min="8707" max="8707" width="24.5" style="2961" customWidth="1"/>
    <col min="8708" max="8708" width="6.25" style="2961" customWidth="1"/>
    <col min="8709" max="8709" width="11.75" style="2961" customWidth="1"/>
    <col min="8710" max="8711" width="13.875" style="2961" customWidth="1"/>
    <col min="8712" max="8712" width="19.125" style="2961" customWidth="1"/>
    <col min="8713" max="8713" width="7.875" style="2961" customWidth="1"/>
    <col min="8714" max="8714" width="9" style="2961" customWidth="1"/>
    <col min="8715" max="8716" width="10.625" style="2961" customWidth="1"/>
    <col min="8717" max="8717" width="14.375" style="2961" customWidth="1"/>
    <col min="8718" max="8718" width="6.25" style="2961" customWidth="1"/>
    <col min="8719" max="8719" width="29.375" style="2961" customWidth="1"/>
    <col min="8720" max="8962" width="9" style="2961"/>
    <col min="8963" max="8963" width="24.5" style="2961" customWidth="1"/>
    <col min="8964" max="8964" width="6.25" style="2961" customWidth="1"/>
    <col min="8965" max="8965" width="11.75" style="2961" customWidth="1"/>
    <col min="8966" max="8967" width="13.875" style="2961" customWidth="1"/>
    <col min="8968" max="8968" width="19.125" style="2961" customWidth="1"/>
    <col min="8969" max="8969" width="7.875" style="2961" customWidth="1"/>
    <col min="8970" max="8970" width="9" style="2961" customWidth="1"/>
    <col min="8971" max="8972" width="10.625" style="2961" customWidth="1"/>
    <col min="8973" max="8973" width="14.375" style="2961" customWidth="1"/>
    <col min="8974" max="8974" width="6.25" style="2961" customWidth="1"/>
    <col min="8975" max="8975" width="29.375" style="2961" customWidth="1"/>
    <col min="8976" max="9218" width="9" style="2961"/>
    <col min="9219" max="9219" width="24.5" style="2961" customWidth="1"/>
    <col min="9220" max="9220" width="6.25" style="2961" customWidth="1"/>
    <col min="9221" max="9221" width="11.75" style="2961" customWidth="1"/>
    <col min="9222" max="9223" width="13.875" style="2961" customWidth="1"/>
    <col min="9224" max="9224" width="19.125" style="2961" customWidth="1"/>
    <col min="9225" max="9225" width="7.875" style="2961" customWidth="1"/>
    <col min="9226" max="9226" width="9" style="2961" customWidth="1"/>
    <col min="9227" max="9228" width="10.625" style="2961" customWidth="1"/>
    <col min="9229" max="9229" width="14.375" style="2961" customWidth="1"/>
    <col min="9230" max="9230" width="6.25" style="2961" customWidth="1"/>
    <col min="9231" max="9231" width="29.375" style="2961" customWidth="1"/>
    <col min="9232" max="9474" width="9" style="2961"/>
    <col min="9475" max="9475" width="24.5" style="2961" customWidth="1"/>
    <col min="9476" max="9476" width="6.25" style="2961" customWidth="1"/>
    <col min="9477" max="9477" width="11.75" style="2961" customWidth="1"/>
    <col min="9478" max="9479" width="13.875" style="2961" customWidth="1"/>
    <col min="9480" max="9480" width="19.125" style="2961" customWidth="1"/>
    <col min="9481" max="9481" width="7.875" style="2961" customWidth="1"/>
    <col min="9482" max="9482" width="9" style="2961" customWidth="1"/>
    <col min="9483" max="9484" width="10.625" style="2961" customWidth="1"/>
    <col min="9485" max="9485" width="14.375" style="2961" customWidth="1"/>
    <col min="9486" max="9486" width="6.25" style="2961" customWidth="1"/>
    <col min="9487" max="9487" width="29.375" style="2961" customWidth="1"/>
    <col min="9488" max="9730" width="9" style="2961"/>
    <col min="9731" max="9731" width="24.5" style="2961" customWidth="1"/>
    <col min="9732" max="9732" width="6.25" style="2961" customWidth="1"/>
    <col min="9733" max="9733" width="11.75" style="2961" customWidth="1"/>
    <col min="9734" max="9735" width="13.875" style="2961" customWidth="1"/>
    <col min="9736" max="9736" width="19.125" style="2961" customWidth="1"/>
    <col min="9737" max="9737" width="7.875" style="2961" customWidth="1"/>
    <col min="9738" max="9738" width="9" style="2961" customWidth="1"/>
    <col min="9739" max="9740" width="10.625" style="2961" customWidth="1"/>
    <col min="9741" max="9741" width="14.375" style="2961" customWidth="1"/>
    <col min="9742" max="9742" width="6.25" style="2961" customWidth="1"/>
    <col min="9743" max="9743" width="29.375" style="2961" customWidth="1"/>
    <col min="9744" max="9986" width="9" style="2961"/>
    <col min="9987" max="9987" width="24.5" style="2961" customWidth="1"/>
    <col min="9988" max="9988" width="6.25" style="2961" customWidth="1"/>
    <col min="9989" max="9989" width="11.75" style="2961" customWidth="1"/>
    <col min="9990" max="9991" width="13.875" style="2961" customWidth="1"/>
    <col min="9992" max="9992" width="19.125" style="2961" customWidth="1"/>
    <col min="9993" max="9993" width="7.875" style="2961" customWidth="1"/>
    <col min="9994" max="9994" width="9" style="2961" customWidth="1"/>
    <col min="9995" max="9996" width="10.625" style="2961" customWidth="1"/>
    <col min="9997" max="9997" width="14.375" style="2961" customWidth="1"/>
    <col min="9998" max="9998" width="6.25" style="2961" customWidth="1"/>
    <col min="9999" max="9999" width="29.375" style="2961" customWidth="1"/>
    <col min="10000" max="10242" width="9" style="2961"/>
    <col min="10243" max="10243" width="24.5" style="2961" customWidth="1"/>
    <col min="10244" max="10244" width="6.25" style="2961" customWidth="1"/>
    <col min="10245" max="10245" width="11.75" style="2961" customWidth="1"/>
    <col min="10246" max="10247" width="13.875" style="2961" customWidth="1"/>
    <col min="10248" max="10248" width="19.125" style="2961" customWidth="1"/>
    <col min="10249" max="10249" width="7.875" style="2961" customWidth="1"/>
    <col min="10250" max="10250" width="9" style="2961" customWidth="1"/>
    <col min="10251" max="10252" width="10.625" style="2961" customWidth="1"/>
    <col min="10253" max="10253" width="14.375" style="2961" customWidth="1"/>
    <col min="10254" max="10254" width="6.25" style="2961" customWidth="1"/>
    <col min="10255" max="10255" width="29.375" style="2961" customWidth="1"/>
    <col min="10256" max="10498" width="9" style="2961"/>
    <col min="10499" max="10499" width="24.5" style="2961" customWidth="1"/>
    <col min="10500" max="10500" width="6.25" style="2961" customWidth="1"/>
    <col min="10501" max="10501" width="11.75" style="2961" customWidth="1"/>
    <col min="10502" max="10503" width="13.875" style="2961" customWidth="1"/>
    <col min="10504" max="10504" width="19.125" style="2961" customWidth="1"/>
    <col min="10505" max="10505" width="7.875" style="2961" customWidth="1"/>
    <col min="10506" max="10506" width="9" style="2961" customWidth="1"/>
    <col min="10507" max="10508" width="10.625" style="2961" customWidth="1"/>
    <col min="10509" max="10509" width="14.375" style="2961" customWidth="1"/>
    <col min="10510" max="10510" width="6.25" style="2961" customWidth="1"/>
    <col min="10511" max="10511" width="29.375" style="2961" customWidth="1"/>
    <col min="10512" max="10754" width="9" style="2961"/>
    <col min="10755" max="10755" width="24.5" style="2961" customWidth="1"/>
    <col min="10756" max="10756" width="6.25" style="2961" customWidth="1"/>
    <col min="10757" max="10757" width="11.75" style="2961" customWidth="1"/>
    <col min="10758" max="10759" width="13.875" style="2961" customWidth="1"/>
    <col min="10760" max="10760" width="19.125" style="2961" customWidth="1"/>
    <col min="10761" max="10761" width="7.875" style="2961" customWidth="1"/>
    <col min="10762" max="10762" width="9" style="2961" customWidth="1"/>
    <col min="10763" max="10764" width="10.625" style="2961" customWidth="1"/>
    <col min="10765" max="10765" width="14.375" style="2961" customWidth="1"/>
    <col min="10766" max="10766" width="6.25" style="2961" customWidth="1"/>
    <col min="10767" max="10767" width="29.375" style="2961" customWidth="1"/>
    <col min="10768" max="11010" width="9" style="2961"/>
    <col min="11011" max="11011" width="24.5" style="2961" customWidth="1"/>
    <col min="11012" max="11012" width="6.25" style="2961" customWidth="1"/>
    <col min="11013" max="11013" width="11.75" style="2961" customWidth="1"/>
    <col min="11014" max="11015" width="13.875" style="2961" customWidth="1"/>
    <col min="11016" max="11016" width="19.125" style="2961" customWidth="1"/>
    <col min="11017" max="11017" width="7.875" style="2961" customWidth="1"/>
    <col min="11018" max="11018" width="9" style="2961" customWidth="1"/>
    <col min="11019" max="11020" width="10.625" style="2961" customWidth="1"/>
    <col min="11021" max="11021" width="14.375" style="2961" customWidth="1"/>
    <col min="11022" max="11022" width="6.25" style="2961" customWidth="1"/>
    <col min="11023" max="11023" width="29.375" style="2961" customWidth="1"/>
    <col min="11024" max="11266" width="9" style="2961"/>
    <col min="11267" max="11267" width="24.5" style="2961" customWidth="1"/>
    <col min="11268" max="11268" width="6.25" style="2961" customWidth="1"/>
    <col min="11269" max="11269" width="11.75" style="2961" customWidth="1"/>
    <col min="11270" max="11271" width="13.875" style="2961" customWidth="1"/>
    <col min="11272" max="11272" width="19.125" style="2961" customWidth="1"/>
    <col min="11273" max="11273" width="7.875" style="2961" customWidth="1"/>
    <col min="11274" max="11274" width="9" style="2961" customWidth="1"/>
    <col min="11275" max="11276" width="10.625" style="2961" customWidth="1"/>
    <col min="11277" max="11277" width="14.375" style="2961" customWidth="1"/>
    <col min="11278" max="11278" width="6.25" style="2961" customWidth="1"/>
    <col min="11279" max="11279" width="29.375" style="2961" customWidth="1"/>
    <col min="11280" max="11522" width="9" style="2961"/>
    <col min="11523" max="11523" width="24.5" style="2961" customWidth="1"/>
    <col min="11524" max="11524" width="6.25" style="2961" customWidth="1"/>
    <col min="11525" max="11525" width="11.75" style="2961" customWidth="1"/>
    <col min="11526" max="11527" width="13.875" style="2961" customWidth="1"/>
    <col min="11528" max="11528" width="19.125" style="2961" customWidth="1"/>
    <col min="11529" max="11529" width="7.875" style="2961" customWidth="1"/>
    <col min="11530" max="11530" width="9" style="2961" customWidth="1"/>
    <col min="11531" max="11532" width="10.625" style="2961" customWidth="1"/>
    <col min="11533" max="11533" width="14.375" style="2961" customWidth="1"/>
    <col min="11534" max="11534" width="6.25" style="2961" customWidth="1"/>
    <col min="11535" max="11535" width="29.375" style="2961" customWidth="1"/>
    <col min="11536" max="11778" width="9" style="2961"/>
    <col min="11779" max="11779" width="24.5" style="2961" customWidth="1"/>
    <col min="11780" max="11780" width="6.25" style="2961" customWidth="1"/>
    <col min="11781" max="11781" width="11.75" style="2961" customWidth="1"/>
    <col min="11782" max="11783" width="13.875" style="2961" customWidth="1"/>
    <col min="11784" max="11784" width="19.125" style="2961" customWidth="1"/>
    <col min="11785" max="11785" width="7.875" style="2961" customWidth="1"/>
    <col min="11786" max="11786" width="9" style="2961" customWidth="1"/>
    <col min="11787" max="11788" width="10.625" style="2961" customWidth="1"/>
    <col min="11789" max="11789" width="14.375" style="2961" customWidth="1"/>
    <col min="11790" max="11790" width="6.25" style="2961" customWidth="1"/>
    <col min="11791" max="11791" width="29.375" style="2961" customWidth="1"/>
    <col min="11792" max="12034" width="9" style="2961"/>
    <col min="12035" max="12035" width="24.5" style="2961" customWidth="1"/>
    <col min="12036" max="12036" width="6.25" style="2961" customWidth="1"/>
    <col min="12037" max="12037" width="11.75" style="2961" customWidth="1"/>
    <col min="12038" max="12039" width="13.875" style="2961" customWidth="1"/>
    <col min="12040" max="12040" width="19.125" style="2961" customWidth="1"/>
    <col min="12041" max="12041" width="7.875" style="2961" customWidth="1"/>
    <col min="12042" max="12042" width="9" style="2961" customWidth="1"/>
    <col min="12043" max="12044" width="10.625" style="2961" customWidth="1"/>
    <col min="12045" max="12045" width="14.375" style="2961" customWidth="1"/>
    <col min="12046" max="12046" width="6.25" style="2961" customWidth="1"/>
    <col min="12047" max="12047" width="29.375" style="2961" customWidth="1"/>
    <col min="12048" max="12290" width="9" style="2961"/>
    <col min="12291" max="12291" width="24.5" style="2961" customWidth="1"/>
    <col min="12292" max="12292" width="6.25" style="2961" customWidth="1"/>
    <col min="12293" max="12293" width="11.75" style="2961" customWidth="1"/>
    <col min="12294" max="12295" width="13.875" style="2961" customWidth="1"/>
    <col min="12296" max="12296" width="19.125" style="2961" customWidth="1"/>
    <col min="12297" max="12297" width="7.875" style="2961" customWidth="1"/>
    <col min="12298" max="12298" width="9" style="2961" customWidth="1"/>
    <col min="12299" max="12300" width="10.625" style="2961" customWidth="1"/>
    <col min="12301" max="12301" width="14.375" style="2961" customWidth="1"/>
    <col min="12302" max="12302" width="6.25" style="2961" customWidth="1"/>
    <col min="12303" max="12303" width="29.375" style="2961" customWidth="1"/>
    <col min="12304" max="12546" width="9" style="2961"/>
    <col min="12547" max="12547" width="24.5" style="2961" customWidth="1"/>
    <col min="12548" max="12548" width="6.25" style="2961" customWidth="1"/>
    <col min="12549" max="12549" width="11.75" style="2961" customWidth="1"/>
    <col min="12550" max="12551" width="13.875" style="2961" customWidth="1"/>
    <col min="12552" max="12552" width="19.125" style="2961" customWidth="1"/>
    <col min="12553" max="12553" width="7.875" style="2961" customWidth="1"/>
    <col min="12554" max="12554" width="9" style="2961" customWidth="1"/>
    <col min="12555" max="12556" width="10.625" style="2961" customWidth="1"/>
    <col min="12557" max="12557" width="14.375" style="2961" customWidth="1"/>
    <col min="12558" max="12558" width="6.25" style="2961" customWidth="1"/>
    <col min="12559" max="12559" width="29.375" style="2961" customWidth="1"/>
    <col min="12560" max="12802" width="9" style="2961"/>
    <col min="12803" max="12803" width="24.5" style="2961" customWidth="1"/>
    <col min="12804" max="12804" width="6.25" style="2961" customWidth="1"/>
    <col min="12805" max="12805" width="11.75" style="2961" customWidth="1"/>
    <col min="12806" max="12807" width="13.875" style="2961" customWidth="1"/>
    <col min="12808" max="12808" width="19.125" style="2961" customWidth="1"/>
    <col min="12809" max="12809" width="7.875" style="2961" customWidth="1"/>
    <col min="12810" max="12810" width="9" style="2961" customWidth="1"/>
    <col min="12811" max="12812" width="10.625" style="2961" customWidth="1"/>
    <col min="12813" max="12813" width="14.375" style="2961" customWidth="1"/>
    <col min="12814" max="12814" width="6.25" style="2961" customWidth="1"/>
    <col min="12815" max="12815" width="29.375" style="2961" customWidth="1"/>
    <col min="12816" max="13058" width="9" style="2961"/>
    <col min="13059" max="13059" width="24.5" style="2961" customWidth="1"/>
    <col min="13060" max="13060" width="6.25" style="2961" customWidth="1"/>
    <col min="13061" max="13061" width="11.75" style="2961" customWidth="1"/>
    <col min="13062" max="13063" width="13.875" style="2961" customWidth="1"/>
    <col min="13064" max="13064" width="19.125" style="2961" customWidth="1"/>
    <col min="13065" max="13065" width="7.875" style="2961" customWidth="1"/>
    <col min="13066" max="13066" width="9" style="2961" customWidth="1"/>
    <col min="13067" max="13068" width="10.625" style="2961" customWidth="1"/>
    <col min="13069" max="13069" width="14.375" style="2961" customWidth="1"/>
    <col min="13070" max="13070" width="6.25" style="2961" customWidth="1"/>
    <col min="13071" max="13071" width="29.375" style="2961" customWidth="1"/>
    <col min="13072" max="13314" width="9" style="2961"/>
    <col min="13315" max="13315" width="24.5" style="2961" customWidth="1"/>
    <col min="13316" max="13316" width="6.25" style="2961" customWidth="1"/>
    <col min="13317" max="13317" width="11.75" style="2961" customWidth="1"/>
    <col min="13318" max="13319" width="13.875" style="2961" customWidth="1"/>
    <col min="13320" max="13320" width="19.125" style="2961" customWidth="1"/>
    <col min="13321" max="13321" width="7.875" style="2961" customWidth="1"/>
    <col min="13322" max="13322" width="9" style="2961" customWidth="1"/>
    <col min="13323" max="13324" width="10.625" style="2961" customWidth="1"/>
    <col min="13325" max="13325" width="14.375" style="2961" customWidth="1"/>
    <col min="13326" max="13326" width="6.25" style="2961" customWidth="1"/>
    <col min="13327" max="13327" width="29.375" style="2961" customWidth="1"/>
    <col min="13328" max="13570" width="9" style="2961"/>
    <col min="13571" max="13571" width="24.5" style="2961" customWidth="1"/>
    <col min="13572" max="13572" width="6.25" style="2961" customWidth="1"/>
    <col min="13573" max="13573" width="11.75" style="2961" customWidth="1"/>
    <col min="13574" max="13575" width="13.875" style="2961" customWidth="1"/>
    <col min="13576" max="13576" width="19.125" style="2961" customWidth="1"/>
    <col min="13577" max="13577" width="7.875" style="2961" customWidth="1"/>
    <col min="13578" max="13578" width="9" style="2961" customWidth="1"/>
    <col min="13579" max="13580" width="10.625" style="2961" customWidth="1"/>
    <col min="13581" max="13581" width="14.375" style="2961" customWidth="1"/>
    <col min="13582" max="13582" width="6.25" style="2961" customWidth="1"/>
    <col min="13583" max="13583" width="29.375" style="2961" customWidth="1"/>
    <col min="13584" max="13826" width="9" style="2961"/>
    <col min="13827" max="13827" width="24.5" style="2961" customWidth="1"/>
    <col min="13828" max="13828" width="6.25" style="2961" customWidth="1"/>
    <col min="13829" max="13829" width="11.75" style="2961" customWidth="1"/>
    <col min="13830" max="13831" width="13.875" style="2961" customWidth="1"/>
    <col min="13832" max="13832" width="19.125" style="2961" customWidth="1"/>
    <col min="13833" max="13833" width="7.875" style="2961" customWidth="1"/>
    <col min="13834" max="13834" width="9" style="2961" customWidth="1"/>
    <col min="13835" max="13836" width="10.625" style="2961" customWidth="1"/>
    <col min="13837" max="13837" width="14.375" style="2961" customWidth="1"/>
    <col min="13838" max="13838" width="6.25" style="2961" customWidth="1"/>
    <col min="13839" max="13839" width="29.375" style="2961" customWidth="1"/>
    <col min="13840" max="14082" width="9" style="2961"/>
    <col min="14083" max="14083" width="24.5" style="2961" customWidth="1"/>
    <col min="14084" max="14084" width="6.25" style="2961" customWidth="1"/>
    <col min="14085" max="14085" width="11.75" style="2961" customWidth="1"/>
    <col min="14086" max="14087" width="13.875" style="2961" customWidth="1"/>
    <col min="14088" max="14088" width="19.125" style="2961" customWidth="1"/>
    <col min="14089" max="14089" width="7.875" style="2961" customWidth="1"/>
    <col min="14090" max="14090" width="9" style="2961" customWidth="1"/>
    <col min="14091" max="14092" width="10.625" style="2961" customWidth="1"/>
    <col min="14093" max="14093" width="14.375" style="2961" customWidth="1"/>
    <col min="14094" max="14094" width="6.25" style="2961" customWidth="1"/>
    <col min="14095" max="14095" width="29.375" style="2961" customWidth="1"/>
    <col min="14096" max="14338" width="9" style="2961"/>
    <col min="14339" max="14339" width="24.5" style="2961" customWidth="1"/>
    <col min="14340" max="14340" width="6.25" style="2961" customWidth="1"/>
    <col min="14341" max="14341" width="11.75" style="2961" customWidth="1"/>
    <col min="14342" max="14343" width="13.875" style="2961" customWidth="1"/>
    <col min="14344" max="14344" width="19.125" style="2961" customWidth="1"/>
    <col min="14345" max="14345" width="7.875" style="2961" customWidth="1"/>
    <col min="14346" max="14346" width="9" style="2961" customWidth="1"/>
    <col min="14347" max="14348" width="10.625" style="2961" customWidth="1"/>
    <col min="14349" max="14349" width="14.375" style="2961" customWidth="1"/>
    <col min="14350" max="14350" width="6.25" style="2961" customWidth="1"/>
    <col min="14351" max="14351" width="29.375" style="2961" customWidth="1"/>
    <col min="14352" max="14594" width="9" style="2961"/>
    <col min="14595" max="14595" width="24.5" style="2961" customWidth="1"/>
    <col min="14596" max="14596" width="6.25" style="2961" customWidth="1"/>
    <col min="14597" max="14597" width="11.75" style="2961" customWidth="1"/>
    <col min="14598" max="14599" width="13.875" style="2961" customWidth="1"/>
    <col min="14600" max="14600" width="19.125" style="2961" customWidth="1"/>
    <col min="14601" max="14601" width="7.875" style="2961" customWidth="1"/>
    <col min="14602" max="14602" width="9" style="2961" customWidth="1"/>
    <col min="14603" max="14604" width="10.625" style="2961" customWidth="1"/>
    <col min="14605" max="14605" width="14.375" style="2961" customWidth="1"/>
    <col min="14606" max="14606" width="6.25" style="2961" customWidth="1"/>
    <col min="14607" max="14607" width="29.375" style="2961" customWidth="1"/>
    <col min="14608" max="14850" width="9" style="2961"/>
    <col min="14851" max="14851" width="24.5" style="2961" customWidth="1"/>
    <col min="14852" max="14852" width="6.25" style="2961" customWidth="1"/>
    <col min="14853" max="14853" width="11.75" style="2961" customWidth="1"/>
    <col min="14854" max="14855" width="13.875" style="2961" customWidth="1"/>
    <col min="14856" max="14856" width="19.125" style="2961" customWidth="1"/>
    <col min="14857" max="14857" width="7.875" style="2961" customWidth="1"/>
    <col min="14858" max="14858" width="9" style="2961" customWidth="1"/>
    <col min="14859" max="14860" width="10.625" style="2961" customWidth="1"/>
    <col min="14861" max="14861" width="14.375" style="2961" customWidth="1"/>
    <col min="14862" max="14862" width="6.25" style="2961" customWidth="1"/>
    <col min="14863" max="14863" width="29.375" style="2961" customWidth="1"/>
    <col min="14864" max="15106" width="9" style="2961"/>
    <col min="15107" max="15107" width="24.5" style="2961" customWidth="1"/>
    <col min="15108" max="15108" width="6.25" style="2961" customWidth="1"/>
    <col min="15109" max="15109" width="11.75" style="2961" customWidth="1"/>
    <col min="15110" max="15111" width="13.875" style="2961" customWidth="1"/>
    <col min="15112" max="15112" width="19.125" style="2961" customWidth="1"/>
    <col min="15113" max="15113" width="7.875" style="2961" customWidth="1"/>
    <col min="15114" max="15114" width="9" style="2961" customWidth="1"/>
    <col min="15115" max="15116" width="10.625" style="2961" customWidth="1"/>
    <col min="15117" max="15117" width="14.375" style="2961" customWidth="1"/>
    <col min="15118" max="15118" width="6.25" style="2961" customWidth="1"/>
    <col min="15119" max="15119" width="29.375" style="2961" customWidth="1"/>
    <col min="15120" max="15362" width="9" style="2961"/>
    <col min="15363" max="15363" width="24.5" style="2961" customWidth="1"/>
    <col min="15364" max="15364" width="6.25" style="2961" customWidth="1"/>
    <col min="15365" max="15365" width="11.75" style="2961" customWidth="1"/>
    <col min="15366" max="15367" width="13.875" style="2961" customWidth="1"/>
    <col min="15368" max="15368" width="19.125" style="2961" customWidth="1"/>
    <col min="15369" max="15369" width="7.875" style="2961" customWidth="1"/>
    <col min="15370" max="15370" width="9" style="2961" customWidth="1"/>
    <col min="15371" max="15372" width="10.625" style="2961" customWidth="1"/>
    <col min="15373" max="15373" width="14.375" style="2961" customWidth="1"/>
    <col min="15374" max="15374" width="6.25" style="2961" customWidth="1"/>
    <col min="15375" max="15375" width="29.375" style="2961" customWidth="1"/>
    <col min="15376" max="15618" width="9" style="2961"/>
    <col min="15619" max="15619" width="24.5" style="2961" customWidth="1"/>
    <col min="15620" max="15620" width="6.25" style="2961" customWidth="1"/>
    <col min="15621" max="15621" width="11.75" style="2961" customWidth="1"/>
    <col min="15622" max="15623" width="13.875" style="2961" customWidth="1"/>
    <col min="15624" max="15624" width="19.125" style="2961" customWidth="1"/>
    <col min="15625" max="15625" width="7.875" style="2961" customWidth="1"/>
    <col min="15626" max="15626" width="9" style="2961" customWidth="1"/>
    <col min="15627" max="15628" width="10.625" style="2961" customWidth="1"/>
    <col min="15629" max="15629" width="14.375" style="2961" customWidth="1"/>
    <col min="15630" max="15630" width="6.25" style="2961" customWidth="1"/>
    <col min="15631" max="15631" width="29.375" style="2961" customWidth="1"/>
    <col min="15632" max="15874" width="9" style="2961"/>
    <col min="15875" max="15875" width="24.5" style="2961" customWidth="1"/>
    <col min="15876" max="15876" width="6.25" style="2961" customWidth="1"/>
    <col min="15877" max="15877" width="11.75" style="2961" customWidth="1"/>
    <col min="15878" max="15879" width="13.875" style="2961" customWidth="1"/>
    <col min="15880" max="15880" width="19.125" style="2961" customWidth="1"/>
    <col min="15881" max="15881" width="7.875" style="2961" customWidth="1"/>
    <col min="15882" max="15882" width="9" style="2961" customWidth="1"/>
    <col min="15883" max="15884" width="10.625" style="2961" customWidth="1"/>
    <col min="15885" max="15885" width="14.375" style="2961" customWidth="1"/>
    <col min="15886" max="15886" width="6.25" style="2961" customWidth="1"/>
    <col min="15887" max="15887" width="29.375" style="2961" customWidth="1"/>
    <col min="15888" max="16130" width="9" style="2961"/>
    <col min="16131" max="16131" width="24.5" style="2961" customWidth="1"/>
    <col min="16132" max="16132" width="6.25" style="2961" customWidth="1"/>
    <col min="16133" max="16133" width="11.75" style="2961" customWidth="1"/>
    <col min="16134" max="16135" width="13.875" style="2961" customWidth="1"/>
    <col min="16136" max="16136" width="19.125" style="2961" customWidth="1"/>
    <col min="16137" max="16137" width="7.875" style="2961" customWidth="1"/>
    <col min="16138" max="16138" width="9" style="2961" customWidth="1"/>
    <col min="16139" max="16140" width="10.625" style="2961" customWidth="1"/>
    <col min="16141" max="16141" width="14.375" style="2961" customWidth="1"/>
    <col min="16142" max="16142" width="6.25" style="2961" customWidth="1"/>
    <col min="16143" max="16143" width="29.375" style="2961" customWidth="1"/>
    <col min="16144" max="16384" width="9" style="2961"/>
  </cols>
  <sheetData>
    <row r="1" spans="1:15" ht="27">
      <c r="A1" s="2961" t="s">
        <v>3300</v>
      </c>
      <c r="B1" s="2961" t="s">
        <v>3301</v>
      </c>
      <c r="C1" s="2961" t="s">
        <v>3302</v>
      </c>
      <c r="D1" s="2961" t="s">
        <v>3303</v>
      </c>
      <c r="E1" s="2961" t="s">
        <v>3304</v>
      </c>
      <c r="F1" s="2961" t="s">
        <v>3305</v>
      </c>
      <c r="H1" s="2961" t="s">
        <v>3306</v>
      </c>
      <c r="I1" s="2961" t="s">
        <v>3307</v>
      </c>
      <c r="J1" s="2961" t="s">
        <v>3308</v>
      </c>
      <c r="K1" s="2961" t="s">
        <v>3309</v>
      </c>
      <c r="L1" s="2961" t="s">
        <v>3310</v>
      </c>
      <c r="M1" s="2962" t="s">
        <v>3311</v>
      </c>
      <c r="N1" s="2961" t="s">
        <v>3312</v>
      </c>
      <c r="O1" s="2961" t="s">
        <v>3313</v>
      </c>
    </row>
    <row r="2" spans="1:15" s="2966" customFormat="1" ht="27">
      <c r="A2" s="2966" t="s">
        <v>3314</v>
      </c>
      <c r="B2" s="2966" t="s">
        <v>3315</v>
      </c>
      <c r="C2" s="2966" t="s">
        <v>3316</v>
      </c>
      <c r="D2" s="2966">
        <v>15112</v>
      </c>
      <c r="E2" s="2966">
        <v>45336</v>
      </c>
      <c r="F2" s="2966" t="s">
        <v>3317</v>
      </c>
      <c r="G2" s="2966">
        <f>E2/D2</f>
        <v>3</v>
      </c>
      <c r="H2" s="2966" t="s">
        <v>3318</v>
      </c>
      <c r="I2" s="2966" t="s">
        <v>3319</v>
      </c>
      <c r="J2" s="2966">
        <v>3246.05</v>
      </c>
      <c r="K2" s="2966">
        <v>3246.05</v>
      </c>
      <c r="L2" s="2966">
        <v>716</v>
      </c>
      <c r="M2" s="2966">
        <f>ROUND(K2/D2*10000,0)</f>
        <v>2148</v>
      </c>
      <c r="N2" s="2966">
        <v>0</v>
      </c>
      <c r="O2" s="2966" t="s">
        <v>3320</v>
      </c>
    </row>
    <row r="3" spans="1:15" s="2963" customFormat="1" ht="27">
      <c r="A3" s="2963" t="s">
        <v>3351</v>
      </c>
      <c r="B3" s="2963" t="s">
        <v>3315</v>
      </c>
      <c r="C3" s="2963" t="s">
        <v>3316</v>
      </c>
      <c r="D3" s="2963">
        <v>86557</v>
      </c>
      <c r="E3" s="2963">
        <v>138491.20000000001</v>
      </c>
      <c r="F3" s="2963" t="s">
        <v>3321</v>
      </c>
      <c r="G3" s="2963">
        <f t="shared" ref="G3:G9" si="0">E3/D3</f>
        <v>1.6</v>
      </c>
      <c r="H3" s="2963" t="s">
        <v>3318</v>
      </c>
      <c r="I3" s="2963" t="s">
        <v>3322</v>
      </c>
      <c r="J3" s="2963">
        <v>8794.19</v>
      </c>
      <c r="K3" s="2963">
        <v>8794.19</v>
      </c>
      <c r="L3" s="2963">
        <v>635</v>
      </c>
      <c r="M3" s="2963">
        <f t="shared" ref="M3:M9" si="1">ROUND(K3/D3*10000,0)</f>
        <v>1016</v>
      </c>
      <c r="N3" s="2963">
        <v>0</v>
      </c>
      <c r="O3" s="2963" t="s">
        <v>3323</v>
      </c>
    </row>
    <row r="4" spans="1:15" s="2966" customFormat="1" ht="27">
      <c r="A4" s="2966" t="s">
        <v>3324</v>
      </c>
      <c r="B4" s="2966" t="s">
        <v>3315</v>
      </c>
      <c r="C4" s="2966" t="s">
        <v>3316</v>
      </c>
      <c r="D4" s="2966">
        <v>16688</v>
      </c>
      <c r="E4" s="2966">
        <v>45057.599999999999</v>
      </c>
      <c r="F4" s="2966" t="s">
        <v>3325</v>
      </c>
      <c r="G4" s="2966">
        <f t="shared" si="0"/>
        <v>2.6999999999999997</v>
      </c>
      <c r="H4" s="2966" t="s">
        <v>3318</v>
      </c>
      <c r="I4" s="2966" t="s">
        <v>3326</v>
      </c>
      <c r="J4" s="2966">
        <v>2703.46</v>
      </c>
      <c r="K4" s="2966">
        <v>2703.46</v>
      </c>
      <c r="L4" s="2966">
        <v>600</v>
      </c>
      <c r="M4" s="2966">
        <f t="shared" si="1"/>
        <v>1620</v>
      </c>
      <c r="N4" s="2966">
        <v>0</v>
      </c>
      <c r="O4" s="2966" t="s">
        <v>3327</v>
      </c>
    </row>
    <row r="5" spans="1:15" s="2966" customFormat="1" ht="27">
      <c r="A5" s="2966" t="s">
        <v>3328</v>
      </c>
      <c r="B5" s="2966" t="s">
        <v>3315</v>
      </c>
      <c r="C5" s="2966" t="s">
        <v>3316</v>
      </c>
      <c r="D5" s="2966">
        <v>29583</v>
      </c>
      <c r="E5" s="2966">
        <v>91707.3</v>
      </c>
      <c r="F5" s="2966" t="s">
        <v>3329</v>
      </c>
      <c r="G5" s="2966">
        <f t="shared" si="0"/>
        <v>3.1</v>
      </c>
      <c r="H5" s="2966" t="s">
        <v>3318</v>
      </c>
      <c r="I5" s="2966" t="s">
        <v>3330</v>
      </c>
      <c r="J5" s="2966">
        <v>5502.43</v>
      </c>
      <c r="K5" s="2966">
        <v>5502.43</v>
      </c>
      <c r="L5" s="2966">
        <v>600</v>
      </c>
      <c r="M5" s="2966">
        <f t="shared" si="1"/>
        <v>1860</v>
      </c>
      <c r="N5" s="2966">
        <v>0</v>
      </c>
      <c r="O5" s="2966" t="s">
        <v>3331</v>
      </c>
    </row>
    <row r="6" spans="1:15" ht="27">
      <c r="A6" s="2962" t="s">
        <v>3332</v>
      </c>
      <c r="B6" s="2961" t="s">
        <v>3315</v>
      </c>
      <c r="C6" s="2961" t="s">
        <v>3316</v>
      </c>
      <c r="D6" s="2961">
        <v>49832</v>
      </c>
      <c r="E6" s="2961">
        <v>59798.400000000001</v>
      </c>
      <c r="F6" s="2961" t="s">
        <v>3333</v>
      </c>
      <c r="G6" s="2961">
        <f t="shared" si="0"/>
        <v>1.2</v>
      </c>
      <c r="H6" s="2961" t="s">
        <v>3318</v>
      </c>
      <c r="I6" s="2961" t="s">
        <v>3334</v>
      </c>
      <c r="J6" s="2961">
        <v>6229</v>
      </c>
      <c r="K6" s="2961">
        <v>7474.8</v>
      </c>
      <c r="L6" s="2961">
        <v>1250</v>
      </c>
      <c r="M6" s="2961">
        <f t="shared" si="1"/>
        <v>1500</v>
      </c>
      <c r="N6" s="2961">
        <v>20</v>
      </c>
      <c r="O6" s="2961" t="s">
        <v>3335</v>
      </c>
    </row>
    <row r="7" spans="1:15" ht="27">
      <c r="A7" s="2961" t="s">
        <v>3336</v>
      </c>
      <c r="B7" s="2961" t="s">
        <v>3315</v>
      </c>
      <c r="C7" s="2961" t="s">
        <v>3316</v>
      </c>
      <c r="D7" s="2961">
        <v>5064</v>
      </c>
      <c r="E7" s="2961">
        <v>8102.4</v>
      </c>
      <c r="F7" s="2961" t="s">
        <v>3337</v>
      </c>
      <c r="G7" s="2961">
        <f t="shared" si="0"/>
        <v>1.5999999999999999</v>
      </c>
      <c r="H7" s="2961" t="s">
        <v>3318</v>
      </c>
      <c r="I7" s="2961" t="s">
        <v>3338</v>
      </c>
      <c r="J7" s="2961">
        <v>1239.67</v>
      </c>
      <c r="K7" s="2961">
        <v>1239.67</v>
      </c>
      <c r="L7" s="2961">
        <v>1530</v>
      </c>
      <c r="M7" s="2961">
        <f t="shared" si="1"/>
        <v>2448</v>
      </c>
      <c r="N7" s="2961">
        <v>0</v>
      </c>
      <c r="O7" s="2961" t="s">
        <v>3339</v>
      </c>
    </row>
    <row r="8" spans="1:15" ht="27">
      <c r="A8" s="2962" t="s">
        <v>3340</v>
      </c>
      <c r="B8" s="2961" t="s">
        <v>3315</v>
      </c>
      <c r="C8" s="2961" t="s">
        <v>3316</v>
      </c>
      <c r="D8" s="2961">
        <v>23915.8</v>
      </c>
      <c r="E8" s="2961">
        <v>66964.240000000005</v>
      </c>
      <c r="F8" s="2961" t="s">
        <v>3341</v>
      </c>
      <c r="G8" s="2961">
        <f t="shared" si="0"/>
        <v>2.8000000000000003</v>
      </c>
      <c r="H8" s="2961" t="s">
        <v>3318</v>
      </c>
      <c r="I8" s="2961" t="s">
        <v>3342</v>
      </c>
      <c r="J8" s="2961">
        <v>4017.84</v>
      </c>
      <c r="K8" s="2961">
        <v>4017.84</v>
      </c>
      <c r="L8" s="2961">
        <v>600</v>
      </c>
      <c r="M8" s="2961">
        <f t="shared" si="1"/>
        <v>1680</v>
      </c>
      <c r="N8" s="2961">
        <v>0</v>
      </c>
      <c r="O8" s="2961" t="s">
        <v>3343</v>
      </c>
    </row>
    <row r="9" spans="1:15" ht="27">
      <c r="A9" s="2961" t="s">
        <v>3344</v>
      </c>
      <c r="B9" s="2961" t="s">
        <v>3315</v>
      </c>
      <c r="C9" s="2961" t="s">
        <v>3316</v>
      </c>
      <c r="D9" s="2961">
        <v>91834.7</v>
      </c>
      <c r="E9" s="2961">
        <v>119385.1</v>
      </c>
      <c r="F9" s="2961" t="s">
        <v>3345</v>
      </c>
      <c r="G9" s="2961">
        <f t="shared" si="0"/>
        <v>1.2999998911086987</v>
      </c>
      <c r="H9" s="2961" t="s">
        <v>3318</v>
      </c>
      <c r="I9" s="2961" t="s">
        <v>3346</v>
      </c>
      <c r="J9" s="2961">
        <v>6984.02</v>
      </c>
      <c r="K9" s="2961">
        <v>6984.02</v>
      </c>
      <c r="L9" s="2961">
        <v>585</v>
      </c>
      <c r="M9" s="2961">
        <f t="shared" si="1"/>
        <v>760</v>
      </c>
      <c r="N9" s="2961">
        <v>0</v>
      </c>
      <c r="O9" s="2961" t="s">
        <v>3347</v>
      </c>
    </row>
    <row r="23" spans="5:6">
      <c r="E23" s="3366">
        <f>[1]系统读取表!B5*10000</f>
        <v>283390000</v>
      </c>
      <c r="F23" s="3366"/>
    </row>
  </sheetData>
  <mergeCells count="1">
    <mergeCell ref="E23:F23"/>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38" sqref="C38"/>
      <selection pane="bottomLeft" activeCell="B25" sqref="B25"/>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3005</v>
      </c>
      <c r="C1" s="3368" t="s">
        <v>3006</v>
      </c>
      <c r="D1" s="3369"/>
      <c r="E1" s="3369"/>
      <c r="F1" s="3369"/>
      <c r="G1" s="3369"/>
      <c r="H1" s="3369"/>
      <c r="I1" s="3369"/>
      <c r="J1" s="3369"/>
      <c r="K1" s="3369"/>
      <c r="L1" s="3369"/>
      <c r="M1" s="3369"/>
      <c r="N1" s="3369"/>
      <c r="O1" s="3369"/>
      <c r="P1" s="3369"/>
      <c r="Q1" s="3369"/>
      <c r="R1" s="3369"/>
      <c r="S1" s="3370"/>
      <c r="T1" s="1207" t="s">
        <v>3007</v>
      </c>
    </row>
    <row r="2" spans="1:45" s="707" customFormat="1">
      <c r="A2" s="1208"/>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3009</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3010</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3011</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3015</v>
      </c>
      <c r="B17" s="2922" t="s">
        <v>3016</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3017</v>
      </c>
      <c r="E19" s="1795"/>
      <c r="F19" s="1795"/>
      <c r="G19" s="1795"/>
      <c r="H19" s="1283"/>
      <c r="I19" s="168"/>
      <c r="J19" s="168"/>
      <c r="K19" s="168"/>
      <c r="L19" s="168"/>
      <c r="M19" s="168"/>
      <c r="N19" s="168"/>
      <c r="O19" s="168"/>
      <c r="P19" s="168"/>
      <c r="Q19" s="168"/>
      <c r="R19" s="788"/>
      <c r="S19" s="138"/>
    </row>
    <row r="20" spans="1:45" ht="16.5" thickBot="1">
      <c r="A20" s="715" t="s">
        <v>3018</v>
      </c>
      <c r="B20" s="338" t="e">
        <f ca="1">IF(D20="——",S22,S22-F20)</f>
        <v>#REF!</v>
      </c>
      <c r="C20" s="168"/>
      <c r="D20" s="2924" t="s">
        <v>3019</v>
      </c>
      <c r="E20" s="1796"/>
      <c r="F20" s="1207" t="e">
        <f ca="1">SUMIF(INDIRECT("'"&amp;H20&amp;"'"&amp;"!A:A"),"承租人权益价值",INDIRECT("'"&amp;H20&amp;"'"&amp;"!c:c"))</f>
        <v>#REF!</v>
      </c>
      <c r="G20" s="1207" t="s">
        <v>3020</v>
      </c>
      <c r="H20" s="2925"/>
      <c r="I20" s="168"/>
      <c r="J20" s="168"/>
      <c r="K20" s="168"/>
      <c r="L20" s="168"/>
      <c r="M20" s="168"/>
      <c r="N20" s="168"/>
      <c r="O20" s="168"/>
      <c r="P20" s="168"/>
      <c r="Q20" s="168"/>
      <c r="R20" s="788"/>
      <c r="S20" s="138"/>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229" t="s">
        <v>33</v>
      </c>
      <c r="D22" s="3230"/>
      <c r="E22" s="3230"/>
      <c r="F22" s="3230"/>
      <c r="G22" s="3230"/>
      <c r="H22" s="3230"/>
      <c r="I22" s="3230"/>
      <c r="J22" s="3230"/>
      <c r="K22" s="3230"/>
      <c r="L22" s="3230"/>
      <c r="M22" s="3230"/>
      <c r="N22" s="3230"/>
      <c r="O22" s="3230"/>
      <c r="P22" s="3230"/>
      <c r="Q22" s="3367"/>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40476</v>
      </c>
      <c r="C2" s="2" t="s">
        <v>133</v>
      </c>
      <c r="D2" s="243"/>
      <c r="E2" s="243"/>
      <c r="F2" s="243"/>
      <c r="G2" s="243"/>
    </row>
    <row r="3" spans="1:7" s="244" customFormat="1" ht="18" customHeight="1" thickBot="1">
      <c r="A3" s="247" t="s">
        <v>85</v>
      </c>
      <c r="B3" s="248">
        <f ca="1">ROUND(B2*10000/'数据-汇总表'!E3,0)</f>
        <v>19795</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286</v>
      </c>
      <c r="D10" s="1035">
        <f>'数据-汇总表'!E6</f>
        <v>20447.539999999997</v>
      </c>
      <c r="E10" s="269">
        <f>'数据-取费表'!B28</f>
        <v>140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368</v>
      </c>
      <c r="D19" s="1039">
        <f>'数据-汇总表'!E3</f>
        <v>20447.539999999997</v>
      </c>
      <c r="E19" s="255">
        <f>'数据-取费表'!B31</f>
        <v>180</v>
      </c>
      <c r="F19" s="275"/>
      <c r="G19" s="1" t="s">
        <v>1071</v>
      </c>
    </row>
    <row r="20" spans="1:7" s="258" customFormat="1" ht="13.5" customHeight="1">
      <c r="A20" s="951" t="s">
        <v>1054</v>
      </c>
      <c r="B20" s="254" t="s">
        <v>104</v>
      </c>
      <c r="C20" s="276">
        <f>ROUND((C5+C19)*F20,0)</f>
        <v>629</v>
      </c>
      <c r="D20" s="276"/>
      <c r="E20" s="276"/>
      <c r="F20" s="277">
        <f>'数据-取费表'!B37</f>
        <v>0.03</v>
      </c>
      <c r="G20" s="1292" t="s">
        <v>1065</v>
      </c>
    </row>
    <row r="21" spans="1:7" s="258" customFormat="1" ht="13.5" customHeight="1">
      <c r="A21" s="951" t="s">
        <v>1056</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3179</v>
      </c>
      <c r="D22" s="279">
        <f ca="1">C26</f>
        <v>2.2000000000000001E-3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3079</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55</v>
      </c>
      <c r="D24" s="282"/>
      <c r="E24" s="282"/>
      <c r="F24" s="283"/>
      <c r="G24" s="284" t="s">
        <v>109</v>
      </c>
    </row>
    <row r="25" spans="1:7" s="258" customFormat="1" ht="24">
      <c r="A25" s="954" t="s">
        <v>793</v>
      </c>
      <c r="B25" s="259" t="s">
        <v>1055</v>
      </c>
      <c r="C25" s="1358">
        <f ca="1">ROUND(IF('数据-取费表'!B22&lt;=1,C20*F22*'数据-取费表'!B23/2,C20*(POWER((1+F22),'数据-取费表'!B23/2)-1)),0)</f>
        <v>45</v>
      </c>
      <c r="D25" s="282"/>
      <c r="E25" s="285"/>
      <c r="F25" s="283"/>
      <c r="G25" s="286" t="s">
        <v>110</v>
      </c>
    </row>
    <row r="26" spans="1:7" s="258" customFormat="1">
      <c r="A26" s="954" t="s">
        <v>795</v>
      </c>
      <c r="B26" s="259" t="s">
        <v>1057</v>
      </c>
      <c r="C26" s="282">
        <f ca="1">ROUND(IF('数据-取费表'!B22&lt;=1,F21*F22*'数据-取费表'!B23/2,F21*(POWER((1+F22),'数据-取费表'!B23/2)-1)),4)</f>
        <v>2.2000000000000001E-3</v>
      </c>
      <c r="D26" s="282"/>
      <c r="E26" s="285"/>
      <c r="F26" s="283"/>
      <c r="G26" s="287"/>
    </row>
    <row r="27" spans="1:7" s="258" customFormat="1" ht="24.75">
      <c r="A27" s="951" t="s">
        <v>787</v>
      </c>
      <c r="B27" s="288" t="s">
        <v>112</v>
      </c>
      <c r="C27" s="289">
        <f>C28</f>
        <v>4321</v>
      </c>
      <c r="D27" s="279">
        <f>C29</f>
        <v>6.0000000000000001E-3</v>
      </c>
      <c r="E27" s="280" t="s">
        <v>126</v>
      </c>
      <c r="F27" s="290">
        <f>'数据-取费表'!Q16</f>
        <v>0.2</v>
      </c>
      <c r="G27" s="291" t="s">
        <v>1066</v>
      </c>
    </row>
    <row r="28" spans="1:7" s="258" customFormat="1" ht="13.5" customHeight="1">
      <c r="A28" s="954" t="s">
        <v>794</v>
      </c>
      <c r="B28" s="292" t="s">
        <v>1059</v>
      </c>
      <c r="C28" s="293">
        <f>ROUND((C5+C19+C20)*F27*'数据-取费表'!B21/'数据-取费表'!B20,0)</f>
        <v>4321</v>
      </c>
      <c r="D28" s="279"/>
      <c r="E28" s="280"/>
      <c r="F28" s="290"/>
      <c r="G28" s="291"/>
    </row>
    <row r="29" spans="1:7" s="258" customFormat="1" ht="13.5" customHeight="1">
      <c r="A29" s="954" t="s">
        <v>792</v>
      </c>
      <c r="B29" s="292" t="s">
        <v>1060</v>
      </c>
      <c r="C29" s="282">
        <f>ROUND(C21*F27*'数据-取费表'!B21/'数据-取费表'!B20,4)</f>
        <v>6.0000000000000001E-3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32040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6030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5316</v>
      </c>
      <c r="D34" s="261"/>
      <c r="E34" s="264"/>
      <c r="F34" s="301">
        <f>IF('数据-取费表'!B24=0,1,'数据-取费表'!N16)</f>
        <v>1</v>
      </c>
      <c r="G34" s="263" t="s">
        <v>116</v>
      </c>
    </row>
    <row r="35" spans="1:7" ht="13.5" customHeight="1">
      <c r="A35" s="954" t="s">
        <v>796</v>
      </c>
      <c r="B35" s="259" t="s">
        <v>60</v>
      </c>
      <c r="C35" s="264">
        <f>ROUND(C34*F35,0)</f>
        <v>266</v>
      </c>
      <c r="D35" s="264"/>
      <c r="E35" s="264"/>
      <c r="F35" s="303">
        <f>'数据-取费表'!B33</f>
        <v>0.05</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368</v>
      </c>
      <c r="D37" s="261">
        <f>'数据-汇总表'!E3</f>
        <v>20447.539999999997</v>
      </c>
      <c r="E37" s="293">
        <f>'数据-取费表'!B35</f>
        <v>180</v>
      </c>
      <c r="F37" s="303"/>
      <c r="G37" s="305" t="s">
        <v>119</v>
      </c>
    </row>
    <row r="38" spans="1:7" ht="13.5" customHeight="1">
      <c r="A38" s="954" t="s">
        <v>799</v>
      </c>
      <c r="B38" s="259" t="s">
        <v>63</v>
      </c>
      <c r="C38" s="264">
        <f>ROUND(C34*F38,0)</f>
        <v>80</v>
      </c>
      <c r="D38" s="264"/>
      <c r="E38" s="264"/>
      <c r="F38" s="303">
        <f>'数据-取费表'!B36</f>
        <v>1.4999999999999999E-2</v>
      </c>
      <c r="G38" s="263" t="s">
        <v>117</v>
      </c>
    </row>
    <row r="39" spans="1:7" s="258" customFormat="1" ht="13.5" customHeight="1">
      <c r="A39" s="951" t="s">
        <v>783</v>
      </c>
      <c r="B39" s="254" t="s">
        <v>104</v>
      </c>
      <c r="C39" s="276">
        <f>ROUND(C33*F20,0)</f>
        <v>181</v>
      </c>
      <c r="D39" s="276"/>
      <c r="E39" s="276"/>
      <c r="F39" s="277"/>
      <c r="G39" s="1292" t="s">
        <v>1068</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448</v>
      </c>
      <c r="D41" s="279">
        <f ca="1">C44</f>
        <v>2.2000000000000001E-3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435</v>
      </c>
      <c r="D42" s="282"/>
      <c r="E42" s="282"/>
      <c r="F42" s="283"/>
      <c r="G42" s="3234" t="s">
        <v>121</v>
      </c>
    </row>
    <row r="43" spans="1:7" ht="13.5" customHeight="1">
      <c r="A43" s="954" t="s">
        <v>792</v>
      </c>
      <c r="B43" s="259" t="s">
        <v>1061</v>
      </c>
      <c r="C43" s="282">
        <f ca="1">ROUND(IF('数据-取费表'!B22&lt;=1,C39*F22*'数据-取费表'!B21/2,C39*(POWER((1+F22),'数据-取费表'!B21/2)-1)),0)</f>
        <v>13</v>
      </c>
      <c r="D43" s="282"/>
      <c r="E43" s="282"/>
      <c r="F43" s="283"/>
      <c r="G43" s="3235"/>
    </row>
    <row r="44" spans="1:7" ht="13.5" customHeight="1">
      <c r="A44" s="954" t="s">
        <v>793</v>
      </c>
      <c r="B44" s="259" t="s">
        <v>1063</v>
      </c>
      <c r="C44" s="282">
        <f ca="1">ROUND(IF('数据-取费表'!B22&lt;=1,C40*F22*'数据-取费表'!B21/2,C40*(POWER((1+F22),'数据-取费表'!B21/2)-1)),4)</f>
        <v>2.2000000000000001E-3</v>
      </c>
      <c r="D44" s="282"/>
      <c r="E44" s="282"/>
      <c r="F44" s="283"/>
      <c r="G44" s="3236"/>
    </row>
    <row r="45" spans="1:7" s="258" customFormat="1" ht="13.5" customHeight="1">
      <c r="A45" s="951" t="s">
        <v>786</v>
      </c>
      <c r="B45" s="288" t="s">
        <v>112</v>
      </c>
      <c r="C45" s="289">
        <f>C46</f>
        <v>1242</v>
      </c>
      <c r="D45" s="279">
        <f>C47</f>
        <v>6.0000000000000001E-3</v>
      </c>
      <c r="E45" s="280" t="s">
        <v>129</v>
      </c>
      <c r="F45" s="290"/>
      <c r="G45" s="291" t="s">
        <v>1069</v>
      </c>
    </row>
    <row r="46" spans="1:7" s="258" customFormat="1" ht="13.5" customHeight="1">
      <c r="A46" s="954" t="s">
        <v>794</v>
      </c>
      <c r="B46" s="292" t="s">
        <v>1062</v>
      </c>
      <c r="C46" s="293">
        <f>ROUND((C33+C39)*F27,0)</f>
        <v>1242</v>
      </c>
      <c r="D46" s="307"/>
      <c r="E46" s="280"/>
      <c r="F46" s="290"/>
      <c r="G46" s="291"/>
    </row>
    <row r="47" spans="1:7" s="258" customFormat="1" ht="13.5" customHeight="1">
      <c r="A47" s="954" t="s">
        <v>792</v>
      </c>
      <c r="B47" s="292" t="s">
        <v>1064</v>
      </c>
      <c r="C47" s="282">
        <f>ROUND(C40*F27,4)</f>
        <v>6.0000000000000001E-3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8697</v>
      </c>
      <c r="D49" s="276"/>
      <c r="E49" s="276"/>
      <c r="F49" s="308"/>
      <c r="G49" s="278" t="s">
        <v>1070</v>
      </c>
    </row>
    <row r="50" spans="1:7" s="302" customFormat="1" ht="24">
      <c r="A50" s="951" t="s">
        <v>789</v>
      </c>
      <c r="B50" s="254" t="s">
        <v>124</v>
      </c>
      <c r="C50" s="276"/>
      <c r="D50" s="276"/>
      <c r="E50" s="276"/>
      <c r="F50" s="308">
        <f>IF('数据-取费表'!B24=0,'数据-取费表'!N16,1)</f>
        <v>0.97</v>
      </c>
      <c r="G50" s="291" t="s">
        <v>125</v>
      </c>
    </row>
    <row r="51" spans="1:7" ht="16.5" customHeight="1">
      <c r="A51" s="951" t="s">
        <v>790</v>
      </c>
      <c r="B51" s="254" t="s">
        <v>132</v>
      </c>
      <c r="C51" s="276">
        <f ca="1">ROUND(C49*F50,0)</f>
        <v>8436</v>
      </c>
      <c r="D51" s="276"/>
      <c r="E51" s="276"/>
      <c r="F51" s="308"/>
      <c r="G51" s="278" t="s">
        <v>64</v>
      </c>
    </row>
    <row r="52" spans="1:7" s="252" customFormat="1" ht="16.5" thickBot="1">
      <c r="A52" s="309" t="s">
        <v>65</v>
      </c>
      <c r="B52" s="310"/>
      <c r="C52" s="311">
        <f ca="1">C31+C51</f>
        <v>40476</v>
      </c>
      <c r="D52" s="310"/>
      <c r="E52" s="310"/>
      <c r="F52" s="310"/>
      <c r="G52" s="312"/>
    </row>
    <row r="55" spans="1:7" ht="15">
      <c r="B55" s="314" t="s">
        <v>66</v>
      </c>
      <c r="C55" s="315"/>
    </row>
    <row r="56" spans="1:7">
      <c r="B56" s="317" t="s">
        <v>67</v>
      </c>
      <c r="C56" s="318">
        <f ca="1">ROUND(C51/C52,3)</f>
        <v>0.20799999999999999</v>
      </c>
    </row>
    <row r="57" spans="1:7">
      <c r="B57" s="317" t="s">
        <v>68</v>
      </c>
      <c r="C57" s="319">
        <f ca="1">1-C56</f>
        <v>0.79200000000000004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71" t="s">
        <v>156</v>
      </c>
      <c r="B1" s="3371"/>
      <c r="C1" s="3371"/>
      <c r="D1" s="3371"/>
      <c r="E1" s="3371"/>
      <c r="F1" s="337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72" t="s">
        <v>169</v>
      </c>
      <c r="B2" s="3372"/>
      <c r="C2" s="3372"/>
      <c r="D2" s="3372"/>
      <c r="E2" s="3372"/>
      <c r="F2" s="337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7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7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71" t="s">
        <v>868</v>
      </c>
      <c r="B1" s="3371"/>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43598</v>
      </c>
      <c r="D1" s="1703" t="s">
        <v>1297</v>
      </c>
      <c r="E1" s="1698">
        <f>'数据-取费表'!B22</f>
        <v>3</v>
      </c>
      <c r="F1" s="1703" t="s">
        <v>1298</v>
      </c>
      <c r="G1" s="1699">
        <f ca="1">INDIRECT("d"&amp;$K$1)/100</f>
        <v>4.7500000000000001E-2</v>
      </c>
      <c r="H1" s="1703" t="s">
        <v>1328</v>
      </c>
      <c r="I1" s="1699">
        <f ca="1">F4/100</f>
        <v>1.4999999999999999E-2</v>
      </c>
      <c r="J1" s="1704">
        <f>IF(C1&gt;C13,0,MATCH(C1,C$13:C$100,-1))+IF(SUMIF(C13:C100,C1,D13:D100)=0,13,12)</f>
        <v>13</v>
      </c>
      <c r="K1" s="1704">
        <f ca="1">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16"/>
  <sheetViews>
    <sheetView workbookViewId="0">
      <selection activeCell="J11" sqref="J11"/>
    </sheetView>
  </sheetViews>
  <sheetFormatPr defaultRowHeight="13.5"/>
  <cols>
    <col min="4" max="4" width="10.125" customWidth="1"/>
    <col min="5" max="5" width="20.875" customWidth="1"/>
    <col min="6" max="6" width="13.125" customWidth="1"/>
    <col min="7" max="8" width="16.125" bestFit="1" customWidth="1"/>
    <col min="9" max="9" width="8.5" bestFit="1" customWidth="1"/>
    <col min="10" max="10" width="10.5" bestFit="1" customWidth="1"/>
  </cols>
  <sheetData>
    <row r="5" spans="1:10" ht="14.25" thickBot="1"/>
    <row r="6" spans="1:10" ht="14.25" thickBot="1">
      <c r="E6" s="3375" t="s">
        <v>3411</v>
      </c>
      <c r="F6" s="3380" t="s">
        <v>3412</v>
      </c>
      <c r="G6" s="3377" t="s">
        <v>3408</v>
      </c>
      <c r="H6" s="3378"/>
      <c r="I6" s="3379"/>
    </row>
    <row r="7" spans="1:10" ht="14.25" thickBot="1">
      <c r="E7" s="3376"/>
      <c r="F7" s="3381"/>
      <c r="G7" s="2992" t="s">
        <v>3409</v>
      </c>
      <c r="H7" s="2992" t="s">
        <v>3410</v>
      </c>
      <c r="I7" s="2992" t="s">
        <v>37</v>
      </c>
      <c r="J7" s="3033" t="s">
        <v>4493</v>
      </c>
    </row>
    <row r="8" spans="1:10" ht="25.5" thickBot="1">
      <c r="E8" s="2993" t="s">
        <v>3413</v>
      </c>
      <c r="F8" s="2994">
        <v>1462.7400000000021</v>
      </c>
      <c r="G8" s="2995">
        <v>13106.659999999993</v>
      </c>
      <c r="H8" s="2995">
        <v>0</v>
      </c>
      <c r="I8" s="2995">
        <f>G8+H8</f>
        <v>13106.659999999993</v>
      </c>
      <c r="J8">
        <f ca="1">'3号楼面积清单'!N229</f>
        <v>137279155</v>
      </c>
    </row>
    <row r="9" spans="1:10" ht="25.5" thickBot="1">
      <c r="E9" s="2993" t="s">
        <v>3414</v>
      </c>
      <c r="F9" s="2994">
        <v>947.49000000000024</v>
      </c>
      <c r="G9" s="2995">
        <v>7397.6099999999988</v>
      </c>
      <c r="H9" s="2995">
        <v>0</v>
      </c>
      <c r="I9" s="2995">
        <f t="shared" ref="I9:I10" si="0">G9+H9</f>
        <v>7397.6099999999988</v>
      </c>
      <c r="J9">
        <f>'6号楼面积清单'!N127</f>
        <v>81758376</v>
      </c>
    </row>
    <row r="10" spans="1:10" ht="25.5" thickBot="1">
      <c r="E10" s="2993" t="s">
        <v>3415</v>
      </c>
      <c r="F10" s="2994">
        <v>929.57999999999993</v>
      </c>
      <c r="G10" s="2995">
        <v>7340.8800000000037</v>
      </c>
      <c r="H10" s="2995">
        <v>0</v>
      </c>
      <c r="I10" s="2995">
        <f t="shared" si="0"/>
        <v>7340.8800000000037</v>
      </c>
      <c r="J10">
        <f ca="1">'7号楼面积清单'!N123</f>
        <v>76888366</v>
      </c>
    </row>
    <row r="11" spans="1:10" ht="14.25" thickBot="1">
      <c r="E11" s="2998" t="s">
        <v>37</v>
      </c>
      <c r="F11" s="2997">
        <f>SUM(F8:F10)</f>
        <v>3339.8100000000022</v>
      </c>
      <c r="G11" s="2996">
        <f>SUM(G8:G10)</f>
        <v>27845.149999999994</v>
      </c>
      <c r="H11" s="2996">
        <v>0</v>
      </c>
      <c r="I11" s="2995">
        <f>G11+H11</f>
        <v>27845.149999999994</v>
      </c>
      <c r="J11">
        <f ca="1">ROUND(SUM(J8:J10)/10000,0)</f>
        <v>29593</v>
      </c>
    </row>
    <row r="16" spans="1:10">
      <c r="A16" s="3001"/>
      <c r="B16" s="3001"/>
      <c r="C16" s="3001"/>
      <c r="D16" s="3001"/>
      <c r="E16" s="3001"/>
      <c r="F16" s="3001"/>
      <c r="G16" s="3001"/>
    </row>
  </sheetData>
  <mergeCells count="3">
    <mergeCell ref="E6:E7"/>
    <mergeCell ref="G6:I6"/>
    <mergeCell ref="F6:F7"/>
  </mergeCells>
  <phoneticPr fontId="143"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7"/>
  <sheetViews>
    <sheetView topLeftCell="C1" workbookViewId="0">
      <selection activeCell="N4" sqref="N4"/>
    </sheetView>
  </sheetViews>
  <sheetFormatPr defaultRowHeight="12"/>
  <cols>
    <col min="1" max="1" width="3.625" style="3002" customWidth="1"/>
    <col min="2" max="2" width="6.25" style="3002" customWidth="1"/>
    <col min="3" max="3" width="18.375" style="3002" customWidth="1"/>
    <col min="4" max="4" width="19.875" style="3002" customWidth="1"/>
    <col min="5" max="5" width="18.125" style="3013" customWidth="1"/>
    <col min="6" max="6" width="10.5" style="3002" bestFit="1" customWidth="1"/>
    <col min="7" max="8" width="9" style="3002" customWidth="1"/>
    <col min="9" max="9" width="9" style="3002"/>
    <col min="10" max="10" width="9.125" style="3002" customWidth="1"/>
    <col min="11" max="13" width="9" style="3002"/>
    <col min="14" max="14" width="12.5" style="3002" customWidth="1"/>
    <col min="15" max="256" width="9" style="3002"/>
    <col min="257" max="257" width="3.625" style="3002" customWidth="1"/>
    <col min="258" max="258" width="6.25" style="3002" customWidth="1"/>
    <col min="259" max="259" width="18.375" style="3002" customWidth="1"/>
    <col min="260" max="260" width="19.875" style="3002" customWidth="1"/>
    <col min="261" max="261" width="18.125" style="3002" customWidth="1"/>
    <col min="262" max="262" width="10.5" style="3002" bestFit="1" customWidth="1"/>
    <col min="263" max="264" width="9" style="3002" customWidth="1"/>
    <col min="265" max="265" width="9" style="3002"/>
    <col min="266" max="266" width="9.125" style="3002" customWidth="1"/>
    <col min="267" max="512" width="9" style="3002"/>
    <col min="513" max="513" width="3.625" style="3002" customWidth="1"/>
    <col min="514" max="514" width="6.25" style="3002" customWidth="1"/>
    <col min="515" max="515" width="18.375" style="3002" customWidth="1"/>
    <col min="516" max="516" width="19.875" style="3002" customWidth="1"/>
    <col min="517" max="517" width="18.125" style="3002" customWidth="1"/>
    <col min="518" max="518" width="10.5" style="3002" bestFit="1" customWidth="1"/>
    <col min="519" max="520" width="9" style="3002" customWidth="1"/>
    <col min="521" max="521" width="9" style="3002"/>
    <col min="522" max="522" width="9.125" style="3002" customWidth="1"/>
    <col min="523" max="768" width="9" style="3002"/>
    <col min="769" max="769" width="3.625" style="3002" customWidth="1"/>
    <col min="770" max="770" width="6.25" style="3002" customWidth="1"/>
    <col min="771" max="771" width="18.375" style="3002" customWidth="1"/>
    <col min="772" max="772" width="19.875" style="3002" customWidth="1"/>
    <col min="773" max="773" width="18.125" style="3002" customWidth="1"/>
    <col min="774" max="774" width="10.5" style="3002" bestFit="1" customWidth="1"/>
    <col min="775" max="776" width="9" style="3002" customWidth="1"/>
    <col min="777" max="777" width="9" style="3002"/>
    <col min="778" max="778" width="9.125" style="3002" customWidth="1"/>
    <col min="779" max="1024" width="9" style="3002"/>
    <col min="1025" max="1025" width="3.625" style="3002" customWidth="1"/>
    <col min="1026" max="1026" width="6.25" style="3002" customWidth="1"/>
    <col min="1027" max="1027" width="18.375" style="3002" customWidth="1"/>
    <col min="1028" max="1028" width="19.875" style="3002" customWidth="1"/>
    <col min="1029" max="1029" width="18.125" style="3002" customWidth="1"/>
    <col min="1030" max="1030" width="10.5" style="3002" bestFit="1" customWidth="1"/>
    <col min="1031" max="1032" width="9" style="3002" customWidth="1"/>
    <col min="1033" max="1033" width="9" style="3002"/>
    <col min="1034" max="1034" width="9.125" style="3002" customWidth="1"/>
    <col min="1035" max="1280" width="9" style="3002"/>
    <col min="1281" max="1281" width="3.625" style="3002" customWidth="1"/>
    <col min="1282" max="1282" width="6.25" style="3002" customWidth="1"/>
    <col min="1283" max="1283" width="18.375" style="3002" customWidth="1"/>
    <col min="1284" max="1284" width="19.875" style="3002" customWidth="1"/>
    <col min="1285" max="1285" width="18.125" style="3002" customWidth="1"/>
    <col min="1286" max="1286" width="10.5" style="3002" bestFit="1" customWidth="1"/>
    <col min="1287" max="1288" width="9" style="3002" customWidth="1"/>
    <col min="1289" max="1289" width="9" style="3002"/>
    <col min="1290" max="1290" width="9.125" style="3002" customWidth="1"/>
    <col min="1291" max="1536" width="9" style="3002"/>
    <col min="1537" max="1537" width="3.625" style="3002" customWidth="1"/>
    <col min="1538" max="1538" width="6.25" style="3002" customWidth="1"/>
    <col min="1539" max="1539" width="18.375" style="3002" customWidth="1"/>
    <col min="1540" max="1540" width="19.875" style="3002" customWidth="1"/>
    <col min="1541" max="1541" width="18.125" style="3002" customWidth="1"/>
    <col min="1542" max="1542" width="10.5" style="3002" bestFit="1" customWidth="1"/>
    <col min="1543" max="1544" width="9" style="3002" customWidth="1"/>
    <col min="1545" max="1545" width="9" style="3002"/>
    <col min="1546" max="1546" width="9.125" style="3002" customWidth="1"/>
    <col min="1547" max="1792" width="9" style="3002"/>
    <col min="1793" max="1793" width="3.625" style="3002" customWidth="1"/>
    <col min="1794" max="1794" width="6.25" style="3002" customWidth="1"/>
    <col min="1795" max="1795" width="18.375" style="3002" customWidth="1"/>
    <col min="1796" max="1796" width="19.875" style="3002" customWidth="1"/>
    <col min="1797" max="1797" width="18.125" style="3002" customWidth="1"/>
    <col min="1798" max="1798" width="10.5" style="3002" bestFit="1" customWidth="1"/>
    <col min="1799" max="1800" width="9" style="3002" customWidth="1"/>
    <col min="1801" max="1801" width="9" style="3002"/>
    <col min="1802" max="1802" width="9.125" style="3002" customWidth="1"/>
    <col min="1803" max="2048" width="9" style="3002"/>
    <col min="2049" max="2049" width="3.625" style="3002" customWidth="1"/>
    <col min="2050" max="2050" width="6.25" style="3002" customWidth="1"/>
    <col min="2051" max="2051" width="18.375" style="3002" customWidth="1"/>
    <col min="2052" max="2052" width="19.875" style="3002" customWidth="1"/>
    <col min="2053" max="2053" width="18.125" style="3002" customWidth="1"/>
    <col min="2054" max="2054" width="10.5" style="3002" bestFit="1" customWidth="1"/>
    <col min="2055" max="2056" width="9" style="3002" customWidth="1"/>
    <col min="2057" max="2057" width="9" style="3002"/>
    <col min="2058" max="2058" width="9.125" style="3002" customWidth="1"/>
    <col min="2059" max="2304" width="9" style="3002"/>
    <col min="2305" max="2305" width="3.625" style="3002" customWidth="1"/>
    <col min="2306" max="2306" width="6.25" style="3002" customWidth="1"/>
    <col min="2307" max="2307" width="18.375" style="3002" customWidth="1"/>
    <col min="2308" max="2308" width="19.875" style="3002" customWidth="1"/>
    <col min="2309" max="2309" width="18.125" style="3002" customWidth="1"/>
    <col min="2310" max="2310" width="10.5" style="3002" bestFit="1" customWidth="1"/>
    <col min="2311" max="2312" width="9" style="3002" customWidth="1"/>
    <col min="2313" max="2313" width="9" style="3002"/>
    <col min="2314" max="2314" width="9.125" style="3002" customWidth="1"/>
    <col min="2315" max="2560" width="9" style="3002"/>
    <col min="2561" max="2561" width="3.625" style="3002" customWidth="1"/>
    <col min="2562" max="2562" width="6.25" style="3002" customWidth="1"/>
    <col min="2563" max="2563" width="18.375" style="3002" customWidth="1"/>
    <col min="2564" max="2564" width="19.875" style="3002" customWidth="1"/>
    <col min="2565" max="2565" width="18.125" style="3002" customWidth="1"/>
    <col min="2566" max="2566" width="10.5" style="3002" bestFit="1" customWidth="1"/>
    <col min="2567" max="2568" width="9" style="3002" customWidth="1"/>
    <col min="2569" max="2569" width="9" style="3002"/>
    <col min="2570" max="2570" width="9.125" style="3002" customWidth="1"/>
    <col min="2571" max="2816" width="9" style="3002"/>
    <col min="2817" max="2817" width="3.625" style="3002" customWidth="1"/>
    <col min="2818" max="2818" width="6.25" style="3002" customWidth="1"/>
    <col min="2819" max="2819" width="18.375" style="3002" customWidth="1"/>
    <col min="2820" max="2820" width="19.875" style="3002" customWidth="1"/>
    <col min="2821" max="2821" width="18.125" style="3002" customWidth="1"/>
    <col min="2822" max="2822" width="10.5" style="3002" bestFit="1" customWidth="1"/>
    <col min="2823" max="2824" width="9" style="3002" customWidth="1"/>
    <col min="2825" max="2825" width="9" style="3002"/>
    <col min="2826" max="2826" width="9.125" style="3002" customWidth="1"/>
    <col min="2827" max="3072" width="9" style="3002"/>
    <col min="3073" max="3073" width="3.625" style="3002" customWidth="1"/>
    <col min="3074" max="3074" width="6.25" style="3002" customWidth="1"/>
    <col min="3075" max="3075" width="18.375" style="3002" customWidth="1"/>
    <col min="3076" max="3076" width="19.875" style="3002" customWidth="1"/>
    <col min="3077" max="3077" width="18.125" style="3002" customWidth="1"/>
    <col min="3078" max="3078" width="10.5" style="3002" bestFit="1" customWidth="1"/>
    <col min="3079" max="3080" width="9" style="3002" customWidth="1"/>
    <col min="3081" max="3081" width="9" style="3002"/>
    <col min="3082" max="3082" width="9.125" style="3002" customWidth="1"/>
    <col min="3083" max="3328" width="9" style="3002"/>
    <col min="3329" max="3329" width="3.625" style="3002" customWidth="1"/>
    <col min="3330" max="3330" width="6.25" style="3002" customWidth="1"/>
    <col min="3331" max="3331" width="18.375" style="3002" customWidth="1"/>
    <col min="3332" max="3332" width="19.875" style="3002" customWidth="1"/>
    <col min="3333" max="3333" width="18.125" style="3002" customWidth="1"/>
    <col min="3334" max="3334" width="10.5" style="3002" bestFit="1" customWidth="1"/>
    <col min="3335" max="3336" width="9" style="3002" customWidth="1"/>
    <col min="3337" max="3337" width="9" style="3002"/>
    <col min="3338" max="3338" width="9.125" style="3002" customWidth="1"/>
    <col min="3339" max="3584" width="9" style="3002"/>
    <col min="3585" max="3585" width="3.625" style="3002" customWidth="1"/>
    <col min="3586" max="3586" width="6.25" style="3002" customWidth="1"/>
    <col min="3587" max="3587" width="18.375" style="3002" customWidth="1"/>
    <col min="3588" max="3588" width="19.875" style="3002" customWidth="1"/>
    <col min="3589" max="3589" width="18.125" style="3002" customWidth="1"/>
    <col min="3590" max="3590" width="10.5" style="3002" bestFit="1" customWidth="1"/>
    <col min="3591" max="3592" width="9" style="3002" customWidth="1"/>
    <col min="3593" max="3593" width="9" style="3002"/>
    <col min="3594" max="3594" width="9.125" style="3002" customWidth="1"/>
    <col min="3595" max="3840" width="9" style="3002"/>
    <col min="3841" max="3841" width="3.625" style="3002" customWidth="1"/>
    <col min="3842" max="3842" width="6.25" style="3002" customWidth="1"/>
    <col min="3843" max="3843" width="18.375" style="3002" customWidth="1"/>
    <col min="3844" max="3844" width="19.875" style="3002" customWidth="1"/>
    <col min="3845" max="3845" width="18.125" style="3002" customWidth="1"/>
    <col min="3846" max="3846" width="10.5" style="3002" bestFit="1" customWidth="1"/>
    <col min="3847" max="3848" width="9" style="3002" customWidth="1"/>
    <col min="3849" max="3849" width="9" style="3002"/>
    <col min="3850" max="3850" width="9.125" style="3002" customWidth="1"/>
    <col min="3851" max="4096" width="9" style="3002"/>
    <col min="4097" max="4097" width="3.625" style="3002" customWidth="1"/>
    <col min="4098" max="4098" width="6.25" style="3002" customWidth="1"/>
    <col min="4099" max="4099" width="18.375" style="3002" customWidth="1"/>
    <col min="4100" max="4100" width="19.875" style="3002" customWidth="1"/>
    <col min="4101" max="4101" width="18.125" style="3002" customWidth="1"/>
    <col min="4102" max="4102" width="10.5" style="3002" bestFit="1" customWidth="1"/>
    <col min="4103" max="4104" width="9" style="3002" customWidth="1"/>
    <col min="4105" max="4105" width="9" style="3002"/>
    <col min="4106" max="4106" width="9.125" style="3002" customWidth="1"/>
    <col min="4107" max="4352" width="9" style="3002"/>
    <col min="4353" max="4353" width="3.625" style="3002" customWidth="1"/>
    <col min="4354" max="4354" width="6.25" style="3002" customWidth="1"/>
    <col min="4355" max="4355" width="18.375" style="3002" customWidth="1"/>
    <col min="4356" max="4356" width="19.875" style="3002" customWidth="1"/>
    <col min="4357" max="4357" width="18.125" style="3002" customWidth="1"/>
    <col min="4358" max="4358" width="10.5" style="3002" bestFit="1" customWidth="1"/>
    <col min="4359" max="4360" width="9" style="3002" customWidth="1"/>
    <col min="4361" max="4361" width="9" style="3002"/>
    <col min="4362" max="4362" width="9.125" style="3002" customWidth="1"/>
    <col min="4363" max="4608" width="9" style="3002"/>
    <col min="4609" max="4609" width="3.625" style="3002" customWidth="1"/>
    <col min="4610" max="4610" width="6.25" style="3002" customWidth="1"/>
    <col min="4611" max="4611" width="18.375" style="3002" customWidth="1"/>
    <col min="4612" max="4612" width="19.875" style="3002" customWidth="1"/>
    <col min="4613" max="4613" width="18.125" style="3002" customWidth="1"/>
    <col min="4614" max="4614" width="10.5" style="3002" bestFit="1" customWidth="1"/>
    <col min="4615" max="4616" width="9" style="3002" customWidth="1"/>
    <col min="4617" max="4617" width="9" style="3002"/>
    <col min="4618" max="4618" width="9.125" style="3002" customWidth="1"/>
    <col min="4619" max="4864" width="9" style="3002"/>
    <col min="4865" max="4865" width="3.625" style="3002" customWidth="1"/>
    <col min="4866" max="4866" width="6.25" style="3002" customWidth="1"/>
    <col min="4867" max="4867" width="18.375" style="3002" customWidth="1"/>
    <col min="4868" max="4868" width="19.875" style="3002" customWidth="1"/>
    <col min="4869" max="4869" width="18.125" style="3002" customWidth="1"/>
    <col min="4870" max="4870" width="10.5" style="3002" bestFit="1" customWidth="1"/>
    <col min="4871" max="4872" width="9" style="3002" customWidth="1"/>
    <col min="4873" max="4873" width="9" style="3002"/>
    <col min="4874" max="4874" width="9.125" style="3002" customWidth="1"/>
    <col min="4875" max="5120" width="9" style="3002"/>
    <col min="5121" max="5121" width="3.625" style="3002" customWidth="1"/>
    <col min="5122" max="5122" width="6.25" style="3002" customWidth="1"/>
    <col min="5123" max="5123" width="18.375" style="3002" customWidth="1"/>
    <col min="5124" max="5124" width="19.875" style="3002" customWidth="1"/>
    <col min="5125" max="5125" width="18.125" style="3002" customWidth="1"/>
    <col min="5126" max="5126" width="10.5" style="3002" bestFit="1" customWidth="1"/>
    <col min="5127" max="5128" width="9" style="3002" customWidth="1"/>
    <col min="5129" max="5129" width="9" style="3002"/>
    <col min="5130" max="5130" width="9.125" style="3002" customWidth="1"/>
    <col min="5131" max="5376" width="9" style="3002"/>
    <col min="5377" max="5377" width="3.625" style="3002" customWidth="1"/>
    <col min="5378" max="5378" width="6.25" style="3002" customWidth="1"/>
    <col min="5379" max="5379" width="18.375" style="3002" customWidth="1"/>
    <col min="5380" max="5380" width="19.875" style="3002" customWidth="1"/>
    <col min="5381" max="5381" width="18.125" style="3002" customWidth="1"/>
    <col min="5382" max="5382" width="10.5" style="3002" bestFit="1" customWidth="1"/>
    <col min="5383" max="5384" width="9" style="3002" customWidth="1"/>
    <col min="5385" max="5385" width="9" style="3002"/>
    <col min="5386" max="5386" width="9.125" style="3002" customWidth="1"/>
    <col min="5387" max="5632" width="9" style="3002"/>
    <col min="5633" max="5633" width="3.625" style="3002" customWidth="1"/>
    <col min="5634" max="5634" width="6.25" style="3002" customWidth="1"/>
    <col min="5635" max="5635" width="18.375" style="3002" customWidth="1"/>
    <col min="5636" max="5636" width="19.875" style="3002" customWidth="1"/>
    <col min="5637" max="5637" width="18.125" style="3002" customWidth="1"/>
    <col min="5638" max="5638" width="10.5" style="3002" bestFit="1" customWidth="1"/>
    <col min="5639" max="5640" width="9" style="3002" customWidth="1"/>
    <col min="5641" max="5641" width="9" style="3002"/>
    <col min="5642" max="5642" width="9.125" style="3002" customWidth="1"/>
    <col min="5643" max="5888" width="9" style="3002"/>
    <col min="5889" max="5889" width="3.625" style="3002" customWidth="1"/>
    <col min="5890" max="5890" width="6.25" style="3002" customWidth="1"/>
    <col min="5891" max="5891" width="18.375" style="3002" customWidth="1"/>
    <col min="5892" max="5892" width="19.875" style="3002" customWidth="1"/>
    <col min="5893" max="5893" width="18.125" style="3002" customWidth="1"/>
    <col min="5894" max="5894" width="10.5" style="3002" bestFit="1" customWidth="1"/>
    <col min="5895" max="5896" width="9" style="3002" customWidth="1"/>
    <col min="5897" max="5897" width="9" style="3002"/>
    <col min="5898" max="5898" width="9.125" style="3002" customWidth="1"/>
    <col min="5899" max="6144" width="9" style="3002"/>
    <col min="6145" max="6145" width="3.625" style="3002" customWidth="1"/>
    <col min="6146" max="6146" width="6.25" style="3002" customWidth="1"/>
    <col min="6147" max="6147" width="18.375" style="3002" customWidth="1"/>
    <col min="6148" max="6148" width="19.875" style="3002" customWidth="1"/>
    <col min="6149" max="6149" width="18.125" style="3002" customWidth="1"/>
    <col min="6150" max="6150" width="10.5" style="3002" bestFit="1" customWidth="1"/>
    <col min="6151" max="6152" width="9" style="3002" customWidth="1"/>
    <col min="6153" max="6153" width="9" style="3002"/>
    <col min="6154" max="6154" width="9.125" style="3002" customWidth="1"/>
    <col min="6155" max="6400" width="9" style="3002"/>
    <col min="6401" max="6401" width="3.625" style="3002" customWidth="1"/>
    <col min="6402" max="6402" width="6.25" style="3002" customWidth="1"/>
    <col min="6403" max="6403" width="18.375" style="3002" customWidth="1"/>
    <col min="6404" max="6404" width="19.875" style="3002" customWidth="1"/>
    <col min="6405" max="6405" width="18.125" style="3002" customWidth="1"/>
    <col min="6406" max="6406" width="10.5" style="3002" bestFit="1" customWidth="1"/>
    <col min="6407" max="6408" width="9" style="3002" customWidth="1"/>
    <col min="6409" max="6409" width="9" style="3002"/>
    <col min="6410" max="6410" width="9.125" style="3002" customWidth="1"/>
    <col min="6411" max="6656" width="9" style="3002"/>
    <col min="6657" max="6657" width="3.625" style="3002" customWidth="1"/>
    <col min="6658" max="6658" width="6.25" style="3002" customWidth="1"/>
    <col min="6659" max="6659" width="18.375" style="3002" customWidth="1"/>
    <col min="6660" max="6660" width="19.875" style="3002" customWidth="1"/>
    <col min="6661" max="6661" width="18.125" style="3002" customWidth="1"/>
    <col min="6662" max="6662" width="10.5" style="3002" bestFit="1" customWidth="1"/>
    <col min="6663" max="6664" width="9" style="3002" customWidth="1"/>
    <col min="6665" max="6665" width="9" style="3002"/>
    <col min="6666" max="6666" width="9.125" style="3002" customWidth="1"/>
    <col min="6667" max="6912" width="9" style="3002"/>
    <col min="6913" max="6913" width="3.625" style="3002" customWidth="1"/>
    <col min="6914" max="6914" width="6.25" style="3002" customWidth="1"/>
    <col min="6915" max="6915" width="18.375" style="3002" customWidth="1"/>
    <col min="6916" max="6916" width="19.875" style="3002" customWidth="1"/>
    <col min="6917" max="6917" width="18.125" style="3002" customWidth="1"/>
    <col min="6918" max="6918" width="10.5" style="3002" bestFit="1" customWidth="1"/>
    <col min="6919" max="6920" width="9" style="3002" customWidth="1"/>
    <col min="6921" max="6921" width="9" style="3002"/>
    <col min="6922" max="6922" width="9.125" style="3002" customWidth="1"/>
    <col min="6923" max="7168" width="9" style="3002"/>
    <col min="7169" max="7169" width="3.625" style="3002" customWidth="1"/>
    <col min="7170" max="7170" width="6.25" style="3002" customWidth="1"/>
    <col min="7171" max="7171" width="18.375" style="3002" customWidth="1"/>
    <col min="7172" max="7172" width="19.875" style="3002" customWidth="1"/>
    <col min="7173" max="7173" width="18.125" style="3002" customWidth="1"/>
    <col min="7174" max="7174" width="10.5" style="3002" bestFit="1" customWidth="1"/>
    <col min="7175" max="7176" width="9" style="3002" customWidth="1"/>
    <col min="7177" max="7177" width="9" style="3002"/>
    <col min="7178" max="7178" width="9.125" style="3002" customWidth="1"/>
    <col min="7179" max="7424" width="9" style="3002"/>
    <col min="7425" max="7425" width="3.625" style="3002" customWidth="1"/>
    <col min="7426" max="7426" width="6.25" style="3002" customWidth="1"/>
    <col min="7427" max="7427" width="18.375" style="3002" customWidth="1"/>
    <col min="7428" max="7428" width="19.875" style="3002" customWidth="1"/>
    <col min="7429" max="7429" width="18.125" style="3002" customWidth="1"/>
    <col min="7430" max="7430" width="10.5" style="3002" bestFit="1" customWidth="1"/>
    <col min="7431" max="7432" width="9" style="3002" customWidth="1"/>
    <col min="7433" max="7433" width="9" style="3002"/>
    <col min="7434" max="7434" width="9.125" style="3002" customWidth="1"/>
    <col min="7435" max="7680" width="9" style="3002"/>
    <col min="7681" max="7681" width="3.625" style="3002" customWidth="1"/>
    <col min="7682" max="7682" width="6.25" style="3002" customWidth="1"/>
    <col min="7683" max="7683" width="18.375" style="3002" customWidth="1"/>
    <col min="7684" max="7684" width="19.875" style="3002" customWidth="1"/>
    <col min="7685" max="7685" width="18.125" style="3002" customWidth="1"/>
    <col min="7686" max="7686" width="10.5" style="3002" bestFit="1" customWidth="1"/>
    <col min="7687" max="7688" width="9" style="3002" customWidth="1"/>
    <col min="7689" max="7689" width="9" style="3002"/>
    <col min="7690" max="7690" width="9.125" style="3002" customWidth="1"/>
    <col min="7691" max="7936" width="9" style="3002"/>
    <col min="7937" max="7937" width="3.625" style="3002" customWidth="1"/>
    <col min="7938" max="7938" width="6.25" style="3002" customWidth="1"/>
    <col min="7939" max="7939" width="18.375" style="3002" customWidth="1"/>
    <col min="7940" max="7940" width="19.875" style="3002" customWidth="1"/>
    <col min="7941" max="7941" width="18.125" style="3002" customWidth="1"/>
    <col min="7942" max="7942" width="10.5" style="3002" bestFit="1" customWidth="1"/>
    <col min="7943" max="7944" width="9" style="3002" customWidth="1"/>
    <col min="7945" max="7945" width="9" style="3002"/>
    <col min="7946" max="7946" width="9.125" style="3002" customWidth="1"/>
    <col min="7947" max="8192" width="9" style="3002"/>
    <col min="8193" max="8193" width="3.625" style="3002" customWidth="1"/>
    <col min="8194" max="8194" width="6.25" style="3002" customWidth="1"/>
    <col min="8195" max="8195" width="18.375" style="3002" customWidth="1"/>
    <col min="8196" max="8196" width="19.875" style="3002" customWidth="1"/>
    <col min="8197" max="8197" width="18.125" style="3002" customWidth="1"/>
    <col min="8198" max="8198" width="10.5" style="3002" bestFit="1" customWidth="1"/>
    <col min="8199" max="8200" width="9" style="3002" customWidth="1"/>
    <col min="8201" max="8201" width="9" style="3002"/>
    <col min="8202" max="8202" width="9.125" style="3002" customWidth="1"/>
    <col min="8203" max="8448" width="9" style="3002"/>
    <col min="8449" max="8449" width="3.625" style="3002" customWidth="1"/>
    <col min="8450" max="8450" width="6.25" style="3002" customWidth="1"/>
    <col min="8451" max="8451" width="18.375" style="3002" customWidth="1"/>
    <col min="8452" max="8452" width="19.875" style="3002" customWidth="1"/>
    <col min="8453" max="8453" width="18.125" style="3002" customWidth="1"/>
    <col min="8454" max="8454" width="10.5" style="3002" bestFit="1" customWidth="1"/>
    <col min="8455" max="8456" width="9" style="3002" customWidth="1"/>
    <col min="8457" max="8457" width="9" style="3002"/>
    <col min="8458" max="8458" width="9.125" style="3002" customWidth="1"/>
    <col min="8459" max="8704" width="9" style="3002"/>
    <col min="8705" max="8705" width="3.625" style="3002" customWidth="1"/>
    <col min="8706" max="8706" width="6.25" style="3002" customWidth="1"/>
    <col min="8707" max="8707" width="18.375" style="3002" customWidth="1"/>
    <col min="8708" max="8708" width="19.875" style="3002" customWidth="1"/>
    <col min="8709" max="8709" width="18.125" style="3002" customWidth="1"/>
    <col min="8710" max="8710" width="10.5" style="3002" bestFit="1" customWidth="1"/>
    <col min="8711" max="8712" width="9" style="3002" customWidth="1"/>
    <col min="8713" max="8713" width="9" style="3002"/>
    <col min="8714" max="8714" width="9.125" style="3002" customWidth="1"/>
    <col min="8715" max="8960" width="9" style="3002"/>
    <col min="8961" max="8961" width="3.625" style="3002" customWidth="1"/>
    <col min="8962" max="8962" width="6.25" style="3002" customWidth="1"/>
    <col min="8963" max="8963" width="18.375" style="3002" customWidth="1"/>
    <col min="8964" max="8964" width="19.875" style="3002" customWidth="1"/>
    <col min="8965" max="8965" width="18.125" style="3002" customWidth="1"/>
    <col min="8966" max="8966" width="10.5" style="3002" bestFit="1" customWidth="1"/>
    <col min="8967" max="8968" width="9" style="3002" customWidth="1"/>
    <col min="8969" max="8969" width="9" style="3002"/>
    <col min="8970" max="8970" width="9.125" style="3002" customWidth="1"/>
    <col min="8971" max="9216" width="9" style="3002"/>
    <col min="9217" max="9217" width="3.625" style="3002" customWidth="1"/>
    <col min="9218" max="9218" width="6.25" style="3002" customWidth="1"/>
    <col min="9219" max="9219" width="18.375" style="3002" customWidth="1"/>
    <col min="9220" max="9220" width="19.875" style="3002" customWidth="1"/>
    <col min="9221" max="9221" width="18.125" style="3002" customWidth="1"/>
    <col min="9222" max="9222" width="10.5" style="3002" bestFit="1" customWidth="1"/>
    <col min="9223" max="9224" width="9" style="3002" customWidth="1"/>
    <col min="9225" max="9225" width="9" style="3002"/>
    <col min="9226" max="9226" width="9.125" style="3002" customWidth="1"/>
    <col min="9227" max="9472" width="9" style="3002"/>
    <col min="9473" max="9473" width="3.625" style="3002" customWidth="1"/>
    <col min="9474" max="9474" width="6.25" style="3002" customWidth="1"/>
    <col min="9475" max="9475" width="18.375" style="3002" customWidth="1"/>
    <col min="9476" max="9476" width="19.875" style="3002" customWidth="1"/>
    <col min="9477" max="9477" width="18.125" style="3002" customWidth="1"/>
    <col min="9478" max="9478" width="10.5" style="3002" bestFit="1" customWidth="1"/>
    <col min="9479" max="9480" width="9" style="3002" customWidth="1"/>
    <col min="9481" max="9481" width="9" style="3002"/>
    <col min="9482" max="9482" width="9.125" style="3002" customWidth="1"/>
    <col min="9483" max="9728" width="9" style="3002"/>
    <col min="9729" max="9729" width="3.625" style="3002" customWidth="1"/>
    <col min="9730" max="9730" width="6.25" style="3002" customWidth="1"/>
    <col min="9731" max="9731" width="18.375" style="3002" customWidth="1"/>
    <col min="9732" max="9732" width="19.875" style="3002" customWidth="1"/>
    <col min="9733" max="9733" width="18.125" style="3002" customWidth="1"/>
    <col min="9734" max="9734" width="10.5" style="3002" bestFit="1" customWidth="1"/>
    <col min="9735" max="9736" width="9" style="3002" customWidth="1"/>
    <col min="9737" max="9737" width="9" style="3002"/>
    <col min="9738" max="9738" width="9.125" style="3002" customWidth="1"/>
    <col min="9739" max="9984" width="9" style="3002"/>
    <col min="9985" max="9985" width="3.625" style="3002" customWidth="1"/>
    <col min="9986" max="9986" width="6.25" style="3002" customWidth="1"/>
    <col min="9987" max="9987" width="18.375" style="3002" customWidth="1"/>
    <col min="9988" max="9988" width="19.875" style="3002" customWidth="1"/>
    <col min="9989" max="9989" width="18.125" style="3002" customWidth="1"/>
    <col min="9990" max="9990" width="10.5" style="3002" bestFit="1" customWidth="1"/>
    <col min="9991" max="9992" width="9" style="3002" customWidth="1"/>
    <col min="9993" max="9993" width="9" style="3002"/>
    <col min="9994" max="9994" width="9.125" style="3002" customWidth="1"/>
    <col min="9995" max="10240" width="9" style="3002"/>
    <col min="10241" max="10241" width="3.625" style="3002" customWidth="1"/>
    <col min="10242" max="10242" width="6.25" style="3002" customWidth="1"/>
    <col min="10243" max="10243" width="18.375" style="3002" customWidth="1"/>
    <col min="10244" max="10244" width="19.875" style="3002" customWidth="1"/>
    <col min="10245" max="10245" width="18.125" style="3002" customWidth="1"/>
    <col min="10246" max="10246" width="10.5" style="3002" bestFit="1" customWidth="1"/>
    <col min="10247" max="10248" width="9" style="3002" customWidth="1"/>
    <col min="10249" max="10249" width="9" style="3002"/>
    <col min="10250" max="10250" width="9.125" style="3002" customWidth="1"/>
    <col min="10251" max="10496" width="9" style="3002"/>
    <col min="10497" max="10497" width="3.625" style="3002" customWidth="1"/>
    <col min="10498" max="10498" width="6.25" style="3002" customWidth="1"/>
    <col min="10499" max="10499" width="18.375" style="3002" customWidth="1"/>
    <col min="10500" max="10500" width="19.875" style="3002" customWidth="1"/>
    <col min="10501" max="10501" width="18.125" style="3002" customWidth="1"/>
    <col min="10502" max="10502" width="10.5" style="3002" bestFit="1" customWidth="1"/>
    <col min="10503" max="10504" width="9" style="3002" customWidth="1"/>
    <col min="10505" max="10505" width="9" style="3002"/>
    <col min="10506" max="10506" width="9.125" style="3002" customWidth="1"/>
    <col min="10507" max="10752" width="9" style="3002"/>
    <col min="10753" max="10753" width="3.625" style="3002" customWidth="1"/>
    <col min="10754" max="10754" width="6.25" style="3002" customWidth="1"/>
    <col min="10755" max="10755" width="18.375" style="3002" customWidth="1"/>
    <col min="10756" max="10756" width="19.875" style="3002" customWidth="1"/>
    <col min="10757" max="10757" width="18.125" style="3002" customWidth="1"/>
    <col min="10758" max="10758" width="10.5" style="3002" bestFit="1" customWidth="1"/>
    <col min="10759" max="10760" width="9" style="3002" customWidth="1"/>
    <col min="10761" max="10761" width="9" style="3002"/>
    <col min="10762" max="10762" width="9.125" style="3002" customWidth="1"/>
    <col min="10763" max="11008" width="9" style="3002"/>
    <col min="11009" max="11009" width="3.625" style="3002" customWidth="1"/>
    <col min="11010" max="11010" width="6.25" style="3002" customWidth="1"/>
    <col min="11011" max="11011" width="18.375" style="3002" customWidth="1"/>
    <col min="11012" max="11012" width="19.875" style="3002" customWidth="1"/>
    <col min="11013" max="11013" width="18.125" style="3002" customWidth="1"/>
    <col min="11014" max="11014" width="10.5" style="3002" bestFit="1" customWidth="1"/>
    <col min="11015" max="11016" width="9" style="3002" customWidth="1"/>
    <col min="11017" max="11017" width="9" style="3002"/>
    <col min="11018" max="11018" width="9.125" style="3002" customWidth="1"/>
    <col min="11019" max="11264" width="9" style="3002"/>
    <col min="11265" max="11265" width="3.625" style="3002" customWidth="1"/>
    <col min="11266" max="11266" width="6.25" style="3002" customWidth="1"/>
    <col min="11267" max="11267" width="18.375" style="3002" customWidth="1"/>
    <col min="11268" max="11268" width="19.875" style="3002" customWidth="1"/>
    <col min="11269" max="11269" width="18.125" style="3002" customWidth="1"/>
    <col min="11270" max="11270" width="10.5" style="3002" bestFit="1" customWidth="1"/>
    <col min="11271" max="11272" width="9" style="3002" customWidth="1"/>
    <col min="11273" max="11273" width="9" style="3002"/>
    <col min="11274" max="11274" width="9.125" style="3002" customWidth="1"/>
    <col min="11275" max="11520" width="9" style="3002"/>
    <col min="11521" max="11521" width="3.625" style="3002" customWidth="1"/>
    <col min="11522" max="11522" width="6.25" style="3002" customWidth="1"/>
    <col min="11523" max="11523" width="18.375" style="3002" customWidth="1"/>
    <col min="11524" max="11524" width="19.875" style="3002" customWidth="1"/>
    <col min="11525" max="11525" width="18.125" style="3002" customWidth="1"/>
    <col min="11526" max="11526" width="10.5" style="3002" bestFit="1" customWidth="1"/>
    <col min="11527" max="11528" width="9" style="3002" customWidth="1"/>
    <col min="11529" max="11529" width="9" style="3002"/>
    <col min="11530" max="11530" width="9.125" style="3002" customWidth="1"/>
    <col min="11531" max="11776" width="9" style="3002"/>
    <col min="11777" max="11777" width="3.625" style="3002" customWidth="1"/>
    <col min="11778" max="11778" width="6.25" style="3002" customWidth="1"/>
    <col min="11779" max="11779" width="18.375" style="3002" customWidth="1"/>
    <col min="11780" max="11780" width="19.875" style="3002" customWidth="1"/>
    <col min="11781" max="11781" width="18.125" style="3002" customWidth="1"/>
    <col min="11782" max="11782" width="10.5" style="3002" bestFit="1" customWidth="1"/>
    <col min="11783" max="11784" width="9" style="3002" customWidth="1"/>
    <col min="11785" max="11785" width="9" style="3002"/>
    <col min="11786" max="11786" width="9.125" style="3002" customWidth="1"/>
    <col min="11787" max="12032" width="9" style="3002"/>
    <col min="12033" max="12033" width="3.625" style="3002" customWidth="1"/>
    <col min="12034" max="12034" width="6.25" style="3002" customWidth="1"/>
    <col min="12035" max="12035" width="18.375" style="3002" customWidth="1"/>
    <col min="12036" max="12036" width="19.875" style="3002" customWidth="1"/>
    <col min="12037" max="12037" width="18.125" style="3002" customWidth="1"/>
    <col min="12038" max="12038" width="10.5" style="3002" bestFit="1" customWidth="1"/>
    <col min="12039" max="12040" width="9" style="3002" customWidth="1"/>
    <col min="12041" max="12041" width="9" style="3002"/>
    <col min="12042" max="12042" width="9.125" style="3002" customWidth="1"/>
    <col min="12043" max="12288" width="9" style="3002"/>
    <col min="12289" max="12289" width="3.625" style="3002" customWidth="1"/>
    <col min="12290" max="12290" width="6.25" style="3002" customWidth="1"/>
    <col min="12291" max="12291" width="18.375" style="3002" customWidth="1"/>
    <col min="12292" max="12292" width="19.875" style="3002" customWidth="1"/>
    <col min="12293" max="12293" width="18.125" style="3002" customWidth="1"/>
    <col min="12294" max="12294" width="10.5" style="3002" bestFit="1" customWidth="1"/>
    <col min="12295" max="12296" width="9" style="3002" customWidth="1"/>
    <col min="12297" max="12297" width="9" style="3002"/>
    <col min="12298" max="12298" width="9.125" style="3002" customWidth="1"/>
    <col min="12299" max="12544" width="9" style="3002"/>
    <col min="12545" max="12545" width="3.625" style="3002" customWidth="1"/>
    <col min="12546" max="12546" width="6.25" style="3002" customWidth="1"/>
    <col min="12547" max="12547" width="18.375" style="3002" customWidth="1"/>
    <col min="12548" max="12548" width="19.875" style="3002" customWidth="1"/>
    <col min="12549" max="12549" width="18.125" style="3002" customWidth="1"/>
    <col min="12550" max="12550" width="10.5" style="3002" bestFit="1" customWidth="1"/>
    <col min="12551" max="12552" width="9" style="3002" customWidth="1"/>
    <col min="12553" max="12553" width="9" style="3002"/>
    <col min="12554" max="12554" width="9.125" style="3002" customWidth="1"/>
    <col min="12555" max="12800" width="9" style="3002"/>
    <col min="12801" max="12801" width="3.625" style="3002" customWidth="1"/>
    <col min="12802" max="12802" width="6.25" style="3002" customWidth="1"/>
    <col min="12803" max="12803" width="18.375" style="3002" customWidth="1"/>
    <col min="12804" max="12804" width="19.875" style="3002" customWidth="1"/>
    <col min="12805" max="12805" width="18.125" style="3002" customWidth="1"/>
    <col min="12806" max="12806" width="10.5" style="3002" bestFit="1" customWidth="1"/>
    <col min="12807" max="12808" width="9" style="3002" customWidth="1"/>
    <col min="12809" max="12809" width="9" style="3002"/>
    <col min="12810" max="12810" width="9.125" style="3002" customWidth="1"/>
    <col min="12811" max="13056" width="9" style="3002"/>
    <col min="13057" max="13057" width="3.625" style="3002" customWidth="1"/>
    <col min="13058" max="13058" width="6.25" style="3002" customWidth="1"/>
    <col min="13059" max="13059" width="18.375" style="3002" customWidth="1"/>
    <col min="13060" max="13060" width="19.875" style="3002" customWidth="1"/>
    <col min="13061" max="13061" width="18.125" style="3002" customWidth="1"/>
    <col min="13062" max="13062" width="10.5" style="3002" bestFit="1" customWidth="1"/>
    <col min="13063" max="13064" width="9" style="3002" customWidth="1"/>
    <col min="13065" max="13065" width="9" style="3002"/>
    <col min="13066" max="13066" width="9.125" style="3002" customWidth="1"/>
    <col min="13067" max="13312" width="9" style="3002"/>
    <col min="13313" max="13313" width="3.625" style="3002" customWidth="1"/>
    <col min="13314" max="13314" width="6.25" style="3002" customWidth="1"/>
    <col min="13315" max="13315" width="18.375" style="3002" customWidth="1"/>
    <col min="13316" max="13316" width="19.875" style="3002" customWidth="1"/>
    <col min="13317" max="13317" width="18.125" style="3002" customWidth="1"/>
    <col min="13318" max="13318" width="10.5" style="3002" bestFit="1" customWidth="1"/>
    <col min="13319" max="13320" width="9" style="3002" customWidth="1"/>
    <col min="13321" max="13321" width="9" style="3002"/>
    <col min="13322" max="13322" width="9.125" style="3002" customWidth="1"/>
    <col min="13323" max="13568" width="9" style="3002"/>
    <col min="13569" max="13569" width="3.625" style="3002" customWidth="1"/>
    <col min="13570" max="13570" width="6.25" style="3002" customWidth="1"/>
    <col min="13571" max="13571" width="18.375" style="3002" customWidth="1"/>
    <col min="13572" max="13572" width="19.875" style="3002" customWidth="1"/>
    <col min="13573" max="13573" width="18.125" style="3002" customWidth="1"/>
    <col min="13574" max="13574" width="10.5" style="3002" bestFit="1" customWidth="1"/>
    <col min="13575" max="13576" width="9" style="3002" customWidth="1"/>
    <col min="13577" max="13577" width="9" style="3002"/>
    <col min="13578" max="13578" width="9.125" style="3002" customWidth="1"/>
    <col min="13579" max="13824" width="9" style="3002"/>
    <col min="13825" max="13825" width="3.625" style="3002" customWidth="1"/>
    <col min="13826" max="13826" width="6.25" style="3002" customWidth="1"/>
    <col min="13827" max="13827" width="18.375" style="3002" customWidth="1"/>
    <col min="13828" max="13828" width="19.875" style="3002" customWidth="1"/>
    <col min="13829" max="13829" width="18.125" style="3002" customWidth="1"/>
    <col min="13830" max="13830" width="10.5" style="3002" bestFit="1" customWidth="1"/>
    <col min="13831" max="13832" width="9" style="3002" customWidth="1"/>
    <col min="13833" max="13833" width="9" style="3002"/>
    <col min="13834" max="13834" width="9.125" style="3002" customWidth="1"/>
    <col min="13835" max="14080" width="9" style="3002"/>
    <col min="14081" max="14081" width="3.625" style="3002" customWidth="1"/>
    <col min="14082" max="14082" width="6.25" style="3002" customWidth="1"/>
    <col min="14083" max="14083" width="18.375" style="3002" customWidth="1"/>
    <col min="14084" max="14084" width="19.875" style="3002" customWidth="1"/>
    <col min="14085" max="14085" width="18.125" style="3002" customWidth="1"/>
    <col min="14086" max="14086" width="10.5" style="3002" bestFit="1" customWidth="1"/>
    <col min="14087" max="14088" width="9" style="3002" customWidth="1"/>
    <col min="14089" max="14089" width="9" style="3002"/>
    <col min="14090" max="14090" width="9.125" style="3002" customWidth="1"/>
    <col min="14091" max="14336" width="9" style="3002"/>
    <col min="14337" max="14337" width="3.625" style="3002" customWidth="1"/>
    <col min="14338" max="14338" width="6.25" style="3002" customWidth="1"/>
    <col min="14339" max="14339" width="18.375" style="3002" customWidth="1"/>
    <col min="14340" max="14340" width="19.875" style="3002" customWidth="1"/>
    <col min="14341" max="14341" width="18.125" style="3002" customWidth="1"/>
    <col min="14342" max="14342" width="10.5" style="3002" bestFit="1" customWidth="1"/>
    <col min="14343" max="14344" width="9" style="3002" customWidth="1"/>
    <col min="14345" max="14345" width="9" style="3002"/>
    <col min="14346" max="14346" width="9.125" style="3002" customWidth="1"/>
    <col min="14347" max="14592" width="9" style="3002"/>
    <col min="14593" max="14593" width="3.625" style="3002" customWidth="1"/>
    <col min="14594" max="14594" width="6.25" style="3002" customWidth="1"/>
    <col min="14595" max="14595" width="18.375" style="3002" customWidth="1"/>
    <col min="14596" max="14596" width="19.875" style="3002" customWidth="1"/>
    <col min="14597" max="14597" width="18.125" style="3002" customWidth="1"/>
    <col min="14598" max="14598" width="10.5" style="3002" bestFit="1" customWidth="1"/>
    <col min="14599" max="14600" width="9" style="3002" customWidth="1"/>
    <col min="14601" max="14601" width="9" style="3002"/>
    <col min="14602" max="14602" width="9.125" style="3002" customWidth="1"/>
    <col min="14603" max="14848" width="9" style="3002"/>
    <col min="14849" max="14849" width="3.625" style="3002" customWidth="1"/>
    <col min="14850" max="14850" width="6.25" style="3002" customWidth="1"/>
    <col min="14851" max="14851" width="18.375" style="3002" customWidth="1"/>
    <col min="14852" max="14852" width="19.875" style="3002" customWidth="1"/>
    <col min="14853" max="14853" width="18.125" style="3002" customWidth="1"/>
    <col min="14854" max="14854" width="10.5" style="3002" bestFit="1" customWidth="1"/>
    <col min="14855" max="14856" width="9" style="3002" customWidth="1"/>
    <col min="14857" max="14857" width="9" style="3002"/>
    <col min="14858" max="14858" width="9.125" style="3002" customWidth="1"/>
    <col min="14859" max="15104" width="9" style="3002"/>
    <col min="15105" max="15105" width="3.625" style="3002" customWidth="1"/>
    <col min="15106" max="15106" width="6.25" style="3002" customWidth="1"/>
    <col min="15107" max="15107" width="18.375" style="3002" customWidth="1"/>
    <col min="15108" max="15108" width="19.875" style="3002" customWidth="1"/>
    <col min="15109" max="15109" width="18.125" style="3002" customWidth="1"/>
    <col min="15110" max="15110" width="10.5" style="3002" bestFit="1" customWidth="1"/>
    <col min="15111" max="15112" width="9" style="3002" customWidth="1"/>
    <col min="15113" max="15113" width="9" style="3002"/>
    <col min="15114" max="15114" width="9.125" style="3002" customWidth="1"/>
    <col min="15115" max="15360" width="9" style="3002"/>
    <col min="15361" max="15361" width="3.625" style="3002" customWidth="1"/>
    <col min="15362" max="15362" width="6.25" style="3002" customWidth="1"/>
    <col min="15363" max="15363" width="18.375" style="3002" customWidth="1"/>
    <col min="15364" max="15364" width="19.875" style="3002" customWidth="1"/>
    <col min="15365" max="15365" width="18.125" style="3002" customWidth="1"/>
    <col min="15366" max="15366" width="10.5" style="3002" bestFit="1" customWidth="1"/>
    <col min="15367" max="15368" width="9" style="3002" customWidth="1"/>
    <col min="15369" max="15369" width="9" style="3002"/>
    <col min="15370" max="15370" width="9.125" style="3002" customWidth="1"/>
    <col min="15371" max="15616" width="9" style="3002"/>
    <col min="15617" max="15617" width="3.625" style="3002" customWidth="1"/>
    <col min="15618" max="15618" width="6.25" style="3002" customWidth="1"/>
    <col min="15619" max="15619" width="18.375" style="3002" customWidth="1"/>
    <col min="15620" max="15620" width="19.875" style="3002" customWidth="1"/>
    <col min="15621" max="15621" width="18.125" style="3002" customWidth="1"/>
    <col min="15622" max="15622" width="10.5" style="3002" bestFit="1" customWidth="1"/>
    <col min="15623" max="15624" width="9" style="3002" customWidth="1"/>
    <col min="15625" max="15625" width="9" style="3002"/>
    <col min="15626" max="15626" width="9.125" style="3002" customWidth="1"/>
    <col min="15627" max="15872" width="9" style="3002"/>
    <col min="15873" max="15873" width="3.625" style="3002" customWidth="1"/>
    <col min="15874" max="15874" width="6.25" style="3002" customWidth="1"/>
    <col min="15875" max="15875" width="18.375" style="3002" customWidth="1"/>
    <col min="15876" max="15876" width="19.875" style="3002" customWidth="1"/>
    <col min="15877" max="15877" width="18.125" style="3002" customWidth="1"/>
    <col min="15878" max="15878" width="10.5" style="3002" bestFit="1" customWidth="1"/>
    <col min="15879" max="15880" width="9" style="3002" customWidth="1"/>
    <col min="15881" max="15881" width="9" style="3002"/>
    <col min="15882" max="15882" width="9.125" style="3002" customWidth="1"/>
    <col min="15883" max="16128" width="9" style="3002"/>
    <col min="16129" max="16129" width="3.625" style="3002" customWidth="1"/>
    <col min="16130" max="16130" width="6.25" style="3002" customWidth="1"/>
    <col min="16131" max="16131" width="18.375" style="3002" customWidth="1"/>
    <col min="16132" max="16132" width="19.875" style="3002" customWidth="1"/>
    <col min="16133" max="16133" width="18.125" style="3002" customWidth="1"/>
    <col min="16134" max="16134" width="10.5" style="3002" bestFit="1" customWidth="1"/>
    <col min="16135" max="16136" width="9" style="3002" customWidth="1"/>
    <col min="16137" max="16137" width="9" style="3002"/>
    <col min="16138" max="16138" width="9.125" style="3002" customWidth="1"/>
    <col min="16139" max="16384" width="9" style="3002"/>
  </cols>
  <sheetData>
    <row r="1" spans="1:15" ht="18.75" customHeight="1">
      <c r="A1" s="3382" t="s">
        <v>3417</v>
      </c>
      <c r="B1" s="3382"/>
      <c r="C1" s="3382"/>
      <c r="D1" s="3382"/>
      <c r="E1" s="3382"/>
      <c r="F1" s="3382"/>
      <c r="G1" s="3382"/>
      <c r="H1" s="3382"/>
      <c r="I1" s="3382"/>
      <c r="J1" s="3382"/>
      <c r="K1" s="3382"/>
      <c r="L1" s="3382"/>
    </row>
    <row r="2" spans="1:15" ht="13.5" customHeight="1">
      <c r="A2" s="3383" t="s">
        <v>3418</v>
      </c>
      <c r="B2" s="3383"/>
      <c r="C2" s="3383"/>
      <c r="D2" s="3383"/>
      <c r="E2" s="3383"/>
      <c r="F2" s="3383"/>
      <c r="G2" s="3383"/>
      <c r="H2" s="3383"/>
      <c r="I2" s="3383"/>
      <c r="J2" s="3383"/>
      <c r="K2" s="3383"/>
      <c r="L2" s="3383"/>
    </row>
    <row r="3" spans="1:15" ht="24">
      <c r="A3" s="3003" t="s">
        <v>3419</v>
      </c>
      <c r="B3" s="3004" t="s">
        <v>3420</v>
      </c>
      <c r="C3" s="3004" t="s">
        <v>3421</v>
      </c>
      <c r="D3" s="3004" t="s">
        <v>3422</v>
      </c>
      <c r="E3" s="3005" t="s">
        <v>3423</v>
      </c>
      <c r="F3" s="3006" t="s">
        <v>3424</v>
      </c>
      <c r="G3" s="3006" t="s">
        <v>3425</v>
      </c>
      <c r="H3" s="3004" t="s">
        <v>3426</v>
      </c>
      <c r="I3" s="3004" t="s">
        <v>3427</v>
      </c>
      <c r="J3" s="3007" t="s">
        <v>3428</v>
      </c>
      <c r="K3" s="3007" t="s">
        <v>3429</v>
      </c>
      <c r="L3" s="3007" t="s">
        <v>3430</v>
      </c>
      <c r="M3" s="3002" t="s">
        <v>4490</v>
      </c>
      <c r="N3" s="3002" t="s">
        <v>4491</v>
      </c>
    </row>
    <row r="4" spans="1:15" ht="24">
      <c r="A4" s="3007">
        <v>1</v>
      </c>
      <c r="B4" s="3004" t="s">
        <v>3059</v>
      </c>
      <c r="C4" s="3004" t="s">
        <v>3431</v>
      </c>
      <c r="D4" s="3004" t="s">
        <v>3432</v>
      </c>
      <c r="E4" s="3008" t="s">
        <v>3433</v>
      </c>
      <c r="F4" s="3009">
        <v>53.5</v>
      </c>
      <c r="G4" s="3009">
        <v>5.97</v>
      </c>
      <c r="H4" s="3004" t="s">
        <v>1373</v>
      </c>
      <c r="I4" s="3007" t="s">
        <v>3434</v>
      </c>
      <c r="J4" s="3010">
        <v>56156</v>
      </c>
      <c r="K4" s="3007" t="s">
        <v>3435</v>
      </c>
      <c r="L4" s="3007" t="s">
        <v>3436</v>
      </c>
      <c r="M4" s="3002">
        <f ca="1">结果表!G20</f>
        <v>10474</v>
      </c>
      <c r="N4" s="3002">
        <f ca="1">ROUND(F4*$M$4,0)</f>
        <v>560359</v>
      </c>
      <c r="O4" s="3002">
        <f ca="1">ROUND(N4/10000,0)</f>
        <v>56</v>
      </c>
    </row>
    <row r="5" spans="1:15" ht="24">
      <c r="A5" s="3007">
        <v>2</v>
      </c>
      <c r="B5" s="3004" t="s">
        <v>3060</v>
      </c>
      <c r="C5" s="3004" t="s">
        <v>3437</v>
      </c>
      <c r="D5" s="3004" t="s">
        <v>3438</v>
      </c>
      <c r="E5" s="3008" t="s">
        <v>3439</v>
      </c>
      <c r="F5" s="3009">
        <v>73.14</v>
      </c>
      <c r="G5" s="3009">
        <v>8.16</v>
      </c>
      <c r="H5" s="3004" t="s">
        <v>1373</v>
      </c>
      <c r="I5" s="3007" t="s">
        <v>3440</v>
      </c>
      <c r="J5" s="3010">
        <f>$J$4</f>
        <v>56156</v>
      </c>
      <c r="K5" s="3007" t="str">
        <f>$K$4</f>
        <v>12层</v>
      </c>
      <c r="L5" s="3007" t="str">
        <f>$L$4</f>
        <v>1层</v>
      </c>
      <c r="N5" s="3002">
        <f t="shared" ref="N5:N68" ca="1" si="0">ROUND(F5*$M$4,0)</f>
        <v>766068</v>
      </c>
      <c r="O5" s="3002">
        <f t="shared" ref="O5:O68" ca="1" si="1">ROUND(N5/10000,0)</f>
        <v>77</v>
      </c>
    </row>
    <row r="6" spans="1:15" ht="24">
      <c r="A6" s="3007">
        <v>3</v>
      </c>
      <c r="B6" s="3004" t="s">
        <v>3061</v>
      </c>
      <c r="C6" s="3004" t="s">
        <v>3431</v>
      </c>
      <c r="D6" s="3004" t="s">
        <v>3441</v>
      </c>
      <c r="E6" s="3008" t="s">
        <v>3442</v>
      </c>
      <c r="F6" s="3009">
        <v>73.27</v>
      </c>
      <c r="G6" s="3009">
        <v>8.18</v>
      </c>
      <c r="H6" s="3004" t="s">
        <v>1373</v>
      </c>
      <c r="I6" s="3007" t="s">
        <v>3443</v>
      </c>
      <c r="J6" s="3010">
        <f t="shared" ref="J6:J69" si="2">$J$4</f>
        <v>56156</v>
      </c>
      <c r="K6" s="3007" t="str">
        <f t="shared" ref="K6:K69" si="3">$K$4</f>
        <v>12层</v>
      </c>
      <c r="L6" s="3007" t="str">
        <f t="shared" ref="L6:L20" si="4">$L$4</f>
        <v>1层</v>
      </c>
      <c r="N6" s="3002">
        <f t="shared" ca="1" si="0"/>
        <v>767430</v>
      </c>
      <c r="O6" s="3002">
        <f t="shared" ca="1" si="1"/>
        <v>77</v>
      </c>
    </row>
    <row r="7" spans="1:15" ht="24.75" customHeight="1">
      <c r="A7" s="3007">
        <v>4</v>
      </c>
      <c r="B7" s="3004" t="s">
        <v>3062</v>
      </c>
      <c r="C7" s="3004" t="s">
        <v>3431</v>
      </c>
      <c r="D7" s="3004" t="s">
        <v>3444</v>
      </c>
      <c r="E7" s="3008" t="s">
        <v>3445</v>
      </c>
      <c r="F7" s="3006">
        <v>53.53</v>
      </c>
      <c r="G7" s="3006">
        <v>5.97</v>
      </c>
      <c r="H7" s="3004" t="s">
        <v>1373</v>
      </c>
      <c r="I7" s="3007" t="s">
        <v>3443</v>
      </c>
      <c r="J7" s="3010">
        <f t="shared" si="2"/>
        <v>56156</v>
      </c>
      <c r="K7" s="3007" t="str">
        <f t="shared" si="3"/>
        <v>12层</v>
      </c>
      <c r="L7" s="3007" t="str">
        <f t="shared" si="4"/>
        <v>1层</v>
      </c>
      <c r="N7" s="3002">
        <f t="shared" ca="1" si="0"/>
        <v>560673</v>
      </c>
      <c r="O7" s="3002">
        <f t="shared" ca="1" si="1"/>
        <v>56</v>
      </c>
    </row>
    <row r="8" spans="1:15" ht="24">
      <c r="A8" s="3007">
        <v>5</v>
      </c>
      <c r="B8" s="3007" t="s">
        <v>3064</v>
      </c>
      <c r="C8" s="3004" t="s">
        <v>3431</v>
      </c>
      <c r="D8" s="3004" t="s">
        <v>3446</v>
      </c>
      <c r="E8" s="3008" t="s">
        <v>3447</v>
      </c>
      <c r="F8" s="3011">
        <v>53.58</v>
      </c>
      <c r="G8" s="3011">
        <v>5.98</v>
      </c>
      <c r="H8" s="3004" t="s">
        <v>1373</v>
      </c>
      <c r="I8" s="3007" t="s">
        <v>3448</v>
      </c>
      <c r="J8" s="3010">
        <f t="shared" si="2"/>
        <v>56156</v>
      </c>
      <c r="K8" s="3007" t="str">
        <f t="shared" si="3"/>
        <v>12层</v>
      </c>
      <c r="L8" s="3007" t="str">
        <f t="shared" si="4"/>
        <v>1层</v>
      </c>
      <c r="N8" s="3002">
        <f t="shared" ca="1" si="0"/>
        <v>561197</v>
      </c>
      <c r="O8" s="3002">
        <f t="shared" ca="1" si="1"/>
        <v>56</v>
      </c>
    </row>
    <row r="9" spans="1:15" ht="24">
      <c r="A9" s="3007">
        <v>6</v>
      </c>
      <c r="B9" s="3007" t="s">
        <v>3065</v>
      </c>
      <c r="C9" s="3004" t="s">
        <v>3449</v>
      </c>
      <c r="D9" s="3004" t="s">
        <v>3450</v>
      </c>
      <c r="E9" s="3008" t="s">
        <v>3451</v>
      </c>
      <c r="F9" s="3011">
        <v>54.26</v>
      </c>
      <c r="G9" s="3011">
        <v>6.06</v>
      </c>
      <c r="H9" s="3004" t="s">
        <v>1373</v>
      </c>
      <c r="I9" s="3007" t="s">
        <v>3448</v>
      </c>
      <c r="J9" s="3010">
        <f t="shared" si="2"/>
        <v>56156</v>
      </c>
      <c r="K9" s="3007" t="str">
        <f t="shared" si="3"/>
        <v>12层</v>
      </c>
      <c r="L9" s="3007" t="str">
        <f t="shared" si="4"/>
        <v>1层</v>
      </c>
      <c r="N9" s="3002">
        <f t="shared" ca="1" si="0"/>
        <v>568319</v>
      </c>
      <c r="O9" s="3002">
        <f t="shared" ca="1" si="1"/>
        <v>57</v>
      </c>
    </row>
    <row r="10" spans="1:15" ht="24">
      <c r="A10" s="3007">
        <v>7</v>
      </c>
      <c r="B10" s="3007" t="s">
        <v>3066</v>
      </c>
      <c r="C10" s="3004" t="s">
        <v>3449</v>
      </c>
      <c r="D10" s="3004" t="s">
        <v>3452</v>
      </c>
      <c r="E10" s="3008" t="s">
        <v>3453</v>
      </c>
      <c r="F10" s="3011">
        <v>62.19</v>
      </c>
      <c r="G10" s="3011">
        <v>6.94</v>
      </c>
      <c r="H10" s="3004" t="s">
        <v>1373</v>
      </c>
      <c r="I10" s="3007" t="s">
        <v>3448</v>
      </c>
      <c r="J10" s="3010">
        <f t="shared" si="2"/>
        <v>56156</v>
      </c>
      <c r="K10" s="3007" t="str">
        <f t="shared" si="3"/>
        <v>12层</v>
      </c>
      <c r="L10" s="3007" t="str">
        <f t="shared" si="4"/>
        <v>1层</v>
      </c>
      <c r="N10" s="3002">
        <f t="shared" ca="1" si="0"/>
        <v>651378</v>
      </c>
      <c r="O10" s="3002">
        <f t="shared" ca="1" si="1"/>
        <v>65</v>
      </c>
    </row>
    <row r="11" spans="1:15" ht="24">
      <c r="A11" s="3007">
        <v>8</v>
      </c>
      <c r="B11" s="3007" t="s">
        <v>3067</v>
      </c>
      <c r="C11" s="3004" t="s">
        <v>3449</v>
      </c>
      <c r="D11" s="3004" t="s">
        <v>3454</v>
      </c>
      <c r="E11" s="3008" t="s">
        <v>3455</v>
      </c>
      <c r="F11" s="3011">
        <v>54.02</v>
      </c>
      <c r="G11" s="3011">
        <v>6.03</v>
      </c>
      <c r="H11" s="3004" t="s">
        <v>1373</v>
      </c>
      <c r="I11" s="3007" t="s">
        <v>3448</v>
      </c>
      <c r="J11" s="3010">
        <f t="shared" si="2"/>
        <v>56156</v>
      </c>
      <c r="K11" s="3007" t="str">
        <f t="shared" si="3"/>
        <v>12层</v>
      </c>
      <c r="L11" s="3007" t="str">
        <f t="shared" si="4"/>
        <v>1层</v>
      </c>
      <c r="N11" s="3002">
        <f t="shared" ca="1" si="0"/>
        <v>565805</v>
      </c>
      <c r="O11" s="3002">
        <f t="shared" ca="1" si="1"/>
        <v>57</v>
      </c>
    </row>
    <row r="12" spans="1:15" ht="24">
      <c r="A12" s="3007">
        <v>9</v>
      </c>
      <c r="B12" s="3007" t="s">
        <v>3068</v>
      </c>
      <c r="C12" s="3004" t="s">
        <v>3449</v>
      </c>
      <c r="D12" s="3004" t="s">
        <v>3456</v>
      </c>
      <c r="E12" s="3008" t="s">
        <v>3457</v>
      </c>
      <c r="F12" s="3011">
        <v>54.27</v>
      </c>
      <c r="G12" s="3011">
        <v>6.06</v>
      </c>
      <c r="H12" s="3004" t="s">
        <v>1373</v>
      </c>
      <c r="I12" s="3007" t="s">
        <v>3448</v>
      </c>
      <c r="J12" s="3010">
        <f t="shared" si="2"/>
        <v>56156</v>
      </c>
      <c r="K12" s="3007" t="str">
        <f t="shared" si="3"/>
        <v>12层</v>
      </c>
      <c r="L12" s="3007" t="str">
        <f t="shared" si="4"/>
        <v>1层</v>
      </c>
      <c r="N12" s="3002">
        <f t="shared" ca="1" si="0"/>
        <v>568424</v>
      </c>
      <c r="O12" s="3002">
        <f t="shared" ca="1" si="1"/>
        <v>57</v>
      </c>
    </row>
    <row r="13" spans="1:15" ht="24">
      <c r="A13" s="3007">
        <v>10</v>
      </c>
      <c r="B13" s="3007" t="s">
        <v>3069</v>
      </c>
      <c r="C13" s="3004" t="s">
        <v>3449</v>
      </c>
      <c r="D13" s="3004" t="s">
        <v>3458</v>
      </c>
      <c r="E13" s="3008" t="s">
        <v>3459</v>
      </c>
      <c r="F13" s="3011">
        <v>54.27</v>
      </c>
      <c r="G13" s="3011">
        <v>6.06</v>
      </c>
      <c r="H13" s="3004" t="s">
        <v>1373</v>
      </c>
      <c r="I13" s="3007" t="s">
        <v>3448</v>
      </c>
      <c r="J13" s="3010">
        <f t="shared" si="2"/>
        <v>56156</v>
      </c>
      <c r="K13" s="3007" t="str">
        <f t="shared" si="3"/>
        <v>12层</v>
      </c>
      <c r="L13" s="3007" t="str">
        <f t="shared" si="4"/>
        <v>1层</v>
      </c>
      <c r="N13" s="3002">
        <f t="shared" ca="1" si="0"/>
        <v>568424</v>
      </c>
      <c r="O13" s="3002">
        <f t="shared" ca="1" si="1"/>
        <v>57</v>
      </c>
    </row>
    <row r="14" spans="1:15" ht="24">
      <c r="A14" s="3007">
        <v>11</v>
      </c>
      <c r="B14" s="3007" t="s">
        <v>3070</v>
      </c>
      <c r="C14" s="3004" t="s">
        <v>3449</v>
      </c>
      <c r="D14" s="3004" t="s">
        <v>3460</v>
      </c>
      <c r="E14" s="3008" t="s">
        <v>3461</v>
      </c>
      <c r="F14" s="3011">
        <v>54.24</v>
      </c>
      <c r="G14" s="3011">
        <v>6.05</v>
      </c>
      <c r="H14" s="3004" t="s">
        <v>1373</v>
      </c>
      <c r="I14" s="3007" t="s">
        <v>3448</v>
      </c>
      <c r="J14" s="3010">
        <f t="shared" si="2"/>
        <v>56156</v>
      </c>
      <c r="K14" s="3007" t="str">
        <f t="shared" si="3"/>
        <v>12层</v>
      </c>
      <c r="L14" s="3007" t="str">
        <f t="shared" si="4"/>
        <v>1层</v>
      </c>
      <c r="N14" s="3002">
        <f t="shared" ca="1" si="0"/>
        <v>568110</v>
      </c>
      <c r="O14" s="3002">
        <f t="shared" ca="1" si="1"/>
        <v>57</v>
      </c>
    </row>
    <row r="15" spans="1:15" ht="24">
      <c r="A15" s="3007">
        <v>12</v>
      </c>
      <c r="B15" s="3007" t="s">
        <v>3071</v>
      </c>
      <c r="C15" s="3004" t="s">
        <v>3449</v>
      </c>
      <c r="D15" s="3004" t="s">
        <v>3462</v>
      </c>
      <c r="E15" s="3008" t="s">
        <v>3463</v>
      </c>
      <c r="F15" s="3011">
        <v>74.680000000000007</v>
      </c>
      <c r="G15" s="3011">
        <v>8.33</v>
      </c>
      <c r="H15" s="3004" t="s">
        <v>1373</v>
      </c>
      <c r="I15" s="3007" t="s">
        <v>3448</v>
      </c>
      <c r="J15" s="3010">
        <f t="shared" si="2"/>
        <v>56156</v>
      </c>
      <c r="K15" s="3007" t="str">
        <f t="shared" si="3"/>
        <v>12层</v>
      </c>
      <c r="L15" s="3007" t="str">
        <f t="shared" si="4"/>
        <v>1层</v>
      </c>
      <c r="N15" s="3002">
        <f t="shared" ca="1" si="0"/>
        <v>782198</v>
      </c>
      <c r="O15" s="3002">
        <f t="shared" ca="1" si="1"/>
        <v>78</v>
      </c>
    </row>
    <row r="16" spans="1:15" ht="24">
      <c r="A16" s="3007">
        <v>13</v>
      </c>
      <c r="B16" s="3007" t="s">
        <v>3072</v>
      </c>
      <c r="C16" s="3004" t="s">
        <v>3449</v>
      </c>
      <c r="D16" s="3004" t="s">
        <v>3464</v>
      </c>
      <c r="E16" s="3008" t="s">
        <v>3465</v>
      </c>
      <c r="F16" s="3011">
        <v>74.05</v>
      </c>
      <c r="G16" s="3011">
        <v>8.26</v>
      </c>
      <c r="H16" s="3004" t="s">
        <v>1373</v>
      </c>
      <c r="I16" s="3007" t="s">
        <v>3448</v>
      </c>
      <c r="J16" s="3010">
        <f t="shared" si="2"/>
        <v>56156</v>
      </c>
      <c r="K16" s="3007" t="str">
        <f t="shared" si="3"/>
        <v>12层</v>
      </c>
      <c r="L16" s="3007" t="str">
        <f t="shared" si="4"/>
        <v>1层</v>
      </c>
      <c r="N16" s="3002">
        <f t="shared" ca="1" si="0"/>
        <v>775600</v>
      </c>
      <c r="O16" s="3002">
        <f t="shared" ca="1" si="1"/>
        <v>78</v>
      </c>
    </row>
    <row r="17" spans="1:15" ht="24">
      <c r="A17" s="3007">
        <v>14</v>
      </c>
      <c r="B17" s="3007" t="s">
        <v>3073</v>
      </c>
      <c r="C17" s="3004" t="s">
        <v>3449</v>
      </c>
      <c r="D17" s="3004" t="s">
        <v>3466</v>
      </c>
      <c r="E17" s="3008" t="s">
        <v>3467</v>
      </c>
      <c r="F17" s="3011">
        <v>54.24</v>
      </c>
      <c r="G17" s="3011">
        <v>6.05</v>
      </c>
      <c r="H17" s="3004" t="s">
        <v>1373</v>
      </c>
      <c r="I17" s="3007" t="s">
        <v>3448</v>
      </c>
      <c r="J17" s="3010">
        <f t="shared" si="2"/>
        <v>56156</v>
      </c>
      <c r="K17" s="3007" t="str">
        <f t="shared" si="3"/>
        <v>12层</v>
      </c>
      <c r="L17" s="3007" t="str">
        <f t="shared" si="4"/>
        <v>1层</v>
      </c>
      <c r="N17" s="3002">
        <f t="shared" ca="1" si="0"/>
        <v>568110</v>
      </c>
      <c r="O17" s="3002">
        <f t="shared" ca="1" si="1"/>
        <v>57</v>
      </c>
    </row>
    <row r="18" spans="1:15" ht="24">
      <c r="A18" s="3007">
        <v>15</v>
      </c>
      <c r="B18" s="3007" t="s">
        <v>3074</v>
      </c>
      <c r="C18" s="3004" t="s">
        <v>3449</v>
      </c>
      <c r="D18" s="3004" t="s">
        <v>3468</v>
      </c>
      <c r="E18" s="3008" t="s">
        <v>3469</v>
      </c>
      <c r="F18" s="3011">
        <v>54.27</v>
      </c>
      <c r="G18" s="3011">
        <v>6.06</v>
      </c>
      <c r="H18" s="3004" t="s">
        <v>1373</v>
      </c>
      <c r="I18" s="3007" t="s">
        <v>3448</v>
      </c>
      <c r="J18" s="3010">
        <f t="shared" si="2"/>
        <v>56156</v>
      </c>
      <c r="K18" s="3007" t="str">
        <f t="shared" si="3"/>
        <v>12层</v>
      </c>
      <c r="L18" s="3007" t="str">
        <f t="shared" si="4"/>
        <v>1层</v>
      </c>
      <c r="N18" s="3002">
        <f t="shared" ca="1" si="0"/>
        <v>568424</v>
      </c>
      <c r="O18" s="3002">
        <f t="shared" ca="1" si="1"/>
        <v>57</v>
      </c>
    </row>
    <row r="19" spans="1:15" ht="24">
      <c r="A19" s="3007">
        <v>16</v>
      </c>
      <c r="B19" s="3007" t="s">
        <v>3075</v>
      </c>
      <c r="C19" s="3004" t="s">
        <v>3449</v>
      </c>
      <c r="D19" s="3004" t="s">
        <v>3470</v>
      </c>
      <c r="E19" s="3008" t="s">
        <v>3471</v>
      </c>
      <c r="F19" s="3011">
        <v>53.59</v>
      </c>
      <c r="G19" s="3011">
        <v>5.98</v>
      </c>
      <c r="H19" s="3004" t="s">
        <v>1373</v>
      </c>
      <c r="I19" s="3007" t="s">
        <v>3448</v>
      </c>
      <c r="J19" s="3010">
        <f t="shared" si="2"/>
        <v>56156</v>
      </c>
      <c r="K19" s="3007" t="str">
        <f t="shared" si="3"/>
        <v>12层</v>
      </c>
      <c r="L19" s="3007" t="str">
        <f t="shared" si="4"/>
        <v>1层</v>
      </c>
      <c r="N19" s="3002">
        <f t="shared" ca="1" si="0"/>
        <v>561302</v>
      </c>
      <c r="O19" s="3002">
        <f t="shared" ca="1" si="1"/>
        <v>56</v>
      </c>
    </row>
    <row r="20" spans="1:15" ht="24">
      <c r="A20" s="3007">
        <v>17</v>
      </c>
      <c r="B20" s="3007" t="s">
        <v>3076</v>
      </c>
      <c r="C20" s="3004" t="s">
        <v>3449</v>
      </c>
      <c r="D20" s="3004" t="s">
        <v>3472</v>
      </c>
      <c r="E20" s="3008" t="s">
        <v>3473</v>
      </c>
      <c r="F20" s="3011">
        <v>66.239999999999995</v>
      </c>
      <c r="G20" s="3011">
        <v>7.39</v>
      </c>
      <c r="H20" s="3004" t="s">
        <v>1373</v>
      </c>
      <c r="I20" s="3007" t="s">
        <v>3448</v>
      </c>
      <c r="J20" s="3010">
        <f t="shared" si="2"/>
        <v>56156</v>
      </c>
      <c r="K20" s="3007" t="str">
        <f t="shared" si="3"/>
        <v>12层</v>
      </c>
      <c r="L20" s="3007" t="str">
        <f t="shared" si="4"/>
        <v>1层</v>
      </c>
      <c r="N20" s="3002">
        <f t="shared" ca="1" si="0"/>
        <v>693798</v>
      </c>
      <c r="O20" s="3002">
        <f t="shared" ca="1" si="1"/>
        <v>69</v>
      </c>
    </row>
    <row r="21" spans="1:15" ht="24">
      <c r="A21" s="3007">
        <v>18</v>
      </c>
      <c r="B21" s="3007" t="s">
        <v>3077</v>
      </c>
      <c r="C21" s="3004" t="s">
        <v>3449</v>
      </c>
      <c r="D21" s="3004" t="s">
        <v>3474</v>
      </c>
      <c r="E21" s="3008" t="s">
        <v>3475</v>
      </c>
      <c r="F21" s="3011">
        <v>50.87</v>
      </c>
      <c r="G21" s="3011">
        <v>5.68</v>
      </c>
      <c r="H21" s="3004" t="s">
        <v>1373</v>
      </c>
      <c r="I21" s="3007" t="s">
        <v>3448</v>
      </c>
      <c r="J21" s="3010">
        <f t="shared" si="2"/>
        <v>56156</v>
      </c>
      <c r="K21" s="3007" t="str">
        <f t="shared" si="3"/>
        <v>12层</v>
      </c>
      <c r="L21" s="3007" t="s">
        <v>3476</v>
      </c>
      <c r="N21" s="3002">
        <f t="shared" ca="1" si="0"/>
        <v>532812</v>
      </c>
      <c r="O21" s="3002">
        <f t="shared" ca="1" si="1"/>
        <v>53</v>
      </c>
    </row>
    <row r="22" spans="1:15" ht="24">
      <c r="A22" s="3007">
        <v>19</v>
      </c>
      <c r="B22" s="3007" t="s">
        <v>3078</v>
      </c>
      <c r="C22" s="3004" t="s">
        <v>3477</v>
      </c>
      <c r="D22" s="3004" t="s">
        <v>3478</v>
      </c>
      <c r="E22" s="3008" t="s">
        <v>3479</v>
      </c>
      <c r="F22" s="3011">
        <v>54.01</v>
      </c>
      <c r="G22" s="3011">
        <v>6.03</v>
      </c>
      <c r="H22" s="3004" t="s">
        <v>1373</v>
      </c>
      <c r="I22" s="3007" t="s">
        <v>3440</v>
      </c>
      <c r="J22" s="3010">
        <f t="shared" si="2"/>
        <v>56156</v>
      </c>
      <c r="K22" s="3007" t="str">
        <f t="shared" si="3"/>
        <v>12层</v>
      </c>
      <c r="L22" s="3007" t="str">
        <f>$L$21</f>
        <v>2层</v>
      </c>
      <c r="N22" s="3002">
        <f t="shared" ca="1" si="0"/>
        <v>565701</v>
      </c>
      <c r="O22" s="3002">
        <f t="shared" ca="1" si="1"/>
        <v>57</v>
      </c>
    </row>
    <row r="23" spans="1:15" ht="24">
      <c r="A23" s="3007">
        <v>20</v>
      </c>
      <c r="B23" s="3007" t="s">
        <v>3079</v>
      </c>
      <c r="C23" s="3004" t="s">
        <v>3449</v>
      </c>
      <c r="D23" s="3004" t="s">
        <v>3480</v>
      </c>
      <c r="E23" s="3008" t="s">
        <v>3481</v>
      </c>
      <c r="F23" s="3011">
        <v>52.04</v>
      </c>
      <c r="G23" s="3011">
        <v>5.81</v>
      </c>
      <c r="H23" s="3004" t="s">
        <v>1373</v>
      </c>
      <c r="I23" s="3007" t="s">
        <v>3448</v>
      </c>
      <c r="J23" s="3010">
        <f t="shared" si="2"/>
        <v>56156</v>
      </c>
      <c r="K23" s="3007" t="str">
        <f t="shared" si="3"/>
        <v>12层</v>
      </c>
      <c r="L23" s="3007" t="str">
        <f t="shared" ref="L23:L42" si="5">$L$21</f>
        <v>2层</v>
      </c>
      <c r="N23" s="3002">
        <f t="shared" ca="1" si="0"/>
        <v>545067</v>
      </c>
      <c r="O23" s="3002">
        <f t="shared" ca="1" si="1"/>
        <v>55</v>
      </c>
    </row>
    <row r="24" spans="1:15" ht="24">
      <c r="A24" s="3007">
        <v>21</v>
      </c>
      <c r="B24" s="3007" t="s">
        <v>3080</v>
      </c>
      <c r="C24" s="3004" t="s">
        <v>3431</v>
      </c>
      <c r="D24" s="3004" t="s">
        <v>3482</v>
      </c>
      <c r="E24" s="3008" t="s">
        <v>3483</v>
      </c>
      <c r="F24" s="3011">
        <v>71.069999999999993</v>
      </c>
      <c r="G24" s="3011">
        <v>7.93</v>
      </c>
      <c r="H24" s="3004" t="s">
        <v>1373</v>
      </c>
      <c r="I24" s="3007" t="s">
        <v>3443</v>
      </c>
      <c r="J24" s="3010">
        <f t="shared" si="2"/>
        <v>56156</v>
      </c>
      <c r="K24" s="3007" t="str">
        <f t="shared" si="3"/>
        <v>12层</v>
      </c>
      <c r="L24" s="3007" t="str">
        <f t="shared" si="5"/>
        <v>2层</v>
      </c>
      <c r="N24" s="3002">
        <f t="shared" ca="1" si="0"/>
        <v>744387</v>
      </c>
      <c r="O24" s="3002">
        <f t="shared" ca="1" si="1"/>
        <v>74</v>
      </c>
    </row>
    <row r="25" spans="1:15" ht="24">
      <c r="A25" s="3007">
        <v>22</v>
      </c>
      <c r="B25" s="3007" t="s">
        <v>3081</v>
      </c>
      <c r="C25" s="3004" t="s">
        <v>3431</v>
      </c>
      <c r="D25" s="3004" t="s">
        <v>3484</v>
      </c>
      <c r="E25" s="3008" t="s">
        <v>3485</v>
      </c>
      <c r="F25" s="3011">
        <v>71.489999999999995</v>
      </c>
      <c r="G25" s="3011">
        <v>7.98</v>
      </c>
      <c r="H25" s="3004" t="s">
        <v>1373</v>
      </c>
      <c r="I25" s="3007" t="s">
        <v>3443</v>
      </c>
      <c r="J25" s="3010">
        <f t="shared" si="2"/>
        <v>56156</v>
      </c>
      <c r="K25" s="3007" t="str">
        <f t="shared" si="3"/>
        <v>12层</v>
      </c>
      <c r="L25" s="3007" t="str">
        <f t="shared" si="5"/>
        <v>2层</v>
      </c>
      <c r="N25" s="3002">
        <f t="shared" ca="1" si="0"/>
        <v>748786</v>
      </c>
      <c r="O25" s="3002">
        <f t="shared" ca="1" si="1"/>
        <v>75</v>
      </c>
    </row>
    <row r="26" spans="1:15" ht="24">
      <c r="A26" s="3007">
        <v>23</v>
      </c>
      <c r="B26" s="3007" t="s">
        <v>3082</v>
      </c>
      <c r="C26" s="3004" t="s">
        <v>3431</v>
      </c>
      <c r="D26" s="3004" t="s">
        <v>3486</v>
      </c>
      <c r="E26" s="3008" t="s">
        <v>3487</v>
      </c>
      <c r="F26" s="3011">
        <v>52.23</v>
      </c>
      <c r="G26" s="3011">
        <v>5.83</v>
      </c>
      <c r="H26" s="3004" t="s">
        <v>1373</v>
      </c>
      <c r="I26" s="3007" t="s">
        <v>3443</v>
      </c>
      <c r="J26" s="3010">
        <f t="shared" si="2"/>
        <v>56156</v>
      </c>
      <c r="K26" s="3007" t="str">
        <f t="shared" si="3"/>
        <v>12层</v>
      </c>
      <c r="L26" s="3007" t="str">
        <f t="shared" si="5"/>
        <v>2层</v>
      </c>
      <c r="N26" s="3002">
        <f t="shared" ca="1" si="0"/>
        <v>547057</v>
      </c>
      <c r="O26" s="3002">
        <f t="shared" ca="1" si="1"/>
        <v>55</v>
      </c>
    </row>
    <row r="27" spans="1:15" ht="24">
      <c r="A27" s="3007">
        <v>24</v>
      </c>
      <c r="B27" s="3007" t="s">
        <v>3083</v>
      </c>
      <c r="C27" s="3004" t="s">
        <v>3431</v>
      </c>
      <c r="D27" s="3004" t="s">
        <v>3488</v>
      </c>
      <c r="E27" s="3008" t="s">
        <v>3489</v>
      </c>
      <c r="F27" s="3011">
        <v>52.3</v>
      </c>
      <c r="G27" s="3011">
        <v>5.84</v>
      </c>
      <c r="H27" s="3004" t="s">
        <v>1373</v>
      </c>
      <c r="I27" s="3007" t="s">
        <v>3443</v>
      </c>
      <c r="J27" s="3010">
        <f t="shared" si="2"/>
        <v>56156</v>
      </c>
      <c r="K27" s="3007" t="str">
        <f t="shared" si="3"/>
        <v>12层</v>
      </c>
      <c r="L27" s="3007" t="str">
        <f t="shared" si="5"/>
        <v>2层</v>
      </c>
      <c r="N27" s="3002">
        <f t="shared" ca="1" si="0"/>
        <v>547790</v>
      </c>
      <c r="O27" s="3002">
        <f t="shared" ca="1" si="1"/>
        <v>55</v>
      </c>
    </row>
    <row r="28" spans="1:15" ht="24">
      <c r="A28" s="3007">
        <v>25</v>
      </c>
      <c r="B28" s="3007" t="s">
        <v>3084</v>
      </c>
      <c r="C28" s="3004" t="s">
        <v>3431</v>
      </c>
      <c r="D28" s="3004" t="s">
        <v>3490</v>
      </c>
      <c r="E28" s="3008" t="s">
        <v>3491</v>
      </c>
      <c r="F28" s="3011">
        <v>52.27</v>
      </c>
      <c r="G28" s="3011">
        <v>5.83</v>
      </c>
      <c r="H28" s="3004" t="s">
        <v>1373</v>
      </c>
      <c r="I28" s="3007" t="s">
        <v>3443</v>
      </c>
      <c r="J28" s="3010">
        <f t="shared" si="2"/>
        <v>56156</v>
      </c>
      <c r="K28" s="3007" t="str">
        <f t="shared" si="3"/>
        <v>12层</v>
      </c>
      <c r="L28" s="3007" t="str">
        <f t="shared" si="5"/>
        <v>2层</v>
      </c>
      <c r="N28" s="3002">
        <f t="shared" ca="1" si="0"/>
        <v>547476</v>
      </c>
      <c r="O28" s="3002">
        <f t="shared" ca="1" si="1"/>
        <v>55</v>
      </c>
    </row>
    <row r="29" spans="1:15" ht="24">
      <c r="A29" s="3007">
        <v>26</v>
      </c>
      <c r="B29" s="3007" t="s">
        <v>3085</v>
      </c>
      <c r="C29" s="3004" t="s">
        <v>3431</v>
      </c>
      <c r="D29" s="3004" t="s">
        <v>3492</v>
      </c>
      <c r="E29" s="3008" t="s">
        <v>3493</v>
      </c>
      <c r="F29" s="3011">
        <v>52.94</v>
      </c>
      <c r="G29" s="3011">
        <v>5.91</v>
      </c>
      <c r="H29" s="3004" t="s">
        <v>1373</v>
      </c>
      <c r="I29" s="3007" t="s">
        <v>3443</v>
      </c>
      <c r="J29" s="3010">
        <f t="shared" si="2"/>
        <v>56156</v>
      </c>
      <c r="K29" s="3007" t="str">
        <f t="shared" si="3"/>
        <v>12层</v>
      </c>
      <c r="L29" s="3007" t="str">
        <f t="shared" si="5"/>
        <v>2层</v>
      </c>
      <c r="N29" s="3002">
        <f t="shared" ca="1" si="0"/>
        <v>554494</v>
      </c>
      <c r="O29" s="3002">
        <f t="shared" ca="1" si="1"/>
        <v>55</v>
      </c>
    </row>
    <row r="30" spans="1:15" ht="24">
      <c r="A30" s="3007">
        <v>27</v>
      </c>
      <c r="B30" s="3007" t="s">
        <v>3086</v>
      </c>
      <c r="C30" s="3004" t="s">
        <v>3431</v>
      </c>
      <c r="D30" s="3004" t="s">
        <v>3494</v>
      </c>
      <c r="E30" s="3008" t="s">
        <v>3495</v>
      </c>
      <c r="F30" s="3011">
        <v>60.59</v>
      </c>
      <c r="G30" s="3011">
        <v>6.76</v>
      </c>
      <c r="H30" s="3004" t="s">
        <v>1373</v>
      </c>
      <c r="I30" s="3007" t="s">
        <v>3443</v>
      </c>
      <c r="J30" s="3010">
        <f t="shared" si="2"/>
        <v>56156</v>
      </c>
      <c r="K30" s="3007" t="str">
        <f t="shared" si="3"/>
        <v>12层</v>
      </c>
      <c r="L30" s="3007" t="str">
        <f t="shared" si="5"/>
        <v>2层</v>
      </c>
      <c r="N30" s="3002">
        <f t="shared" ca="1" si="0"/>
        <v>634620</v>
      </c>
      <c r="O30" s="3002">
        <f t="shared" ca="1" si="1"/>
        <v>63</v>
      </c>
    </row>
    <row r="31" spans="1:15" ht="24">
      <c r="A31" s="3007">
        <v>28</v>
      </c>
      <c r="B31" s="3007" t="s">
        <v>3087</v>
      </c>
      <c r="C31" s="3004" t="s">
        <v>3431</v>
      </c>
      <c r="D31" s="3004" t="s">
        <v>3496</v>
      </c>
      <c r="E31" s="3008" t="s">
        <v>3497</v>
      </c>
      <c r="F31" s="3011">
        <v>66.349999999999994</v>
      </c>
      <c r="G31" s="3011">
        <v>7.4</v>
      </c>
      <c r="H31" s="3004" t="s">
        <v>1373</v>
      </c>
      <c r="I31" s="3007" t="s">
        <v>3443</v>
      </c>
      <c r="J31" s="3010">
        <f t="shared" si="2"/>
        <v>56156</v>
      </c>
      <c r="K31" s="3007" t="str">
        <f t="shared" si="3"/>
        <v>12层</v>
      </c>
      <c r="L31" s="3007" t="str">
        <f t="shared" si="5"/>
        <v>2层</v>
      </c>
      <c r="N31" s="3002">
        <f t="shared" ca="1" si="0"/>
        <v>694950</v>
      </c>
      <c r="O31" s="3002">
        <f t="shared" ca="1" si="1"/>
        <v>69</v>
      </c>
    </row>
    <row r="32" spans="1:15" ht="24">
      <c r="A32" s="3007">
        <v>29</v>
      </c>
      <c r="B32" s="3007" t="s">
        <v>3088</v>
      </c>
      <c r="C32" s="3004" t="s">
        <v>3431</v>
      </c>
      <c r="D32" s="3004" t="s">
        <v>3498</v>
      </c>
      <c r="E32" s="3008" t="s">
        <v>3499</v>
      </c>
      <c r="F32" s="3011">
        <v>60.59</v>
      </c>
      <c r="G32" s="3011">
        <v>6.76</v>
      </c>
      <c r="H32" s="3004" t="s">
        <v>1373</v>
      </c>
      <c r="I32" s="3007" t="s">
        <v>3443</v>
      </c>
      <c r="J32" s="3010">
        <f t="shared" si="2"/>
        <v>56156</v>
      </c>
      <c r="K32" s="3007" t="str">
        <f t="shared" si="3"/>
        <v>12层</v>
      </c>
      <c r="L32" s="3007" t="str">
        <f t="shared" si="5"/>
        <v>2层</v>
      </c>
      <c r="N32" s="3002">
        <f t="shared" ca="1" si="0"/>
        <v>634620</v>
      </c>
      <c r="O32" s="3002">
        <f t="shared" ca="1" si="1"/>
        <v>63</v>
      </c>
    </row>
    <row r="33" spans="1:15" ht="24">
      <c r="A33" s="3007">
        <v>30</v>
      </c>
      <c r="B33" s="3007" t="s">
        <v>3089</v>
      </c>
      <c r="C33" s="3004" t="s">
        <v>3431</v>
      </c>
      <c r="D33" s="3004" t="s">
        <v>3500</v>
      </c>
      <c r="E33" s="3008" t="s">
        <v>3501</v>
      </c>
      <c r="F33" s="3011">
        <v>53.01</v>
      </c>
      <c r="G33" s="3011">
        <v>5.92</v>
      </c>
      <c r="H33" s="3004" t="s">
        <v>1373</v>
      </c>
      <c r="I33" s="3007" t="s">
        <v>3443</v>
      </c>
      <c r="J33" s="3010">
        <f t="shared" si="2"/>
        <v>56156</v>
      </c>
      <c r="K33" s="3007" t="str">
        <f t="shared" si="3"/>
        <v>12层</v>
      </c>
      <c r="L33" s="3007" t="str">
        <f t="shared" si="5"/>
        <v>2层</v>
      </c>
      <c r="N33" s="3002">
        <f t="shared" ca="1" si="0"/>
        <v>555227</v>
      </c>
      <c r="O33" s="3002">
        <f t="shared" ca="1" si="1"/>
        <v>56</v>
      </c>
    </row>
    <row r="34" spans="1:15" ht="24">
      <c r="A34" s="3007">
        <v>31</v>
      </c>
      <c r="B34" s="3007" t="s">
        <v>3090</v>
      </c>
      <c r="C34" s="3004" t="s">
        <v>3431</v>
      </c>
      <c r="D34" s="3004" t="s">
        <v>3502</v>
      </c>
      <c r="E34" s="3008" t="s">
        <v>3503</v>
      </c>
      <c r="F34" s="3011">
        <v>52.95</v>
      </c>
      <c r="G34" s="3011">
        <v>5.91</v>
      </c>
      <c r="H34" s="3004" t="s">
        <v>1373</v>
      </c>
      <c r="I34" s="3007" t="s">
        <v>3443</v>
      </c>
      <c r="J34" s="3010">
        <f t="shared" si="2"/>
        <v>56156</v>
      </c>
      <c r="K34" s="3007" t="str">
        <f t="shared" si="3"/>
        <v>12层</v>
      </c>
      <c r="L34" s="3007" t="str">
        <f t="shared" si="5"/>
        <v>2层</v>
      </c>
      <c r="N34" s="3002">
        <f t="shared" ca="1" si="0"/>
        <v>554598</v>
      </c>
      <c r="O34" s="3002">
        <f t="shared" ca="1" si="1"/>
        <v>55</v>
      </c>
    </row>
    <row r="35" spans="1:15" ht="24">
      <c r="A35" s="3007">
        <v>32</v>
      </c>
      <c r="B35" s="3007" t="s">
        <v>3091</v>
      </c>
      <c r="C35" s="3004" t="s">
        <v>3431</v>
      </c>
      <c r="D35" s="3004" t="s">
        <v>3504</v>
      </c>
      <c r="E35" s="3008" t="s">
        <v>3505</v>
      </c>
      <c r="F35" s="3011">
        <v>52.95</v>
      </c>
      <c r="G35" s="3011">
        <v>5.91</v>
      </c>
      <c r="H35" s="3004" t="s">
        <v>1373</v>
      </c>
      <c r="I35" s="3007" t="s">
        <v>3443</v>
      </c>
      <c r="J35" s="3010">
        <f t="shared" si="2"/>
        <v>56156</v>
      </c>
      <c r="K35" s="3007" t="str">
        <f t="shared" si="3"/>
        <v>12层</v>
      </c>
      <c r="L35" s="3007" t="str">
        <f t="shared" si="5"/>
        <v>2层</v>
      </c>
      <c r="N35" s="3002">
        <f t="shared" ca="1" si="0"/>
        <v>554598</v>
      </c>
      <c r="O35" s="3002">
        <f t="shared" ca="1" si="1"/>
        <v>55</v>
      </c>
    </row>
    <row r="36" spans="1:15" ht="24">
      <c r="A36" s="3007">
        <v>33</v>
      </c>
      <c r="B36" s="3007" t="s">
        <v>3092</v>
      </c>
      <c r="C36" s="3004" t="s">
        <v>3431</v>
      </c>
      <c r="D36" s="3004" t="s">
        <v>3506</v>
      </c>
      <c r="E36" s="3008" t="s">
        <v>3507</v>
      </c>
      <c r="F36" s="3011">
        <v>52.92</v>
      </c>
      <c r="G36" s="3011">
        <v>5.91</v>
      </c>
      <c r="H36" s="3004" t="s">
        <v>1373</v>
      </c>
      <c r="I36" s="3007" t="s">
        <v>3443</v>
      </c>
      <c r="J36" s="3010">
        <f t="shared" si="2"/>
        <v>56156</v>
      </c>
      <c r="K36" s="3007" t="str">
        <f t="shared" si="3"/>
        <v>12层</v>
      </c>
      <c r="L36" s="3007" t="str">
        <f t="shared" si="5"/>
        <v>2层</v>
      </c>
      <c r="N36" s="3002">
        <f t="shared" ca="1" si="0"/>
        <v>554284</v>
      </c>
      <c r="O36" s="3002">
        <f t="shared" ca="1" si="1"/>
        <v>55</v>
      </c>
    </row>
    <row r="37" spans="1:15" ht="24">
      <c r="A37" s="3007">
        <v>34</v>
      </c>
      <c r="B37" s="3007" t="s">
        <v>3093</v>
      </c>
      <c r="C37" s="3004" t="s">
        <v>3431</v>
      </c>
      <c r="D37" s="3004" t="s">
        <v>3508</v>
      </c>
      <c r="E37" s="3008" t="s">
        <v>3509</v>
      </c>
      <c r="F37" s="3011">
        <v>72.87</v>
      </c>
      <c r="G37" s="3011">
        <v>8.1300000000000008</v>
      </c>
      <c r="H37" s="3004" t="s">
        <v>1373</v>
      </c>
      <c r="I37" s="3007" t="s">
        <v>3443</v>
      </c>
      <c r="J37" s="3010">
        <f t="shared" si="2"/>
        <v>56156</v>
      </c>
      <c r="K37" s="3007" t="str">
        <f t="shared" si="3"/>
        <v>12层</v>
      </c>
      <c r="L37" s="3007" t="str">
        <f t="shared" si="5"/>
        <v>2层</v>
      </c>
      <c r="N37" s="3002">
        <f t="shared" ca="1" si="0"/>
        <v>763240</v>
      </c>
      <c r="O37" s="3002">
        <f t="shared" ca="1" si="1"/>
        <v>76</v>
      </c>
    </row>
    <row r="38" spans="1:15" ht="24">
      <c r="A38" s="3007">
        <v>35</v>
      </c>
      <c r="B38" s="3007" t="s">
        <v>3094</v>
      </c>
      <c r="C38" s="3004" t="s">
        <v>3431</v>
      </c>
      <c r="D38" s="3004" t="s">
        <v>3510</v>
      </c>
      <c r="E38" s="3008" t="s">
        <v>3511</v>
      </c>
      <c r="F38" s="3011">
        <v>72.239999999999995</v>
      </c>
      <c r="G38" s="3011">
        <v>8.06</v>
      </c>
      <c r="H38" s="3004" t="s">
        <v>1373</v>
      </c>
      <c r="I38" s="3007" t="s">
        <v>3443</v>
      </c>
      <c r="J38" s="3010">
        <f t="shared" si="2"/>
        <v>56156</v>
      </c>
      <c r="K38" s="3007" t="str">
        <f t="shared" si="3"/>
        <v>12层</v>
      </c>
      <c r="L38" s="3007" t="str">
        <f t="shared" si="5"/>
        <v>2层</v>
      </c>
      <c r="N38" s="3002">
        <f t="shared" ca="1" si="0"/>
        <v>756642</v>
      </c>
      <c r="O38" s="3002">
        <f t="shared" ca="1" si="1"/>
        <v>76</v>
      </c>
    </row>
    <row r="39" spans="1:15" ht="24">
      <c r="A39" s="3007">
        <v>36</v>
      </c>
      <c r="B39" s="3007" t="s">
        <v>3095</v>
      </c>
      <c r="C39" s="3004" t="s">
        <v>3431</v>
      </c>
      <c r="D39" s="3004" t="s">
        <v>3512</v>
      </c>
      <c r="E39" s="3008" t="s">
        <v>3513</v>
      </c>
      <c r="F39" s="3011">
        <v>52.92</v>
      </c>
      <c r="G39" s="3011">
        <v>5.91</v>
      </c>
      <c r="H39" s="3004" t="s">
        <v>1373</v>
      </c>
      <c r="I39" s="3007" t="s">
        <v>3443</v>
      </c>
      <c r="J39" s="3010">
        <f t="shared" si="2"/>
        <v>56156</v>
      </c>
      <c r="K39" s="3007" t="str">
        <f t="shared" si="3"/>
        <v>12层</v>
      </c>
      <c r="L39" s="3007" t="str">
        <f t="shared" si="5"/>
        <v>2层</v>
      </c>
      <c r="N39" s="3002">
        <f t="shared" ca="1" si="0"/>
        <v>554284</v>
      </c>
      <c r="O39" s="3002">
        <f t="shared" ca="1" si="1"/>
        <v>55</v>
      </c>
    </row>
    <row r="40" spans="1:15" ht="24">
      <c r="A40" s="3007">
        <v>37</v>
      </c>
      <c r="B40" s="3007" t="s">
        <v>3096</v>
      </c>
      <c r="C40" s="3004" t="s">
        <v>3431</v>
      </c>
      <c r="D40" s="3004" t="s">
        <v>3514</v>
      </c>
      <c r="E40" s="3008" t="s">
        <v>3515</v>
      </c>
      <c r="F40" s="3011">
        <v>52.95</v>
      </c>
      <c r="G40" s="3011">
        <v>5.91</v>
      </c>
      <c r="H40" s="3004" t="s">
        <v>1373</v>
      </c>
      <c r="I40" s="3007" t="s">
        <v>3443</v>
      </c>
      <c r="J40" s="3010">
        <f t="shared" si="2"/>
        <v>56156</v>
      </c>
      <c r="K40" s="3007" t="str">
        <f t="shared" si="3"/>
        <v>12层</v>
      </c>
      <c r="L40" s="3007" t="str">
        <f t="shared" si="5"/>
        <v>2层</v>
      </c>
      <c r="N40" s="3002">
        <f t="shared" ca="1" si="0"/>
        <v>554598</v>
      </c>
      <c r="O40" s="3002">
        <f t="shared" ca="1" si="1"/>
        <v>55</v>
      </c>
    </row>
    <row r="41" spans="1:15" ht="24">
      <c r="A41" s="3007">
        <v>38</v>
      </c>
      <c r="B41" s="3007" t="s">
        <v>3097</v>
      </c>
      <c r="C41" s="3004" t="s">
        <v>3431</v>
      </c>
      <c r="D41" s="3004" t="s">
        <v>3516</v>
      </c>
      <c r="E41" s="3008" t="s">
        <v>3517</v>
      </c>
      <c r="F41" s="3011">
        <v>52.29</v>
      </c>
      <c r="G41" s="3011">
        <v>5.84</v>
      </c>
      <c r="H41" s="3004" t="s">
        <v>1373</v>
      </c>
      <c r="I41" s="3007" t="s">
        <v>3443</v>
      </c>
      <c r="J41" s="3010">
        <f t="shared" si="2"/>
        <v>56156</v>
      </c>
      <c r="K41" s="3007" t="str">
        <f t="shared" si="3"/>
        <v>12层</v>
      </c>
      <c r="L41" s="3007" t="str">
        <f t="shared" si="5"/>
        <v>2层</v>
      </c>
      <c r="N41" s="3002">
        <f t="shared" ca="1" si="0"/>
        <v>547685</v>
      </c>
      <c r="O41" s="3002">
        <f t="shared" ca="1" si="1"/>
        <v>55</v>
      </c>
    </row>
    <row r="42" spans="1:15" ht="24">
      <c r="A42" s="3007">
        <v>39</v>
      </c>
      <c r="B42" s="3007" t="s">
        <v>3098</v>
      </c>
      <c r="C42" s="3004" t="s">
        <v>3431</v>
      </c>
      <c r="D42" s="3004" t="s">
        <v>3518</v>
      </c>
      <c r="E42" s="3008" t="s">
        <v>3519</v>
      </c>
      <c r="F42" s="3011">
        <v>64.63</v>
      </c>
      <c r="G42" s="3011">
        <v>7.21</v>
      </c>
      <c r="H42" s="3004" t="s">
        <v>1373</v>
      </c>
      <c r="I42" s="3007" t="s">
        <v>3443</v>
      </c>
      <c r="J42" s="3010">
        <f t="shared" si="2"/>
        <v>56156</v>
      </c>
      <c r="K42" s="3007" t="str">
        <f t="shared" si="3"/>
        <v>12层</v>
      </c>
      <c r="L42" s="3007" t="str">
        <f t="shared" si="5"/>
        <v>2层</v>
      </c>
      <c r="N42" s="3002">
        <f t="shared" ca="1" si="0"/>
        <v>676935</v>
      </c>
      <c r="O42" s="3002">
        <f t="shared" ca="1" si="1"/>
        <v>68</v>
      </c>
    </row>
    <row r="43" spans="1:15" ht="24">
      <c r="A43" s="3007">
        <v>40</v>
      </c>
      <c r="B43" s="3007" t="s">
        <v>3099</v>
      </c>
      <c r="C43" s="3004" t="s">
        <v>3431</v>
      </c>
      <c r="D43" s="3007" t="s">
        <v>3520</v>
      </c>
      <c r="E43" s="3008" t="s">
        <v>3521</v>
      </c>
      <c r="F43" s="3011">
        <v>50.87</v>
      </c>
      <c r="G43" s="3011">
        <v>5.68</v>
      </c>
      <c r="H43" s="3004" t="s">
        <v>1373</v>
      </c>
      <c r="I43" s="3007" t="s">
        <v>3443</v>
      </c>
      <c r="J43" s="3010">
        <f t="shared" si="2"/>
        <v>56156</v>
      </c>
      <c r="K43" s="3007" t="str">
        <f t="shared" si="3"/>
        <v>12层</v>
      </c>
      <c r="L43" s="3007" t="s">
        <v>3522</v>
      </c>
      <c r="N43" s="3002">
        <f t="shared" ca="1" si="0"/>
        <v>532812</v>
      </c>
      <c r="O43" s="3002">
        <f t="shared" ca="1" si="1"/>
        <v>53</v>
      </c>
    </row>
    <row r="44" spans="1:15" ht="24">
      <c r="A44" s="3007">
        <v>41</v>
      </c>
      <c r="B44" s="3007" t="s">
        <v>3100</v>
      </c>
      <c r="C44" s="3004" t="s">
        <v>3431</v>
      </c>
      <c r="D44" s="3007" t="s">
        <v>3523</v>
      </c>
      <c r="E44" s="3008" t="s">
        <v>3524</v>
      </c>
      <c r="F44" s="3011">
        <v>54.01</v>
      </c>
      <c r="G44" s="3011">
        <v>6.03</v>
      </c>
      <c r="H44" s="3004" t="s">
        <v>1373</v>
      </c>
      <c r="I44" s="3007" t="s">
        <v>3443</v>
      </c>
      <c r="J44" s="3010">
        <f t="shared" si="2"/>
        <v>56156</v>
      </c>
      <c r="K44" s="3007" t="str">
        <f t="shared" si="3"/>
        <v>12层</v>
      </c>
      <c r="L44" s="3007" t="str">
        <f>$L$43</f>
        <v>3层</v>
      </c>
      <c r="N44" s="3002">
        <f t="shared" ca="1" si="0"/>
        <v>565701</v>
      </c>
      <c r="O44" s="3002">
        <f t="shared" ca="1" si="1"/>
        <v>57</v>
      </c>
    </row>
    <row r="45" spans="1:15" ht="24">
      <c r="A45" s="3007">
        <v>42</v>
      </c>
      <c r="B45" s="3007" t="s">
        <v>3101</v>
      </c>
      <c r="C45" s="3004" t="s">
        <v>3431</v>
      </c>
      <c r="D45" s="3007" t="s">
        <v>3525</v>
      </c>
      <c r="E45" s="3008" t="s">
        <v>3526</v>
      </c>
      <c r="F45" s="3011">
        <v>52.04</v>
      </c>
      <c r="G45" s="3011">
        <v>5.81</v>
      </c>
      <c r="H45" s="3004" t="s">
        <v>1373</v>
      </c>
      <c r="I45" s="3007" t="s">
        <v>3443</v>
      </c>
      <c r="J45" s="3010">
        <f t="shared" si="2"/>
        <v>56156</v>
      </c>
      <c r="K45" s="3007" t="str">
        <f t="shared" si="3"/>
        <v>12层</v>
      </c>
      <c r="L45" s="3007" t="str">
        <f t="shared" ref="L45:L64" si="6">$L$43</f>
        <v>3层</v>
      </c>
      <c r="N45" s="3002">
        <f t="shared" ca="1" si="0"/>
        <v>545067</v>
      </c>
      <c r="O45" s="3002">
        <f t="shared" ca="1" si="1"/>
        <v>55</v>
      </c>
    </row>
    <row r="46" spans="1:15" ht="24">
      <c r="A46" s="3007">
        <v>43</v>
      </c>
      <c r="B46" s="3007" t="s">
        <v>3102</v>
      </c>
      <c r="C46" s="3004" t="s">
        <v>3527</v>
      </c>
      <c r="D46" s="3007" t="s">
        <v>3528</v>
      </c>
      <c r="E46" s="3008" t="s">
        <v>3529</v>
      </c>
      <c r="F46" s="3011">
        <v>71.069999999999993</v>
      </c>
      <c r="G46" s="3011">
        <v>7.93</v>
      </c>
      <c r="H46" s="3004" t="s">
        <v>1373</v>
      </c>
      <c r="I46" s="3007" t="s">
        <v>3530</v>
      </c>
      <c r="J46" s="3010">
        <f t="shared" si="2"/>
        <v>56156</v>
      </c>
      <c r="K46" s="3007" t="str">
        <f t="shared" si="3"/>
        <v>12层</v>
      </c>
      <c r="L46" s="3007" t="str">
        <f t="shared" si="6"/>
        <v>3层</v>
      </c>
      <c r="N46" s="3002">
        <f t="shared" ca="1" si="0"/>
        <v>744387</v>
      </c>
      <c r="O46" s="3002">
        <f t="shared" ca="1" si="1"/>
        <v>74</v>
      </c>
    </row>
    <row r="47" spans="1:15" ht="24">
      <c r="A47" s="3007">
        <v>44</v>
      </c>
      <c r="B47" s="3007" t="s">
        <v>3103</v>
      </c>
      <c r="C47" s="3004" t="s">
        <v>3527</v>
      </c>
      <c r="D47" s="3007" t="s">
        <v>3531</v>
      </c>
      <c r="E47" s="3008" t="s">
        <v>3532</v>
      </c>
      <c r="F47" s="3011">
        <v>71.489999999999995</v>
      </c>
      <c r="G47" s="3011">
        <v>7.98</v>
      </c>
      <c r="H47" s="3004" t="s">
        <v>1373</v>
      </c>
      <c r="I47" s="3007" t="s">
        <v>3530</v>
      </c>
      <c r="J47" s="3010">
        <f t="shared" si="2"/>
        <v>56156</v>
      </c>
      <c r="K47" s="3007" t="str">
        <f t="shared" si="3"/>
        <v>12层</v>
      </c>
      <c r="L47" s="3007" t="str">
        <f t="shared" si="6"/>
        <v>3层</v>
      </c>
      <c r="N47" s="3002">
        <f t="shared" ca="1" si="0"/>
        <v>748786</v>
      </c>
      <c r="O47" s="3002">
        <f t="shared" ca="1" si="1"/>
        <v>75</v>
      </c>
    </row>
    <row r="48" spans="1:15" ht="24">
      <c r="A48" s="3007">
        <v>45</v>
      </c>
      <c r="B48" s="3007" t="s">
        <v>3104</v>
      </c>
      <c r="C48" s="3004" t="s">
        <v>3527</v>
      </c>
      <c r="D48" s="3007" t="s">
        <v>3533</v>
      </c>
      <c r="E48" s="3008" t="s">
        <v>3534</v>
      </c>
      <c r="F48" s="3011">
        <v>52.23</v>
      </c>
      <c r="G48" s="3011">
        <v>5.83</v>
      </c>
      <c r="H48" s="3004" t="s">
        <v>1373</v>
      </c>
      <c r="I48" s="3007" t="s">
        <v>3530</v>
      </c>
      <c r="J48" s="3010">
        <f t="shared" si="2"/>
        <v>56156</v>
      </c>
      <c r="K48" s="3007" t="str">
        <f t="shared" si="3"/>
        <v>12层</v>
      </c>
      <c r="L48" s="3007" t="str">
        <f t="shared" si="6"/>
        <v>3层</v>
      </c>
      <c r="N48" s="3002">
        <f t="shared" ca="1" si="0"/>
        <v>547057</v>
      </c>
      <c r="O48" s="3002">
        <f t="shared" ca="1" si="1"/>
        <v>55</v>
      </c>
    </row>
    <row r="49" spans="1:15" ht="24">
      <c r="A49" s="3007">
        <v>46</v>
      </c>
      <c r="B49" s="3007" t="s">
        <v>3105</v>
      </c>
      <c r="C49" s="3004" t="s">
        <v>3527</v>
      </c>
      <c r="D49" s="3007" t="s">
        <v>3535</v>
      </c>
      <c r="E49" s="3008" t="s">
        <v>3536</v>
      </c>
      <c r="F49" s="3011">
        <v>52.3</v>
      </c>
      <c r="G49" s="3011">
        <v>5.84</v>
      </c>
      <c r="H49" s="3004" t="s">
        <v>1373</v>
      </c>
      <c r="I49" s="3007" t="s">
        <v>3443</v>
      </c>
      <c r="J49" s="3010">
        <f t="shared" si="2"/>
        <v>56156</v>
      </c>
      <c r="K49" s="3007" t="str">
        <f t="shared" si="3"/>
        <v>12层</v>
      </c>
      <c r="L49" s="3007" t="str">
        <f t="shared" si="6"/>
        <v>3层</v>
      </c>
      <c r="N49" s="3002">
        <f t="shared" ca="1" si="0"/>
        <v>547790</v>
      </c>
      <c r="O49" s="3002">
        <f t="shared" ca="1" si="1"/>
        <v>55</v>
      </c>
    </row>
    <row r="50" spans="1:15" ht="24">
      <c r="A50" s="3007">
        <v>47</v>
      </c>
      <c r="B50" s="3007" t="s">
        <v>3106</v>
      </c>
      <c r="C50" s="3004" t="s">
        <v>3431</v>
      </c>
      <c r="D50" s="3007" t="s">
        <v>3537</v>
      </c>
      <c r="E50" s="3008" t="s">
        <v>3538</v>
      </c>
      <c r="F50" s="3011">
        <v>52.27</v>
      </c>
      <c r="G50" s="3011">
        <v>5.83</v>
      </c>
      <c r="H50" s="3004" t="s">
        <v>1373</v>
      </c>
      <c r="I50" s="3007" t="s">
        <v>3443</v>
      </c>
      <c r="J50" s="3010">
        <f t="shared" si="2"/>
        <v>56156</v>
      </c>
      <c r="K50" s="3007" t="str">
        <f t="shared" si="3"/>
        <v>12层</v>
      </c>
      <c r="L50" s="3007" t="str">
        <f t="shared" si="6"/>
        <v>3层</v>
      </c>
      <c r="N50" s="3002">
        <f t="shared" ca="1" si="0"/>
        <v>547476</v>
      </c>
      <c r="O50" s="3002">
        <f t="shared" ca="1" si="1"/>
        <v>55</v>
      </c>
    </row>
    <row r="51" spans="1:15" ht="24">
      <c r="A51" s="3007">
        <v>48</v>
      </c>
      <c r="B51" s="3007" t="s">
        <v>3107</v>
      </c>
      <c r="C51" s="3004" t="s">
        <v>3431</v>
      </c>
      <c r="D51" s="3007" t="s">
        <v>3539</v>
      </c>
      <c r="E51" s="3008" t="s">
        <v>3540</v>
      </c>
      <c r="F51" s="3011">
        <v>52.94</v>
      </c>
      <c r="G51" s="3011">
        <v>5.91</v>
      </c>
      <c r="H51" s="3004" t="s">
        <v>1373</v>
      </c>
      <c r="I51" s="3007" t="s">
        <v>3443</v>
      </c>
      <c r="J51" s="3010">
        <f t="shared" si="2"/>
        <v>56156</v>
      </c>
      <c r="K51" s="3007" t="str">
        <f t="shared" si="3"/>
        <v>12层</v>
      </c>
      <c r="L51" s="3007" t="str">
        <f t="shared" si="6"/>
        <v>3层</v>
      </c>
      <c r="N51" s="3002">
        <f t="shared" ca="1" si="0"/>
        <v>554494</v>
      </c>
      <c r="O51" s="3002">
        <f t="shared" ca="1" si="1"/>
        <v>55</v>
      </c>
    </row>
    <row r="52" spans="1:15" ht="24">
      <c r="A52" s="3007">
        <v>49</v>
      </c>
      <c r="B52" s="3007" t="s">
        <v>3108</v>
      </c>
      <c r="C52" s="3004" t="s">
        <v>3431</v>
      </c>
      <c r="D52" s="3007" t="s">
        <v>3541</v>
      </c>
      <c r="E52" s="3008" t="s">
        <v>3542</v>
      </c>
      <c r="F52" s="3011">
        <v>61.19</v>
      </c>
      <c r="G52" s="3011">
        <v>6.83</v>
      </c>
      <c r="H52" s="3004" t="s">
        <v>1373</v>
      </c>
      <c r="I52" s="3007" t="s">
        <v>3443</v>
      </c>
      <c r="J52" s="3010">
        <f t="shared" si="2"/>
        <v>56156</v>
      </c>
      <c r="K52" s="3007" t="str">
        <f t="shared" si="3"/>
        <v>12层</v>
      </c>
      <c r="L52" s="3007" t="str">
        <f t="shared" si="6"/>
        <v>3层</v>
      </c>
      <c r="N52" s="3002">
        <f t="shared" ca="1" si="0"/>
        <v>640904</v>
      </c>
      <c r="O52" s="3002">
        <f t="shared" ca="1" si="1"/>
        <v>64</v>
      </c>
    </row>
    <row r="53" spans="1:15" ht="24">
      <c r="A53" s="3007">
        <v>50</v>
      </c>
      <c r="B53" s="3007" t="s">
        <v>3109</v>
      </c>
      <c r="C53" s="3004" t="s">
        <v>3431</v>
      </c>
      <c r="D53" s="3007" t="s">
        <v>3543</v>
      </c>
      <c r="E53" s="3008" t="s">
        <v>3544</v>
      </c>
      <c r="F53" s="3011">
        <v>65.760000000000005</v>
      </c>
      <c r="G53" s="3011">
        <v>7.34</v>
      </c>
      <c r="H53" s="3004" t="s">
        <v>1373</v>
      </c>
      <c r="I53" s="3007" t="s">
        <v>3443</v>
      </c>
      <c r="J53" s="3010">
        <f t="shared" si="2"/>
        <v>56156</v>
      </c>
      <c r="K53" s="3007" t="str">
        <f t="shared" si="3"/>
        <v>12层</v>
      </c>
      <c r="L53" s="3007" t="str">
        <f t="shared" si="6"/>
        <v>3层</v>
      </c>
      <c r="N53" s="3002">
        <f t="shared" ca="1" si="0"/>
        <v>688770</v>
      </c>
      <c r="O53" s="3002">
        <f t="shared" ca="1" si="1"/>
        <v>69</v>
      </c>
    </row>
    <row r="54" spans="1:15" ht="24">
      <c r="A54" s="3007">
        <v>51</v>
      </c>
      <c r="B54" s="3007" t="s">
        <v>3110</v>
      </c>
      <c r="C54" s="3004" t="s">
        <v>3431</v>
      </c>
      <c r="D54" s="3007" t="s">
        <v>3545</v>
      </c>
      <c r="E54" s="3008" t="s">
        <v>3546</v>
      </c>
      <c r="F54" s="3011">
        <v>60.59</v>
      </c>
      <c r="G54" s="3011">
        <v>6.76</v>
      </c>
      <c r="H54" s="3004" t="s">
        <v>1373</v>
      </c>
      <c r="I54" s="3007" t="s">
        <v>3443</v>
      </c>
      <c r="J54" s="3010">
        <f t="shared" si="2"/>
        <v>56156</v>
      </c>
      <c r="K54" s="3007" t="str">
        <f t="shared" si="3"/>
        <v>12层</v>
      </c>
      <c r="L54" s="3007" t="str">
        <f t="shared" si="6"/>
        <v>3层</v>
      </c>
      <c r="N54" s="3002">
        <f t="shared" ca="1" si="0"/>
        <v>634620</v>
      </c>
      <c r="O54" s="3002">
        <f t="shared" ca="1" si="1"/>
        <v>63</v>
      </c>
    </row>
    <row r="55" spans="1:15" ht="24">
      <c r="A55" s="3007">
        <v>52</v>
      </c>
      <c r="B55" s="3007" t="s">
        <v>3111</v>
      </c>
      <c r="C55" s="3004" t="s">
        <v>3431</v>
      </c>
      <c r="D55" s="3007" t="s">
        <v>3547</v>
      </c>
      <c r="E55" s="3008" t="s">
        <v>3548</v>
      </c>
      <c r="F55" s="3011">
        <v>53.01</v>
      </c>
      <c r="G55" s="3011">
        <v>5.92</v>
      </c>
      <c r="H55" s="3004" t="s">
        <v>1373</v>
      </c>
      <c r="I55" s="3007" t="s">
        <v>3443</v>
      </c>
      <c r="J55" s="3010">
        <f t="shared" si="2"/>
        <v>56156</v>
      </c>
      <c r="K55" s="3007" t="str">
        <f t="shared" si="3"/>
        <v>12层</v>
      </c>
      <c r="L55" s="3007" t="str">
        <f t="shared" si="6"/>
        <v>3层</v>
      </c>
      <c r="N55" s="3002">
        <f t="shared" ca="1" si="0"/>
        <v>555227</v>
      </c>
      <c r="O55" s="3002">
        <f t="shared" ca="1" si="1"/>
        <v>56</v>
      </c>
    </row>
    <row r="56" spans="1:15" ht="24">
      <c r="A56" s="3007">
        <v>53</v>
      </c>
      <c r="B56" s="3007" t="s">
        <v>3112</v>
      </c>
      <c r="C56" s="3004" t="s">
        <v>3431</v>
      </c>
      <c r="D56" s="3007" t="s">
        <v>3549</v>
      </c>
      <c r="E56" s="3008" t="s">
        <v>3550</v>
      </c>
      <c r="F56" s="3011">
        <v>52.95</v>
      </c>
      <c r="G56" s="3011">
        <v>5.91</v>
      </c>
      <c r="H56" s="3004" t="s">
        <v>1373</v>
      </c>
      <c r="I56" s="3007" t="s">
        <v>3440</v>
      </c>
      <c r="J56" s="3010">
        <f t="shared" si="2"/>
        <v>56156</v>
      </c>
      <c r="K56" s="3007" t="str">
        <f t="shared" si="3"/>
        <v>12层</v>
      </c>
      <c r="L56" s="3007" t="str">
        <f t="shared" si="6"/>
        <v>3层</v>
      </c>
      <c r="N56" s="3002">
        <f t="shared" ca="1" si="0"/>
        <v>554598</v>
      </c>
      <c r="O56" s="3002">
        <f t="shared" ca="1" si="1"/>
        <v>55</v>
      </c>
    </row>
    <row r="57" spans="1:15" ht="24">
      <c r="A57" s="3007">
        <v>54</v>
      </c>
      <c r="B57" s="3007" t="s">
        <v>3113</v>
      </c>
      <c r="C57" s="3004" t="s">
        <v>3477</v>
      </c>
      <c r="D57" s="3007" t="s">
        <v>3551</v>
      </c>
      <c r="E57" s="3008" t="s">
        <v>3552</v>
      </c>
      <c r="F57" s="3011">
        <v>52.95</v>
      </c>
      <c r="G57" s="3011">
        <v>5.91</v>
      </c>
      <c r="H57" s="3004" t="s">
        <v>1373</v>
      </c>
      <c r="I57" s="3007" t="s">
        <v>3440</v>
      </c>
      <c r="J57" s="3010">
        <f t="shared" si="2"/>
        <v>56156</v>
      </c>
      <c r="K57" s="3007" t="str">
        <f t="shared" si="3"/>
        <v>12层</v>
      </c>
      <c r="L57" s="3007" t="str">
        <f t="shared" si="6"/>
        <v>3层</v>
      </c>
      <c r="N57" s="3002">
        <f t="shared" ca="1" si="0"/>
        <v>554598</v>
      </c>
      <c r="O57" s="3002">
        <f t="shared" ca="1" si="1"/>
        <v>55</v>
      </c>
    </row>
    <row r="58" spans="1:15" ht="24">
      <c r="A58" s="3007">
        <v>55</v>
      </c>
      <c r="B58" s="3007" t="s">
        <v>3114</v>
      </c>
      <c r="C58" s="3004" t="s">
        <v>3477</v>
      </c>
      <c r="D58" s="3007" t="s">
        <v>3553</v>
      </c>
      <c r="E58" s="3008" t="s">
        <v>3554</v>
      </c>
      <c r="F58" s="3011">
        <v>52.92</v>
      </c>
      <c r="G58" s="3011">
        <v>5.91</v>
      </c>
      <c r="H58" s="3004" t="s">
        <v>1373</v>
      </c>
      <c r="I58" s="3007" t="s">
        <v>3440</v>
      </c>
      <c r="J58" s="3010">
        <f t="shared" si="2"/>
        <v>56156</v>
      </c>
      <c r="K58" s="3007" t="str">
        <f t="shared" si="3"/>
        <v>12层</v>
      </c>
      <c r="L58" s="3007" t="str">
        <f t="shared" si="6"/>
        <v>3层</v>
      </c>
      <c r="N58" s="3002">
        <f t="shared" ca="1" si="0"/>
        <v>554284</v>
      </c>
      <c r="O58" s="3002">
        <f t="shared" ca="1" si="1"/>
        <v>55</v>
      </c>
    </row>
    <row r="59" spans="1:15" ht="24">
      <c r="A59" s="3007">
        <v>56</v>
      </c>
      <c r="B59" s="3007" t="s">
        <v>3115</v>
      </c>
      <c r="C59" s="3004" t="s">
        <v>3477</v>
      </c>
      <c r="D59" s="3007" t="s">
        <v>3555</v>
      </c>
      <c r="E59" s="3008" t="s">
        <v>3556</v>
      </c>
      <c r="F59" s="3011">
        <v>72.87</v>
      </c>
      <c r="G59" s="3011">
        <v>8.1300000000000008</v>
      </c>
      <c r="H59" s="3004" t="s">
        <v>1373</v>
      </c>
      <c r="I59" s="3007" t="s">
        <v>3440</v>
      </c>
      <c r="J59" s="3010">
        <f t="shared" si="2"/>
        <v>56156</v>
      </c>
      <c r="K59" s="3007" t="str">
        <f t="shared" si="3"/>
        <v>12层</v>
      </c>
      <c r="L59" s="3007" t="str">
        <f t="shared" si="6"/>
        <v>3层</v>
      </c>
      <c r="N59" s="3002">
        <f t="shared" ca="1" si="0"/>
        <v>763240</v>
      </c>
      <c r="O59" s="3002">
        <f t="shared" ca="1" si="1"/>
        <v>76</v>
      </c>
    </row>
    <row r="60" spans="1:15" ht="24">
      <c r="A60" s="3007">
        <v>57</v>
      </c>
      <c r="B60" s="3007" t="s">
        <v>3116</v>
      </c>
      <c r="C60" s="3004" t="s">
        <v>3477</v>
      </c>
      <c r="D60" s="3007" t="s">
        <v>3557</v>
      </c>
      <c r="E60" s="3008" t="s">
        <v>3558</v>
      </c>
      <c r="F60" s="3011">
        <v>72.239999999999995</v>
      </c>
      <c r="G60" s="3011">
        <v>8.06</v>
      </c>
      <c r="H60" s="3004" t="s">
        <v>1373</v>
      </c>
      <c r="I60" s="3007" t="s">
        <v>3440</v>
      </c>
      <c r="J60" s="3010">
        <f t="shared" si="2"/>
        <v>56156</v>
      </c>
      <c r="K60" s="3007" t="str">
        <f t="shared" si="3"/>
        <v>12层</v>
      </c>
      <c r="L60" s="3007" t="str">
        <f t="shared" si="6"/>
        <v>3层</v>
      </c>
      <c r="N60" s="3002">
        <f t="shared" ca="1" si="0"/>
        <v>756642</v>
      </c>
      <c r="O60" s="3002">
        <f t="shared" ca="1" si="1"/>
        <v>76</v>
      </c>
    </row>
    <row r="61" spans="1:15" ht="24">
      <c r="A61" s="3007">
        <v>58</v>
      </c>
      <c r="B61" s="3007" t="s">
        <v>3117</v>
      </c>
      <c r="C61" s="3004" t="s">
        <v>3477</v>
      </c>
      <c r="D61" s="3007" t="s">
        <v>3559</v>
      </c>
      <c r="E61" s="3008" t="s">
        <v>3560</v>
      </c>
      <c r="F61" s="3011">
        <v>52.92</v>
      </c>
      <c r="G61" s="3011">
        <v>5.91</v>
      </c>
      <c r="H61" s="3004" t="s">
        <v>1373</v>
      </c>
      <c r="I61" s="3007" t="s">
        <v>3440</v>
      </c>
      <c r="J61" s="3010">
        <f t="shared" si="2"/>
        <v>56156</v>
      </c>
      <c r="K61" s="3007" t="str">
        <f t="shared" si="3"/>
        <v>12层</v>
      </c>
      <c r="L61" s="3007" t="str">
        <f t="shared" si="6"/>
        <v>3层</v>
      </c>
      <c r="N61" s="3002">
        <f t="shared" ca="1" si="0"/>
        <v>554284</v>
      </c>
      <c r="O61" s="3002">
        <f t="shared" ca="1" si="1"/>
        <v>55</v>
      </c>
    </row>
    <row r="62" spans="1:15" ht="24">
      <c r="A62" s="3007">
        <v>59</v>
      </c>
      <c r="B62" s="3007" t="s">
        <v>3118</v>
      </c>
      <c r="C62" s="3004" t="s">
        <v>3477</v>
      </c>
      <c r="D62" s="3007" t="s">
        <v>3561</v>
      </c>
      <c r="E62" s="3008" t="s">
        <v>3562</v>
      </c>
      <c r="F62" s="3011">
        <v>52.95</v>
      </c>
      <c r="G62" s="3011">
        <v>5.91</v>
      </c>
      <c r="H62" s="3004" t="s">
        <v>1373</v>
      </c>
      <c r="I62" s="3007" t="s">
        <v>3563</v>
      </c>
      <c r="J62" s="3010">
        <f t="shared" si="2"/>
        <v>56156</v>
      </c>
      <c r="K62" s="3007" t="str">
        <f t="shared" si="3"/>
        <v>12层</v>
      </c>
      <c r="L62" s="3007" t="str">
        <f t="shared" si="6"/>
        <v>3层</v>
      </c>
      <c r="N62" s="3002">
        <f t="shared" ca="1" si="0"/>
        <v>554598</v>
      </c>
      <c r="O62" s="3002">
        <f t="shared" ca="1" si="1"/>
        <v>55</v>
      </c>
    </row>
    <row r="63" spans="1:15" ht="24">
      <c r="A63" s="3007">
        <v>60</v>
      </c>
      <c r="B63" s="3007" t="s">
        <v>3119</v>
      </c>
      <c r="C63" s="3004" t="s">
        <v>3564</v>
      </c>
      <c r="D63" s="3007" t="s">
        <v>3565</v>
      </c>
      <c r="E63" s="3008" t="s">
        <v>3566</v>
      </c>
      <c r="F63" s="3011">
        <v>52.29</v>
      </c>
      <c r="G63" s="3011">
        <v>5.84</v>
      </c>
      <c r="H63" s="3004" t="s">
        <v>1373</v>
      </c>
      <c r="I63" s="3007" t="s">
        <v>3563</v>
      </c>
      <c r="J63" s="3010">
        <f t="shared" si="2"/>
        <v>56156</v>
      </c>
      <c r="K63" s="3007" t="str">
        <f t="shared" si="3"/>
        <v>12层</v>
      </c>
      <c r="L63" s="3007" t="str">
        <f t="shared" si="6"/>
        <v>3层</v>
      </c>
      <c r="N63" s="3002">
        <f t="shared" ca="1" si="0"/>
        <v>547685</v>
      </c>
      <c r="O63" s="3002">
        <f t="shared" ca="1" si="1"/>
        <v>55</v>
      </c>
    </row>
    <row r="64" spans="1:15" ht="24">
      <c r="A64" s="3007">
        <v>61</v>
      </c>
      <c r="B64" s="3007" t="s">
        <v>3120</v>
      </c>
      <c r="C64" s="3004" t="s">
        <v>3564</v>
      </c>
      <c r="D64" s="3007" t="s">
        <v>3567</v>
      </c>
      <c r="E64" s="3008" t="s">
        <v>3568</v>
      </c>
      <c r="F64" s="3011">
        <v>64.63</v>
      </c>
      <c r="G64" s="3011">
        <v>7.21</v>
      </c>
      <c r="H64" s="3004" t="s">
        <v>1373</v>
      </c>
      <c r="I64" s="3007" t="s">
        <v>3563</v>
      </c>
      <c r="J64" s="3010">
        <f t="shared" si="2"/>
        <v>56156</v>
      </c>
      <c r="K64" s="3007" t="str">
        <f t="shared" si="3"/>
        <v>12层</v>
      </c>
      <c r="L64" s="3007" t="str">
        <f t="shared" si="6"/>
        <v>3层</v>
      </c>
      <c r="N64" s="3002">
        <f t="shared" ca="1" si="0"/>
        <v>676935</v>
      </c>
      <c r="O64" s="3002">
        <f t="shared" ca="1" si="1"/>
        <v>68</v>
      </c>
    </row>
    <row r="65" spans="1:15" ht="24">
      <c r="A65" s="3007">
        <v>62</v>
      </c>
      <c r="B65" s="3007" t="s">
        <v>3121</v>
      </c>
      <c r="C65" s="3004" t="s">
        <v>3564</v>
      </c>
      <c r="D65" s="3007" t="s">
        <v>3569</v>
      </c>
      <c r="E65" s="3008" t="s">
        <v>3570</v>
      </c>
      <c r="F65" s="3011">
        <v>50.87</v>
      </c>
      <c r="G65" s="3011">
        <v>5.68</v>
      </c>
      <c r="H65" s="3004" t="s">
        <v>1373</v>
      </c>
      <c r="I65" s="3007" t="s">
        <v>3563</v>
      </c>
      <c r="J65" s="3010">
        <f t="shared" si="2"/>
        <v>56156</v>
      </c>
      <c r="K65" s="3007" t="str">
        <f t="shared" si="3"/>
        <v>12层</v>
      </c>
      <c r="L65" s="3007" t="s">
        <v>3571</v>
      </c>
      <c r="N65" s="3002">
        <f t="shared" ca="1" si="0"/>
        <v>532812</v>
      </c>
      <c r="O65" s="3002">
        <f t="shared" ca="1" si="1"/>
        <v>53</v>
      </c>
    </row>
    <row r="66" spans="1:15" ht="24">
      <c r="A66" s="3007">
        <v>63</v>
      </c>
      <c r="B66" s="3007" t="s">
        <v>3122</v>
      </c>
      <c r="C66" s="3004" t="s">
        <v>3564</v>
      </c>
      <c r="D66" s="3007" t="s">
        <v>3572</v>
      </c>
      <c r="E66" s="3008" t="s">
        <v>3573</v>
      </c>
      <c r="F66" s="3011">
        <v>54.01</v>
      </c>
      <c r="G66" s="3011">
        <v>6.03</v>
      </c>
      <c r="H66" s="3004" t="s">
        <v>1373</v>
      </c>
      <c r="I66" s="3007" t="s">
        <v>3563</v>
      </c>
      <c r="J66" s="3010">
        <f t="shared" si="2"/>
        <v>56156</v>
      </c>
      <c r="K66" s="3007" t="str">
        <f t="shared" si="3"/>
        <v>12层</v>
      </c>
      <c r="L66" s="3007" t="str">
        <f>$L$65</f>
        <v>4层</v>
      </c>
      <c r="N66" s="3002">
        <f t="shared" ca="1" si="0"/>
        <v>565701</v>
      </c>
      <c r="O66" s="3002">
        <f t="shared" ca="1" si="1"/>
        <v>57</v>
      </c>
    </row>
    <row r="67" spans="1:15" ht="24">
      <c r="A67" s="3007">
        <v>64</v>
      </c>
      <c r="B67" s="3007" t="s">
        <v>3123</v>
      </c>
      <c r="C67" s="3004" t="s">
        <v>3477</v>
      </c>
      <c r="D67" s="3007" t="s">
        <v>3574</v>
      </c>
      <c r="E67" s="3008" t="s">
        <v>3575</v>
      </c>
      <c r="F67" s="3011">
        <v>52.04</v>
      </c>
      <c r="G67" s="3011">
        <v>5.81</v>
      </c>
      <c r="H67" s="3004" t="s">
        <v>1373</v>
      </c>
      <c r="I67" s="3007" t="s">
        <v>3440</v>
      </c>
      <c r="J67" s="3010">
        <f t="shared" si="2"/>
        <v>56156</v>
      </c>
      <c r="K67" s="3007" t="str">
        <f t="shared" si="3"/>
        <v>12层</v>
      </c>
      <c r="L67" s="3007" t="str">
        <f t="shared" ref="L67:L86" si="7">$L$65</f>
        <v>4层</v>
      </c>
      <c r="N67" s="3002">
        <f t="shared" ca="1" si="0"/>
        <v>545067</v>
      </c>
      <c r="O67" s="3002">
        <f t="shared" ca="1" si="1"/>
        <v>55</v>
      </c>
    </row>
    <row r="68" spans="1:15" ht="24">
      <c r="A68" s="3007">
        <v>65</v>
      </c>
      <c r="B68" s="3007" t="s">
        <v>3124</v>
      </c>
      <c r="C68" s="3004" t="s">
        <v>3477</v>
      </c>
      <c r="D68" s="3007" t="s">
        <v>3576</v>
      </c>
      <c r="E68" s="3008" t="s">
        <v>3577</v>
      </c>
      <c r="F68" s="3011">
        <v>71.069999999999993</v>
      </c>
      <c r="G68" s="3011">
        <v>7.93</v>
      </c>
      <c r="H68" s="3004" t="s">
        <v>1373</v>
      </c>
      <c r="I68" s="3007" t="s">
        <v>3440</v>
      </c>
      <c r="J68" s="3010">
        <f t="shared" si="2"/>
        <v>56156</v>
      </c>
      <c r="K68" s="3007" t="str">
        <f t="shared" si="3"/>
        <v>12层</v>
      </c>
      <c r="L68" s="3007" t="str">
        <f t="shared" si="7"/>
        <v>4层</v>
      </c>
      <c r="N68" s="3002">
        <f t="shared" ca="1" si="0"/>
        <v>744387</v>
      </c>
      <c r="O68" s="3002">
        <f t="shared" ca="1" si="1"/>
        <v>74</v>
      </c>
    </row>
    <row r="69" spans="1:15" ht="24">
      <c r="A69" s="3007">
        <v>66</v>
      </c>
      <c r="B69" s="3007" t="s">
        <v>3125</v>
      </c>
      <c r="C69" s="3004" t="s">
        <v>3477</v>
      </c>
      <c r="D69" s="3007" t="s">
        <v>3578</v>
      </c>
      <c r="E69" s="3008" t="s">
        <v>3579</v>
      </c>
      <c r="F69" s="3011">
        <v>71.489999999999995</v>
      </c>
      <c r="G69" s="3011">
        <v>7.98</v>
      </c>
      <c r="H69" s="3004" t="s">
        <v>1373</v>
      </c>
      <c r="I69" s="3007" t="s">
        <v>3440</v>
      </c>
      <c r="J69" s="3010">
        <f t="shared" si="2"/>
        <v>56156</v>
      </c>
      <c r="K69" s="3007" t="str">
        <f t="shared" si="3"/>
        <v>12层</v>
      </c>
      <c r="L69" s="3007" t="str">
        <f t="shared" si="7"/>
        <v>4层</v>
      </c>
      <c r="N69" s="3002">
        <f t="shared" ref="N69:N132" ca="1" si="8">ROUND(F69*$M$4,0)</f>
        <v>748786</v>
      </c>
      <c r="O69" s="3002">
        <f t="shared" ref="O69:O132" ca="1" si="9">ROUND(N69/10000,0)</f>
        <v>75</v>
      </c>
    </row>
    <row r="70" spans="1:15" ht="24">
      <c r="A70" s="3007">
        <v>67</v>
      </c>
      <c r="B70" s="3007" t="s">
        <v>3126</v>
      </c>
      <c r="C70" s="3004" t="s">
        <v>3477</v>
      </c>
      <c r="D70" s="3007" t="s">
        <v>3580</v>
      </c>
      <c r="E70" s="3008" t="s">
        <v>3581</v>
      </c>
      <c r="F70" s="3011">
        <v>52.23</v>
      </c>
      <c r="G70" s="3011">
        <v>5.83</v>
      </c>
      <c r="H70" s="3004" t="s">
        <v>1373</v>
      </c>
      <c r="I70" s="3007" t="s">
        <v>3440</v>
      </c>
      <c r="J70" s="3010">
        <f t="shared" ref="J70:J133" si="10">$J$4</f>
        <v>56156</v>
      </c>
      <c r="K70" s="3007" t="str">
        <f t="shared" ref="K70:K133" si="11">$K$4</f>
        <v>12层</v>
      </c>
      <c r="L70" s="3007" t="str">
        <f t="shared" si="7"/>
        <v>4层</v>
      </c>
      <c r="N70" s="3002">
        <f t="shared" ca="1" si="8"/>
        <v>547057</v>
      </c>
      <c r="O70" s="3002">
        <f t="shared" ca="1" si="9"/>
        <v>55</v>
      </c>
    </row>
    <row r="71" spans="1:15" ht="24">
      <c r="A71" s="3007">
        <v>68</v>
      </c>
      <c r="B71" s="3007" t="s">
        <v>3127</v>
      </c>
      <c r="C71" s="3004" t="s">
        <v>3527</v>
      </c>
      <c r="D71" s="3007" t="s">
        <v>3582</v>
      </c>
      <c r="E71" s="3008" t="s">
        <v>3583</v>
      </c>
      <c r="F71" s="3011">
        <v>52.3</v>
      </c>
      <c r="G71" s="3011">
        <v>5.84</v>
      </c>
      <c r="H71" s="3004" t="s">
        <v>1373</v>
      </c>
      <c r="I71" s="3007" t="s">
        <v>3530</v>
      </c>
      <c r="J71" s="3010">
        <f t="shared" si="10"/>
        <v>56156</v>
      </c>
      <c r="K71" s="3007" t="str">
        <f t="shared" si="11"/>
        <v>12层</v>
      </c>
      <c r="L71" s="3007" t="str">
        <f t="shared" si="7"/>
        <v>4层</v>
      </c>
      <c r="N71" s="3002">
        <f t="shared" ca="1" si="8"/>
        <v>547790</v>
      </c>
      <c r="O71" s="3002">
        <f t="shared" ca="1" si="9"/>
        <v>55</v>
      </c>
    </row>
    <row r="72" spans="1:15" ht="24">
      <c r="A72" s="3007">
        <v>69</v>
      </c>
      <c r="B72" s="3007" t="s">
        <v>3128</v>
      </c>
      <c r="C72" s="3004" t="s">
        <v>3527</v>
      </c>
      <c r="D72" s="3007" t="s">
        <v>3584</v>
      </c>
      <c r="E72" s="3008" t="s">
        <v>3585</v>
      </c>
      <c r="F72" s="3011">
        <v>52.27</v>
      </c>
      <c r="G72" s="3011">
        <v>5.83</v>
      </c>
      <c r="H72" s="3004" t="s">
        <v>1373</v>
      </c>
      <c r="I72" s="3007" t="s">
        <v>3443</v>
      </c>
      <c r="J72" s="3010">
        <f t="shared" si="10"/>
        <v>56156</v>
      </c>
      <c r="K72" s="3007" t="str">
        <f t="shared" si="11"/>
        <v>12层</v>
      </c>
      <c r="L72" s="3007" t="str">
        <f t="shared" si="7"/>
        <v>4层</v>
      </c>
      <c r="N72" s="3002">
        <f t="shared" ca="1" si="8"/>
        <v>547476</v>
      </c>
      <c r="O72" s="3002">
        <f t="shared" ca="1" si="9"/>
        <v>55</v>
      </c>
    </row>
    <row r="73" spans="1:15" ht="24">
      <c r="A73" s="3007">
        <v>70</v>
      </c>
      <c r="B73" s="3007" t="s">
        <v>3129</v>
      </c>
      <c r="C73" s="3004" t="s">
        <v>3431</v>
      </c>
      <c r="D73" s="3007" t="s">
        <v>3586</v>
      </c>
      <c r="E73" s="3008" t="s">
        <v>3587</v>
      </c>
      <c r="F73" s="3011">
        <v>52.94</v>
      </c>
      <c r="G73" s="3011">
        <v>5.91</v>
      </c>
      <c r="H73" s="3004" t="s">
        <v>1373</v>
      </c>
      <c r="I73" s="3007" t="s">
        <v>3443</v>
      </c>
      <c r="J73" s="3010">
        <f t="shared" si="10"/>
        <v>56156</v>
      </c>
      <c r="K73" s="3007" t="str">
        <f t="shared" si="11"/>
        <v>12层</v>
      </c>
      <c r="L73" s="3007" t="str">
        <f t="shared" si="7"/>
        <v>4层</v>
      </c>
      <c r="N73" s="3002">
        <f t="shared" ca="1" si="8"/>
        <v>554494</v>
      </c>
      <c r="O73" s="3002">
        <f t="shared" ca="1" si="9"/>
        <v>55</v>
      </c>
    </row>
    <row r="74" spans="1:15" ht="24">
      <c r="A74" s="3007">
        <v>71</v>
      </c>
      <c r="B74" s="3007" t="s">
        <v>3130</v>
      </c>
      <c r="C74" s="3004" t="s">
        <v>3431</v>
      </c>
      <c r="D74" s="3007" t="s">
        <v>3588</v>
      </c>
      <c r="E74" s="3008" t="s">
        <v>3589</v>
      </c>
      <c r="F74" s="3011">
        <v>61.19</v>
      </c>
      <c r="G74" s="3011">
        <v>6.83</v>
      </c>
      <c r="H74" s="3004" t="s">
        <v>1373</v>
      </c>
      <c r="I74" s="3007" t="s">
        <v>3443</v>
      </c>
      <c r="J74" s="3010">
        <f t="shared" si="10"/>
        <v>56156</v>
      </c>
      <c r="K74" s="3007" t="str">
        <f t="shared" si="11"/>
        <v>12层</v>
      </c>
      <c r="L74" s="3007" t="str">
        <f t="shared" si="7"/>
        <v>4层</v>
      </c>
      <c r="N74" s="3002">
        <f t="shared" ca="1" si="8"/>
        <v>640904</v>
      </c>
      <c r="O74" s="3002">
        <f t="shared" ca="1" si="9"/>
        <v>64</v>
      </c>
    </row>
    <row r="75" spans="1:15" ht="24">
      <c r="A75" s="3007">
        <v>72</v>
      </c>
      <c r="B75" s="3007" t="s">
        <v>3131</v>
      </c>
      <c r="C75" s="3004" t="s">
        <v>3431</v>
      </c>
      <c r="D75" s="3007" t="s">
        <v>3590</v>
      </c>
      <c r="E75" s="3008" t="s">
        <v>3591</v>
      </c>
      <c r="F75" s="3011">
        <v>65.760000000000005</v>
      </c>
      <c r="G75" s="3011">
        <v>7.34</v>
      </c>
      <c r="H75" s="3004" t="s">
        <v>1373</v>
      </c>
      <c r="I75" s="3007" t="s">
        <v>3443</v>
      </c>
      <c r="J75" s="3010">
        <f t="shared" si="10"/>
        <v>56156</v>
      </c>
      <c r="K75" s="3007" t="str">
        <f t="shared" si="11"/>
        <v>12层</v>
      </c>
      <c r="L75" s="3007" t="str">
        <f t="shared" si="7"/>
        <v>4层</v>
      </c>
      <c r="N75" s="3002">
        <f t="shared" ca="1" si="8"/>
        <v>688770</v>
      </c>
      <c r="O75" s="3002">
        <f t="shared" ca="1" si="9"/>
        <v>69</v>
      </c>
    </row>
    <row r="76" spans="1:15" ht="24">
      <c r="A76" s="3007">
        <v>73</v>
      </c>
      <c r="B76" s="3007" t="s">
        <v>3132</v>
      </c>
      <c r="C76" s="3004" t="s">
        <v>3431</v>
      </c>
      <c r="D76" s="3007" t="s">
        <v>3592</v>
      </c>
      <c r="E76" s="3008" t="s">
        <v>3593</v>
      </c>
      <c r="F76" s="3011">
        <v>60.59</v>
      </c>
      <c r="G76" s="3011">
        <v>6.76</v>
      </c>
      <c r="H76" s="3004" t="s">
        <v>1373</v>
      </c>
      <c r="I76" s="3007" t="s">
        <v>3443</v>
      </c>
      <c r="J76" s="3010">
        <f t="shared" si="10"/>
        <v>56156</v>
      </c>
      <c r="K76" s="3007" t="str">
        <f t="shared" si="11"/>
        <v>12层</v>
      </c>
      <c r="L76" s="3007" t="str">
        <f t="shared" si="7"/>
        <v>4层</v>
      </c>
      <c r="N76" s="3002">
        <f t="shared" ca="1" si="8"/>
        <v>634620</v>
      </c>
      <c r="O76" s="3002">
        <f t="shared" ca="1" si="9"/>
        <v>63</v>
      </c>
    </row>
    <row r="77" spans="1:15" ht="24">
      <c r="A77" s="3007">
        <v>74</v>
      </c>
      <c r="B77" s="3007" t="s">
        <v>3133</v>
      </c>
      <c r="C77" s="3004" t="s">
        <v>3431</v>
      </c>
      <c r="D77" s="3007" t="s">
        <v>3594</v>
      </c>
      <c r="E77" s="3008" t="s">
        <v>3595</v>
      </c>
      <c r="F77" s="3011">
        <v>53.01</v>
      </c>
      <c r="G77" s="3011">
        <v>5.92</v>
      </c>
      <c r="H77" s="3004" t="s">
        <v>1373</v>
      </c>
      <c r="I77" s="3007" t="s">
        <v>3443</v>
      </c>
      <c r="J77" s="3010">
        <f t="shared" si="10"/>
        <v>56156</v>
      </c>
      <c r="K77" s="3007" t="str">
        <f t="shared" si="11"/>
        <v>12层</v>
      </c>
      <c r="L77" s="3007" t="str">
        <f t="shared" si="7"/>
        <v>4层</v>
      </c>
      <c r="N77" s="3002">
        <f t="shared" ca="1" si="8"/>
        <v>555227</v>
      </c>
      <c r="O77" s="3002">
        <f t="shared" ca="1" si="9"/>
        <v>56</v>
      </c>
    </row>
    <row r="78" spans="1:15" ht="24">
      <c r="A78" s="3007">
        <v>75</v>
      </c>
      <c r="B78" s="3007" t="s">
        <v>3134</v>
      </c>
      <c r="C78" s="3004" t="s">
        <v>3431</v>
      </c>
      <c r="D78" s="3007" t="s">
        <v>3596</v>
      </c>
      <c r="E78" s="3008" t="s">
        <v>3597</v>
      </c>
      <c r="F78" s="3011">
        <v>52.95</v>
      </c>
      <c r="G78" s="3011">
        <v>5.91</v>
      </c>
      <c r="H78" s="3004" t="s">
        <v>1373</v>
      </c>
      <c r="I78" s="3007" t="s">
        <v>3443</v>
      </c>
      <c r="J78" s="3010">
        <f t="shared" si="10"/>
        <v>56156</v>
      </c>
      <c r="K78" s="3007" t="str">
        <f t="shared" si="11"/>
        <v>12层</v>
      </c>
      <c r="L78" s="3007" t="str">
        <f t="shared" si="7"/>
        <v>4层</v>
      </c>
      <c r="N78" s="3002">
        <f t="shared" ca="1" si="8"/>
        <v>554598</v>
      </c>
      <c r="O78" s="3002">
        <f t="shared" ca="1" si="9"/>
        <v>55</v>
      </c>
    </row>
    <row r="79" spans="1:15" ht="24">
      <c r="A79" s="3007">
        <v>76</v>
      </c>
      <c r="B79" s="3007" t="s">
        <v>3135</v>
      </c>
      <c r="C79" s="3004" t="s">
        <v>3431</v>
      </c>
      <c r="D79" s="3007" t="s">
        <v>3598</v>
      </c>
      <c r="E79" s="3008" t="s">
        <v>3599</v>
      </c>
      <c r="F79" s="3011">
        <v>52.95</v>
      </c>
      <c r="G79" s="3011">
        <v>5.91</v>
      </c>
      <c r="H79" s="3004" t="s">
        <v>1373</v>
      </c>
      <c r="I79" s="3007" t="s">
        <v>3443</v>
      </c>
      <c r="J79" s="3010">
        <f t="shared" si="10"/>
        <v>56156</v>
      </c>
      <c r="K79" s="3007" t="str">
        <f t="shared" si="11"/>
        <v>12层</v>
      </c>
      <c r="L79" s="3007" t="str">
        <f t="shared" si="7"/>
        <v>4层</v>
      </c>
      <c r="N79" s="3002">
        <f t="shared" ca="1" si="8"/>
        <v>554598</v>
      </c>
      <c r="O79" s="3002">
        <f t="shared" ca="1" si="9"/>
        <v>55</v>
      </c>
    </row>
    <row r="80" spans="1:15" ht="24">
      <c r="A80" s="3007">
        <v>77</v>
      </c>
      <c r="B80" s="3007" t="s">
        <v>3136</v>
      </c>
      <c r="C80" s="3004" t="s">
        <v>3431</v>
      </c>
      <c r="D80" s="3007" t="s">
        <v>3600</v>
      </c>
      <c r="E80" s="3008" t="s">
        <v>3601</v>
      </c>
      <c r="F80" s="3011">
        <v>52.92</v>
      </c>
      <c r="G80" s="3011">
        <v>5.91</v>
      </c>
      <c r="H80" s="3004" t="s">
        <v>1373</v>
      </c>
      <c r="I80" s="3007" t="s">
        <v>3443</v>
      </c>
      <c r="J80" s="3010">
        <f t="shared" si="10"/>
        <v>56156</v>
      </c>
      <c r="K80" s="3007" t="str">
        <f t="shared" si="11"/>
        <v>12层</v>
      </c>
      <c r="L80" s="3007" t="str">
        <f t="shared" si="7"/>
        <v>4层</v>
      </c>
      <c r="N80" s="3002">
        <f t="shared" ca="1" si="8"/>
        <v>554284</v>
      </c>
      <c r="O80" s="3002">
        <f t="shared" ca="1" si="9"/>
        <v>55</v>
      </c>
    </row>
    <row r="81" spans="1:15" ht="24">
      <c r="A81" s="3007">
        <v>78</v>
      </c>
      <c r="B81" s="3007" t="s">
        <v>3137</v>
      </c>
      <c r="C81" s="3004" t="s">
        <v>3431</v>
      </c>
      <c r="D81" s="3007" t="s">
        <v>3602</v>
      </c>
      <c r="E81" s="3008" t="s">
        <v>3603</v>
      </c>
      <c r="F81" s="3011">
        <v>72.87</v>
      </c>
      <c r="G81" s="3011">
        <v>8.1300000000000008</v>
      </c>
      <c r="H81" s="3004" t="s">
        <v>1373</v>
      </c>
      <c r="I81" s="3007" t="s">
        <v>3443</v>
      </c>
      <c r="J81" s="3010">
        <f t="shared" si="10"/>
        <v>56156</v>
      </c>
      <c r="K81" s="3007" t="str">
        <f t="shared" si="11"/>
        <v>12层</v>
      </c>
      <c r="L81" s="3007" t="str">
        <f t="shared" si="7"/>
        <v>4层</v>
      </c>
      <c r="N81" s="3002">
        <f t="shared" ca="1" si="8"/>
        <v>763240</v>
      </c>
      <c r="O81" s="3002">
        <f t="shared" ca="1" si="9"/>
        <v>76</v>
      </c>
    </row>
    <row r="82" spans="1:15" ht="24">
      <c r="A82" s="3007">
        <v>79</v>
      </c>
      <c r="B82" s="3007" t="s">
        <v>3138</v>
      </c>
      <c r="C82" s="3004" t="s">
        <v>3431</v>
      </c>
      <c r="D82" s="3007" t="s">
        <v>3604</v>
      </c>
      <c r="E82" s="3008" t="s">
        <v>3605</v>
      </c>
      <c r="F82" s="3011">
        <v>72.239999999999995</v>
      </c>
      <c r="G82" s="3011">
        <v>8.06</v>
      </c>
      <c r="H82" s="3004" t="s">
        <v>1373</v>
      </c>
      <c r="I82" s="3007" t="s">
        <v>3443</v>
      </c>
      <c r="J82" s="3010">
        <f t="shared" si="10"/>
        <v>56156</v>
      </c>
      <c r="K82" s="3007" t="str">
        <f t="shared" si="11"/>
        <v>12层</v>
      </c>
      <c r="L82" s="3007" t="str">
        <f t="shared" si="7"/>
        <v>4层</v>
      </c>
      <c r="N82" s="3002">
        <f t="shared" ca="1" si="8"/>
        <v>756642</v>
      </c>
      <c r="O82" s="3002">
        <f t="shared" ca="1" si="9"/>
        <v>76</v>
      </c>
    </row>
    <row r="83" spans="1:15" ht="24">
      <c r="A83" s="3007">
        <v>80</v>
      </c>
      <c r="B83" s="3007" t="s">
        <v>3139</v>
      </c>
      <c r="C83" s="3004" t="s">
        <v>3431</v>
      </c>
      <c r="D83" s="3007" t="s">
        <v>3606</v>
      </c>
      <c r="E83" s="3008" t="s">
        <v>3607</v>
      </c>
      <c r="F83" s="3011">
        <v>52.92</v>
      </c>
      <c r="G83" s="3011">
        <v>5.91</v>
      </c>
      <c r="H83" s="3004" t="s">
        <v>1373</v>
      </c>
      <c r="I83" s="3007" t="s">
        <v>3443</v>
      </c>
      <c r="J83" s="3010">
        <f t="shared" si="10"/>
        <v>56156</v>
      </c>
      <c r="K83" s="3007" t="str">
        <f t="shared" si="11"/>
        <v>12层</v>
      </c>
      <c r="L83" s="3007" t="str">
        <f t="shared" si="7"/>
        <v>4层</v>
      </c>
      <c r="N83" s="3002">
        <f t="shared" ca="1" si="8"/>
        <v>554284</v>
      </c>
      <c r="O83" s="3002">
        <f t="shared" ca="1" si="9"/>
        <v>55</v>
      </c>
    </row>
    <row r="84" spans="1:15" ht="24">
      <c r="A84" s="3007">
        <v>81</v>
      </c>
      <c r="B84" s="3007" t="s">
        <v>3140</v>
      </c>
      <c r="C84" s="3004" t="s">
        <v>3431</v>
      </c>
      <c r="D84" s="3007" t="s">
        <v>3608</v>
      </c>
      <c r="E84" s="3008" t="s">
        <v>3609</v>
      </c>
      <c r="F84" s="3011">
        <v>52.95</v>
      </c>
      <c r="G84" s="3011">
        <v>5.91</v>
      </c>
      <c r="H84" s="3004" t="s">
        <v>1373</v>
      </c>
      <c r="I84" s="3007" t="s">
        <v>3443</v>
      </c>
      <c r="J84" s="3010">
        <f t="shared" si="10"/>
        <v>56156</v>
      </c>
      <c r="K84" s="3007" t="str">
        <f t="shared" si="11"/>
        <v>12层</v>
      </c>
      <c r="L84" s="3007" t="str">
        <f t="shared" si="7"/>
        <v>4层</v>
      </c>
      <c r="N84" s="3002">
        <f t="shared" ca="1" si="8"/>
        <v>554598</v>
      </c>
      <c r="O84" s="3002">
        <f t="shared" ca="1" si="9"/>
        <v>55</v>
      </c>
    </row>
    <row r="85" spans="1:15" ht="24">
      <c r="A85" s="3007">
        <v>82</v>
      </c>
      <c r="B85" s="3007" t="s">
        <v>3141</v>
      </c>
      <c r="C85" s="3004" t="s">
        <v>3431</v>
      </c>
      <c r="D85" s="3007" t="s">
        <v>3610</v>
      </c>
      <c r="E85" s="3008" t="s">
        <v>3611</v>
      </c>
      <c r="F85" s="3011">
        <v>52.29</v>
      </c>
      <c r="G85" s="3011">
        <v>5.84</v>
      </c>
      <c r="H85" s="3004" t="s">
        <v>1373</v>
      </c>
      <c r="I85" s="3007" t="s">
        <v>3443</v>
      </c>
      <c r="J85" s="3010">
        <f t="shared" si="10"/>
        <v>56156</v>
      </c>
      <c r="K85" s="3007" t="str">
        <f t="shared" si="11"/>
        <v>12层</v>
      </c>
      <c r="L85" s="3007" t="str">
        <f t="shared" si="7"/>
        <v>4层</v>
      </c>
      <c r="N85" s="3002">
        <f t="shared" ca="1" si="8"/>
        <v>547685</v>
      </c>
      <c r="O85" s="3002">
        <f t="shared" ca="1" si="9"/>
        <v>55</v>
      </c>
    </row>
    <row r="86" spans="1:15" ht="24">
      <c r="A86" s="3007">
        <v>83</v>
      </c>
      <c r="B86" s="3007" t="s">
        <v>3142</v>
      </c>
      <c r="C86" s="3004" t="s">
        <v>3431</v>
      </c>
      <c r="D86" s="3007" t="s">
        <v>3612</v>
      </c>
      <c r="E86" s="3008" t="s">
        <v>3613</v>
      </c>
      <c r="F86" s="3011">
        <v>64.63</v>
      </c>
      <c r="G86" s="3011">
        <v>7.21</v>
      </c>
      <c r="H86" s="3004" t="s">
        <v>1373</v>
      </c>
      <c r="I86" s="3007" t="s">
        <v>3443</v>
      </c>
      <c r="J86" s="3010">
        <f t="shared" si="10"/>
        <v>56156</v>
      </c>
      <c r="K86" s="3007" t="str">
        <f t="shared" si="11"/>
        <v>12层</v>
      </c>
      <c r="L86" s="3007" t="str">
        <f t="shared" si="7"/>
        <v>4层</v>
      </c>
      <c r="N86" s="3002">
        <f t="shared" ca="1" si="8"/>
        <v>676935</v>
      </c>
      <c r="O86" s="3002">
        <f t="shared" ca="1" si="9"/>
        <v>68</v>
      </c>
    </row>
    <row r="87" spans="1:15" ht="24">
      <c r="A87" s="3007">
        <v>84</v>
      </c>
      <c r="B87" s="3007" t="s">
        <v>3143</v>
      </c>
      <c r="C87" s="3004" t="s">
        <v>3431</v>
      </c>
      <c r="D87" s="3007" t="s">
        <v>3614</v>
      </c>
      <c r="E87" s="3008" t="s">
        <v>3615</v>
      </c>
      <c r="F87" s="3011">
        <v>51.1</v>
      </c>
      <c r="G87" s="3011">
        <v>5.7</v>
      </c>
      <c r="H87" s="3004" t="s">
        <v>1373</v>
      </c>
      <c r="I87" s="3007" t="s">
        <v>3443</v>
      </c>
      <c r="J87" s="3010">
        <f t="shared" si="10"/>
        <v>56156</v>
      </c>
      <c r="K87" s="3007" t="str">
        <f t="shared" si="11"/>
        <v>12层</v>
      </c>
      <c r="L87" s="3007" t="s">
        <v>3616</v>
      </c>
      <c r="N87" s="3002">
        <f t="shared" ca="1" si="8"/>
        <v>535221</v>
      </c>
      <c r="O87" s="3002">
        <f t="shared" ca="1" si="9"/>
        <v>54</v>
      </c>
    </row>
    <row r="88" spans="1:15" ht="24">
      <c r="A88" s="3007">
        <v>85</v>
      </c>
      <c r="B88" s="3007" t="s">
        <v>3144</v>
      </c>
      <c r="C88" s="3004" t="s">
        <v>3431</v>
      </c>
      <c r="D88" s="3007" t="s">
        <v>3617</v>
      </c>
      <c r="E88" s="3008" t="s">
        <v>3618</v>
      </c>
      <c r="F88" s="3011">
        <v>52.87</v>
      </c>
      <c r="G88" s="3011">
        <v>5.9</v>
      </c>
      <c r="H88" s="3004" t="s">
        <v>1373</v>
      </c>
      <c r="I88" s="3007" t="s">
        <v>3443</v>
      </c>
      <c r="J88" s="3010">
        <f t="shared" si="10"/>
        <v>56156</v>
      </c>
      <c r="K88" s="3007" t="str">
        <f t="shared" si="11"/>
        <v>12层</v>
      </c>
      <c r="L88" s="3007" t="str">
        <f>$L$87</f>
        <v>5层</v>
      </c>
      <c r="N88" s="3002">
        <f t="shared" ca="1" si="8"/>
        <v>553760</v>
      </c>
      <c r="O88" s="3002">
        <f t="shared" ca="1" si="9"/>
        <v>55</v>
      </c>
    </row>
    <row r="89" spans="1:15" ht="24">
      <c r="A89" s="3007">
        <v>86</v>
      </c>
      <c r="B89" s="3007" t="s">
        <v>3145</v>
      </c>
      <c r="C89" s="3004" t="s">
        <v>3527</v>
      </c>
      <c r="D89" s="3007" t="s">
        <v>3619</v>
      </c>
      <c r="E89" s="3008" t="s">
        <v>3620</v>
      </c>
      <c r="F89" s="3011">
        <v>52.86</v>
      </c>
      <c r="G89" s="3011">
        <v>5.9</v>
      </c>
      <c r="H89" s="3004" t="s">
        <v>1373</v>
      </c>
      <c r="I89" s="3007" t="s">
        <v>3530</v>
      </c>
      <c r="J89" s="3010">
        <f t="shared" si="10"/>
        <v>56156</v>
      </c>
      <c r="K89" s="3007" t="str">
        <f t="shared" si="11"/>
        <v>12层</v>
      </c>
      <c r="L89" s="3007" t="str">
        <f t="shared" ref="L89:L106" si="12">$L$87</f>
        <v>5层</v>
      </c>
      <c r="N89" s="3002">
        <f t="shared" ca="1" si="8"/>
        <v>553656</v>
      </c>
      <c r="O89" s="3002">
        <f t="shared" ca="1" si="9"/>
        <v>55</v>
      </c>
    </row>
    <row r="90" spans="1:15" ht="24">
      <c r="A90" s="3007">
        <v>87</v>
      </c>
      <c r="B90" s="3007" t="s">
        <v>3146</v>
      </c>
      <c r="C90" s="3004" t="s">
        <v>3621</v>
      </c>
      <c r="D90" s="3007" t="s">
        <v>3622</v>
      </c>
      <c r="E90" s="3008" t="s">
        <v>3623</v>
      </c>
      <c r="F90" s="3011">
        <v>52.87</v>
      </c>
      <c r="G90" s="3011">
        <v>5.9</v>
      </c>
      <c r="H90" s="3004" t="s">
        <v>1373</v>
      </c>
      <c r="I90" s="3007" t="s">
        <v>3530</v>
      </c>
      <c r="J90" s="3010">
        <f t="shared" si="10"/>
        <v>56156</v>
      </c>
      <c r="K90" s="3007" t="str">
        <f t="shared" si="11"/>
        <v>12层</v>
      </c>
      <c r="L90" s="3007" t="str">
        <f t="shared" si="12"/>
        <v>5层</v>
      </c>
      <c r="N90" s="3002">
        <f t="shared" ca="1" si="8"/>
        <v>553760</v>
      </c>
      <c r="O90" s="3002">
        <f t="shared" ca="1" si="9"/>
        <v>55</v>
      </c>
    </row>
    <row r="91" spans="1:15" ht="24">
      <c r="A91" s="3007">
        <v>88</v>
      </c>
      <c r="B91" s="3007" t="s">
        <v>3147</v>
      </c>
      <c r="C91" s="3004" t="s">
        <v>3527</v>
      </c>
      <c r="D91" s="3007" t="s">
        <v>3624</v>
      </c>
      <c r="E91" s="3008" t="s">
        <v>3625</v>
      </c>
      <c r="F91" s="3011">
        <v>71.400000000000006</v>
      </c>
      <c r="G91" s="3011">
        <v>7.97</v>
      </c>
      <c r="H91" s="3004" t="s">
        <v>1373</v>
      </c>
      <c r="I91" s="3007" t="s">
        <v>3530</v>
      </c>
      <c r="J91" s="3010">
        <f t="shared" si="10"/>
        <v>56156</v>
      </c>
      <c r="K91" s="3007" t="str">
        <f t="shared" si="11"/>
        <v>12层</v>
      </c>
      <c r="L91" s="3007" t="str">
        <f t="shared" si="12"/>
        <v>5层</v>
      </c>
      <c r="N91" s="3002">
        <f t="shared" ca="1" si="8"/>
        <v>747844</v>
      </c>
      <c r="O91" s="3002">
        <f t="shared" ca="1" si="9"/>
        <v>75</v>
      </c>
    </row>
    <row r="92" spans="1:15" ht="24">
      <c r="A92" s="3007">
        <v>89</v>
      </c>
      <c r="B92" s="3007" t="s">
        <v>3148</v>
      </c>
      <c r="C92" s="3004" t="s">
        <v>3527</v>
      </c>
      <c r="D92" s="3007" t="s">
        <v>3626</v>
      </c>
      <c r="E92" s="3008" t="s">
        <v>3627</v>
      </c>
      <c r="F92" s="3011">
        <v>71.819999999999993</v>
      </c>
      <c r="G92" s="3011">
        <v>8.01</v>
      </c>
      <c r="H92" s="3004" t="s">
        <v>1373</v>
      </c>
      <c r="I92" s="3007" t="s">
        <v>3530</v>
      </c>
      <c r="J92" s="3010">
        <f t="shared" si="10"/>
        <v>56156</v>
      </c>
      <c r="K92" s="3007" t="str">
        <f t="shared" si="11"/>
        <v>12层</v>
      </c>
      <c r="L92" s="3007" t="str">
        <f t="shared" si="12"/>
        <v>5层</v>
      </c>
      <c r="N92" s="3002">
        <f t="shared" ca="1" si="8"/>
        <v>752243</v>
      </c>
      <c r="O92" s="3002">
        <f t="shared" ca="1" si="9"/>
        <v>75</v>
      </c>
    </row>
    <row r="93" spans="1:15" ht="24">
      <c r="A93" s="3007">
        <v>90</v>
      </c>
      <c r="B93" s="3007" t="s">
        <v>3149</v>
      </c>
      <c r="C93" s="3004" t="s">
        <v>3527</v>
      </c>
      <c r="D93" s="3007" t="s">
        <v>3628</v>
      </c>
      <c r="E93" s="3008" t="s">
        <v>3629</v>
      </c>
      <c r="F93" s="3011">
        <v>52.47</v>
      </c>
      <c r="G93" s="3011">
        <v>5.86</v>
      </c>
      <c r="H93" s="3004" t="s">
        <v>1373</v>
      </c>
      <c r="I93" s="3007" t="s">
        <v>3530</v>
      </c>
      <c r="J93" s="3010">
        <f t="shared" si="10"/>
        <v>56156</v>
      </c>
      <c r="K93" s="3007" t="str">
        <f t="shared" si="11"/>
        <v>12层</v>
      </c>
      <c r="L93" s="3007" t="str">
        <f t="shared" si="12"/>
        <v>5层</v>
      </c>
      <c r="N93" s="3002">
        <f t="shared" ca="1" si="8"/>
        <v>549571</v>
      </c>
      <c r="O93" s="3002">
        <f t="shared" ca="1" si="9"/>
        <v>55</v>
      </c>
    </row>
    <row r="94" spans="1:15" ht="24">
      <c r="A94" s="3007">
        <v>91</v>
      </c>
      <c r="B94" s="3007" t="s">
        <v>3150</v>
      </c>
      <c r="C94" s="3004" t="s">
        <v>3527</v>
      </c>
      <c r="D94" s="3007" t="s">
        <v>3630</v>
      </c>
      <c r="E94" s="3008" t="s">
        <v>3631</v>
      </c>
      <c r="F94" s="3011">
        <v>53.33</v>
      </c>
      <c r="G94" s="3011">
        <v>5.95</v>
      </c>
      <c r="H94" s="3004" t="s">
        <v>1373</v>
      </c>
      <c r="I94" s="3007" t="s">
        <v>3530</v>
      </c>
      <c r="J94" s="3010">
        <f t="shared" si="10"/>
        <v>56156</v>
      </c>
      <c r="K94" s="3007" t="str">
        <f t="shared" si="11"/>
        <v>12层</v>
      </c>
      <c r="L94" s="3007" t="str">
        <f t="shared" si="12"/>
        <v>5层</v>
      </c>
      <c r="N94" s="3002">
        <f t="shared" ca="1" si="8"/>
        <v>558578</v>
      </c>
      <c r="O94" s="3002">
        <f t="shared" ca="1" si="9"/>
        <v>56</v>
      </c>
    </row>
    <row r="95" spans="1:15" ht="24">
      <c r="A95" s="3007">
        <v>92</v>
      </c>
      <c r="B95" s="3007" t="s">
        <v>3151</v>
      </c>
      <c r="C95" s="3004" t="s">
        <v>3527</v>
      </c>
      <c r="D95" s="3007" t="s">
        <v>3632</v>
      </c>
      <c r="E95" s="3008" t="s">
        <v>3633</v>
      </c>
      <c r="F95" s="3011">
        <v>61.47</v>
      </c>
      <c r="G95" s="3011">
        <v>6.86</v>
      </c>
      <c r="H95" s="3004" t="s">
        <v>1373</v>
      </c>
      <c r="I95" s="3007" t="s">
        <v>3530</v>
      </c>
      <c r="J95" s="3010">
        <f t="shared" si="10"/>
        <v>56156</v>
      </c>
      <c r="K95" s="3007" t="str">
        <f t="shared" si="11"/>
        <v>12层</v>
      </c>
      <c r="L95" s="3007" t="str">
        <f t="shared" si="12"/>
        <v>5层</v>
      </c>
      <c r="N95" s="3002">
        <f t="shared" ca="1" si="8"/>
        <v>643837</v>
      </c>
      <c r="O95" s="3002">
        <f t="shared" ca="1" si="9"/>
        <v>64</v>
      </c>
    </row>
    <row r="96" spans="1:15" ht="24">
      <c r="A96" s="3007">
        <v>93</v>
      </c>
      <c r="B96" s="3007" t="s">
        <v>3152</v>
      </c>
      <c r="C96" s="3004" t="s">
        <v>3527</v>
      </c>
      <c r="D96" s="3007" t="s">
        <v>3634</v>
      </c>
      <c r="E96" s="3008" t="s">
        <v>3635</v>
      </c>
      <c r="F96" s="3011">
        <v>66.06</v>
      </c>
      <c r="G96" s="3011">
        <v>7.37</v>
      </c>
      <c r="H96" s="3004" t="s">
        <v>1373</v>
      </c>
      <c r="I96" s="3007" t="s">
        <v>3530</v>
      </c>
      <c r="J96" s="3010">
        <f t="shared" si="10"/>
        <v>56156</v>
      </c>
      <c r="K96" s="3007" t="str">
        <f t="shared" si="11"/>
        <v>12层</v>
      </c>
      <c r="L96" s="3007" t="str">
        <f t="shared" si="12"/>
        <v>5层</v>
      </c>
      <c r="N96" s="3002">
        <f t="shared" ca="1" si="8"/>
        <v>691912</v>
      </c>
      <c r="O96" s="3002">
        <f t="shared" ca="1" si="9"/>
        <v>69</v>
      </c>
    </row>
    <row r="97" spans="1:15" ht="24">
      <c r="A97" s="3007">
        <v>94</v>
      </c>
      <c r="B97" s="3007" t="s">
        <v>3153</v>
      </c>
      <c r="C97" s="3004" t="s">
        <v>3527</v>
      </c>
      <c r="D97" s="3007" t="s">
        <v>3636</v>
      </c>
      <c r="E97" s="3008" t="s">
        <v>3637</v>
      </c>
      <c r="F97" s="3011">
        <v>60.87</v>
      </c>
      <c r="G97" s="3011">
        <v>6.79</v>
      </c>
      <c r="H97" s="3004" t="s">
        <v>1373</v>
      </c>
      <c r="I97" s="3007" t="s">
        <v>3563</v>
      </c>
      <c r="J97" s="3010">
        <f t="shared" si="10"/>
        <v>56156</v>
      </c>
      <c r="K97" s="3007" t="str">
        <f t="shared" si="11"/>
        <v>12层</v>
      </c>
      <c r="L97" s="3007" t="str">
        <f t="shared" si="12"/>
        <v>5层</v>
      </c>
      <c r="N97" s="3002">
        <f t="shared" ca="1" si="8"/>
        <v>637552</v>
      </c>
      <c r="O97" s="3002">
        <f t="shared" ca="1" si="9"/>
        <v>64</v>
      </c>
    </row>
    <row r="98" spans="1:15" ht="24">
      <c r="A98" s="3007">
        <v>95</v>
      </c>
      <c r="B98" s="3007" t="s">
        <v>3154</v>
      </c>
      <c r="C98" s="3004" t="s">
        <v>3564</v>
      </c>
      <c r="D98" s="3007" t="s">
        <v>3638</v>
      </c>
      <c r="E98" s="3008" t="s">
        <v>3639</v>
      </c>
      <c r="F98" s="3011">
        <v>53.25</v>
      </c>
      <c r="G98" s="3011">
        <v>5.94</v>
      </c>
      <c r="H98" s="3004" t="s">
        <v>1373</v>
      </c>
      <c r="I98" s="3007" t="s">
        <v>3563</v>
      </c>
      <c r="J98" s="3010">
        <f t="shared" si="10"/>
        <v>56156</v>
      </c>
      <c r="K98" s="3007" t="str">
        <f t="shared" si="11"/>
        <v>12层</v>
      </c>
      <c r="L98" s="3007" t="str">
        <f t="shared" si="12"/>
        <v>5层</v>
      </c>
      <c r="N98" s="3002">
        <f t="shared" ca="1" si="8"/>
        <v>557741</v>
      </c>
      <c r="O98" s="3002">
        <f t="shared" ca="1" si="9"/>
        <v>56</v>
      </c>
    </row>
    <row r="99" spans="1:15" ht="24">
      <c r="A99" s="3007">
        <v>96</v>
      </c>
      <c r="B99" s="3007" t="s">
        <v>3155</v>
      </c>
      <c r="C99" s="3004" t="s">
        <v>3564</v>
      </c>
      <c r="D99" s="3007" t="s">
        <v>3640</v>
      </c>
      <c r="E99" s="3008" t="s">
        <v>3641</v>
      </c>
      <c r="F99" s="3011">
        <v>53.19</v>
      </c>
      <c r="G99" s="3011">
        <v>5.94</v>
      </c>
      <c r="H99" s="3004" t="s">
        <v>1373</v>
      </c>
      <c r="I99" s="3007" t="s">
        <v>3563</v>
      </c>
      <c r="J99" s="3010">
        <f t="shared" si="10"/>
        <v>56156</v>
      </c>
      <c r="K99" s="3007" t="str">
        <f t="shared" si="11"/>
        <v>12层</v>
      </c>
      <c r="L99" s="3007" t="str">
        <f t="shared" si="12"/>
        <v>5层</v>
      </c>
      <c r="N99" s="3002">
        <f t="shared" ca="1" si="8"/>
        <v>557112</v>
      </c>
      <c r="O99" s="3002">
        <f t="shared" ca="1" si="9"/>
        <v>56</v>
      </c>
    </row>
    <row r="100" spans="1:15" ht="24">
      <c r="A100" s="3007">
        <v>97</v>
      </c>
      <c r="B100" s="3007" t="s">
        <v>3156</v>
      </c>
      <c r="C100" s="3004" t="s">
        <v>3564</v>
      </c>
      <c r="D100" s="3007" t="s">
        <v>3642</v>
      </c>
      <c r="E100" s="3008" t="s">
        <v>3643</v>
      </c>
      <c r="F100" s="3011">
        <v>53.19</v>
      </c>
      <c r="G100" s="3011">
        <v>5.94</v>
      </c>
      <c r="H100" s="3004" t="s">
        <v>1373</v>
      </c>
      <c r="I100" s="3007" t="s">
        <v>3563</v>
      </c>
      <c r="J100" s="3010">
        <f t="shared" si="10"/>
        <v>56156</v>
      </c>
      <c r="K100" s="3007" t="str">
        <f t="shared" si="11"/>
        <v>12层</v>
      </c>
      <c r="L100" s="3007" t="str">
        <f t="shared" si="12"/>
        <v>5层</v>
      </c>
      <c r="N100" s="3002">
        <f t="shared" ca="1" si="8"/>
        <v>557112</v>
      </c>
      <c r="O100" s="3002">
        <f t="shared" ca="1" si="9"/>
        <v>56</v>
      </c>
    </row>
    <row r="101" spans="1:15" ht="24">
      <c r="A101" s="3007">
        <v>98</v>
      </c>
      <c r="B101" s="3007" t="s">
        <v>3157</v>
      </c>
      <c r="C101" s="3004" t="s">
        <v>3564</v>
      </c>
      <c r="D101" s="3007" t="s">
        <v>3644</v>
      </c>
      <c r="E101" s="3008" t="s">
        <v>3645</v>
      </c>
      <c r="F101" s="3011">
        <v>53.17</v>
      </c>
      <c r="G101" s="3011">
        <v>5.93</v>
      </c>
      <c r="H101" s="3004" t="s">
        <v>1373</v>
      </c>
      <c r="I101" s="3007" t="s">
        <v>3563</v>
      </c>
      <c r="J101" s="3010">
        <f t="shared" si="10"/>
        <v>56156</v>
      </c>
      <c r="K101" s="3007" t="str">
        <f t="shared" si="11"/>
        <v>12层</v>
      </c>
      <c r="L101" s="3007" t="str">
        <f t="shared" si="12"/>
        <v>5层</v>
      </c>
      <c r="N101" s="3002">
        <f t="shared" ca="1" si="8"/>
        <v>556903</v>
      </c>
      <c r="O101" s="3002">
        <f t="shared" ca="1" si="9"/>
        <v>56</v>
      </c>
    </row>
    <row r="102" spans="1:15" ht="24">
      <c r="A102" s="3007">
        <v>99</v>
      </c>
      <c r="B102" s="3007" t="s">
        <v>3158</v>
      </c>
      <c r="C102" s="3004" t="s">
        <v>3564</v>
      </c>
      <c r="D102" s="3007" t="s">
        <v>3646</v>
      </c>
      <c r="E102" s="3008" t="s">
        <v>3647</v>
      </c>
      <c r="F102" s="3011">
        <v>73.2</v>
      </c>
      <c r="G102" s="3011">
        <v>8.17</v>
      </c>
      <c r="H102" s="3004" t="s">
        <v>1373</v>
      </c>
      <c r="I102" s="3007" t="s">
        <v>3563</v>
      </c>
      <c r="J102" s="3010">
        <f t="shared" si="10"/>
        <v>56156</v>
      </c>
      <c r="K102" s="3007" t="str">
        <f t="shared" si="11"/>
        <v>12层</v>
      </c>
      <c r="L102" s="3007" t="str">
        <f t="shared" si="12"/>
        <v>5层</v>
      </c>
      <c r="N102" s="3002">
        <f t="shared" ca="1" si="8"/>
        <v>766697</v>
      </c>
      <c r="O102" s="3002">
        <f t="shared" ca="1" si="9"/>
        <v>77</v>
      </c>
    </row>
    <row r="103" spans="1:15" ht="24">
      <c r="A103" s="3007">
        <v>100</v>
      </c>
      <c r="B103" s="3007" t="s">
        <v>3159</v>
      </c>
      <c r="C103" s="3004" t="s">
        <v>3564</v>
      </c>
      <c r="D103" s="3007" t="s">
        <v>3648</v>
      </c>
      <c r="E103" s="3008" t="s">
        <v>3649</v>
      </c>
      <c r="F103" s="3011">
        <v>72.569999999999993</v>
      </c>
      <c r="G103" s="3011">
        <v>8.1</v>
      </c>
      <c r="H103" s="3004" t="s">
        <v>1373</v>
      </c>
      <c r="I103" s="3007" t="s">
        <v>3563</v>
      </c>
      <c r="J103" s="3010">
        <f t="shared" si="10"/>
        <v>56156</v>
      </c>
      <c r="K103" s="3007" t="str">
        <f t="shared" si="11"/>
        <v>12层</v>
      </c>
      <c r="L103" s="3007" t="str">
        <f t="shared" si="12"/>
        <v>5层</v>
      </c>
      <c r="N103" s="3002">
        <f t="shared" ca="1" si="8"/>
        <v>760098</v>
      </c>
      <c r="O103" s="3002">
        <f t="shared" ca="1" si="9"/>
        <v>76</v>
      </c>
    </row>
    <row r="104" spans="1:15" ht="24">
      <c r="A104" s="3007">
        <v>101</v>
      </c>
      <c r="B104" s="3007" t="s">
        <v>3160</v>
      </c>
      <c r="C104" s="3004" t="s">
        <v>3564</v>
      </c>
      <c r="D104" s="3007" t="s">
        <v>3650</v>
      </c>
      <c r="E104" s="3008" t="s">
        <v>3651</v>
      </c>
      <c r="F104" s="3011">
        <v>53.17</v>
      </c>
      <c r="G104" s="3011">
        <v>5.93</v>
      </c>
      <c r="H104" s="3004" t="s">
        <v>1373</v>
      </c>
      <c r="I104" s="3007" t="s">
        <v>3563</v>
      </c>
      <c r="J104" s="3010">
        <f t="shared" si="10"/>
        <v>56156</v>
      </c>
      <c r="K104" s="3007" t="str">
        <f t="shared" si="11"/>
        <v>12层</v>
      </c>
      <c r="L104" s="3007" t="str">
        <f t="shared" si="12"/>
        <v>5层</v>
      </c>
      <c r="N104" s="3002">
        <f t="shared" ca="1" si="8"/>
        <v>556903</v>
      </c>
      <c r="O104" s="3002">
        <f t="shared" ca="1" si="9"/>
        <v>56</v>
      </c>
    </row>
    <row r="105" spans="1:15" ht="24">
      <c r="A105" s="3007">
        <v>102</v>
      </c>
      <c r="B105" s="3007" t="s">
        <v>3161</v>
      </c>
      <c r="C105" s="3004" t="s">
        <v>3564</v>
      </c>
      <c r="D105" s="3007" t="s">
        <v>3652</v>
      </c>
      <c r="E105" s="3008" t="s">
        <v>3653</v>
      </c>
      <c r="F105" s="3011">
        <v>53.19</v>
      </c>
      <c r="G105" s="3011">
        <v>5.94</v>
      </c>
      <c r="H105" s="3004" t="s">
        <v>1373</v>
      </c>
      <c r="I105" s="3007" t="s">
        <v>3563</v>
      </c>
      <c r="J105" s="3010">
        <f t="shared" si="10"/>
        <v>56156</v>
      </c>
      <c r="K105" s="3007" t="str">
        <f t="shared" si="11"/>
        <v>12层</v>
      </c>
      <c r="L105" s="3007" t="str">
        <f t="shared" si="12"/>
        <v>5层</v>
      </c>
      <c r="N105" s="3002">
        <f t="shared" ca="1" si="8"/>
        <v>557112</v>
      </c>
      <c r="O105" s="3002">
        <f t="shared" ca="1" si="9"/>
        <v>56</v>
      </c>
    </row>
    <row r="106" spans="1:15" ht="24">
      <c r="A106" s="3007">
        <v>103</v>
      </c>
      <c r="B106" s="3007" t="s">
        <v>3162</v>
      </c>
      <c r="C106" s="3004" t="s">
        <v>3564</v>
      </c>
      <c r="D106" s="3007" t="s">
        <v>3654</v>
      </c>
      <c r="E106" s="3008" t="s">
        <v>3655</v>
      </c>
      <c r="F106" s="3011">
        <v>52.53</v>
      </c>
      <c r="G106" s="3011">
        <v>5.86</v>
      </c>
      <c r="H106" s="3004" t="s">
        <v>1373</v>
      </c>
      <c r="I106" s="3007" t="s">
        <v>3563</v>
      </c>
      <c r="J106" s="3010">
        <f t="shared" si="10"/>
        <v>56156</v>
      </c>
      <c r="K106" s="3007" t="str">
        <f t="shared" si="11"/>
        <v>12层</v>
      </c>
      <c r="L106" s="3007" t="str">
        <f t="shared" si="12"/>
        <v>5层</v>
      </c>
      <c r="N106" s="3002">
        <f t="shared" ca="1" si="8"/>
        <v>550199</v>
      </c>
      <c r="O106" s="3002">
        <f t="shared" ca="1" si="9"/>
        <v>55</v>
      </c>
    </row>
    <row r="107" spans="1:15" ht="24">
      <c r="A107" s="3007">
        <v>104</v>
      </c>
      <c r="B107" s="3007" t="s">
        <v>3163</v>
      </c>
      <c r="C107" s="3004" t="s">
        <v>3564</v>
      </c>
      <c r="D107" s="3007" t="s">
        <v>3656</v>
      </c>
      <c r="E107" s="3008" t="s">
        <v>3657</v>
      </c>
      <c r="F107" s="3011">
        <v>64.930000000000007</v>
      </c>
      <c r="G107" s="3011">
        <v>7.25</v>
      </c>
      <c r="H107" s="3004" t="s">
        <v>1373</v>
      </c>
      <c r="I107" s="3007" t="s">
        <v>3563</v>
      </c>
      <c r="J107" s="3010">
        <f t="shared" si="10"/>
        <v>56156</v>
      </c>
      <c r="K107" s="3007" t="str">
        <f t="shared" si="11"/>
        <v>12层</v>
      </c>
      <c r="L107" s="3007" t="str">
        <f>$L$87</f>
        <v>5层</v>
      </c>
      <c r="N107" s="3002">
        <f t="shared" ca="1" si="8"/>
        <v>680077</v>
      </c>
      <c r="O107" s="3002">
        <f t="shared" ca="1" si="9"/>
        <v>68</v>
      </c>
    </row>
    <row r="108" spans="1:15" ht="24">
      <c r="A108" s="3007">
        <v>105</v>
      </c>
      <c r="B108" s="3007" t="s">
        <v>3164</v>
      </c>
      <c r="C108" s="3004" t="s">
        <v>3527</v>
      </c>
      <c r="D108" s="3007" t="s">
        <v>3658</v>
      </c>
      <c r="E108" s="3008" t="s">
        <v>3659</v>
      </c>
      <c r="F108" s="3011">
        <v>51.1</v>
      </c>
      <c r="G108" s="3011">
        <v>5.7</v>
      </c>
      <c r="H108" s="3004" t="s">
        <v>1373</v>
      </c>
      <c r="I108" s="3007" t="s">
        <v>3530</v>
      </c>
      <c r="J108" s="3010">
        <f t="shared" si="10"/>
        <v>56156</v>
      </c>
      <c r="K108" s="3007" t="str">
        <f t="shared" si="11"/>
        <v>12层</v>
      </c>
      <c r="L108" s="3007" t="s">
        <v>3660</v>
      </c>
      <c r="N108" s="3002">
        <f t="shared" ca="1" si="8"/>
        <v>535221</v>
      </c>
      <c r="O108" s="3002">
        <f t="shared" ca="1" si="9"/>
        <v>54</v>
      </c>
    </row>
    <row r="109" spans="1:15" ht="24">
      <c r="A109" s="3007">
        <v>106</v>
      </c>
      <c r="B109" s="3007" t="s">
        <v>3165</v>
      </c>
      <c r="C109" s="3004" t="s">
        <v>3527</v>
      </c>
      <c r="D109" s="3007" t="s">
        <v>3661</v>
      </c>
      <c r="E109" s="3008" t="s">
        <v>3662</v>
      </c>
      <c r="F109" s="3011">
        <v>52.87</v>
      </c>
      <c r="G109" s="3011">
        <v>5.9</v>
      </c>
      <c r="H109" s="3004" t="s">
        <v>1373</v>
      </c>
      <c r="I109" s="3007" t="s">
        <v>3530</v>
      </c>
      <c r="J109" s="3010">
        <f t="shared" si="10"/>
        <v>56156</v>
      </c>
      <c r="K109" s="3007" t="str">
        <f t="shared" si="11"/>
        <v>12层</v>
      </c>
      <c r="L109" s="3007" t="str">
        <f>$L$108</f>
        <v>6层</v>
      </c>
      <c r="N109" s="3002">
        <f t="shared" ca="1" si="8"/>
        <v>553760</v>
      </c>
      <c r="O109" s="3002">
        <f t="shared" ca="1" si="9"/>
        <v>55</v>
      </c>
    </row>
    <row r="110" spans="1:15" ht="24">
      <c r="A110" s="3007">
        <v>107</v>
      </c>
      <c r="B110" s="3007" t="s">
        <v>3166</v>
      </c>
      <c r="C110" s="3004" t="s">
        <v>3621</v>
      </c>
      <c r="D110" s="3007" t="s">
        <v>3663</v>
      </c>
      <c r="E110" s="3008" t="s">
        <v>3664</v>
      </c>
      <c r="F110" s="3011">
        <v>52.86</v>
      </c>
      <c r="G110" s="3011">
        <v>5.9</v>
      </c>
      <c r="H110" s="3004" t="s">
        <v>1373</v>
      </c>
      <c r="I110" s="3007" t="s">
        <v>3665</v>
      </c>
      <c r="J110" s="3010">
        <f t="shared" si="10"/>
        <v>56156</v>
      </c>
      <c r="K110" s="3007" t="str">
        <f t="shared" si="11"/>
        <v>12层</v>
      </c>
      <c r="L110" s="3007" t="str">
        <f t="shared" ref="L110:L128" si="13">$L$108</f>
        <v>6层</v>
      </c>
      <c r="N110" s="3002">
        <f t="shared" ca="1" si="8"/>
        <v>553656</v>
      </c>
      <c r="O110" s="3002">
        <f t="shared" ca="1" si="9"/>
        <v>55</v>
      </c>
    </row>
    <row r="111" spans="1:15" ht="24">
      <c r="A111" s="3007">
        <v>108</v>
      </c>
      <c r="B111" s="3007" t="s">
        <v>3167</v>
      </c>
      <c r="C111" s="3004" t="s">
        <v>3527</v>
      </c>
      <c r="D111" s="3007" t="s">
        <v>3666</v>
      </c>
      <c r="E111" s="3008" t="s">
        <v>3667</v>
      </c>
      <c r="F111" s="3011">
        <v>52.87</v>
      </c>
      <c r="G111" s="3011">
        <v>5.9</v>
      </c>
      <c r="H111" s="3004" t="s">
        <v>1373</v>
      </c>
      <c r="I111" s="3007" t="s">
        <v>3530</v>
      </c>
      <c r="J111" s="3010">
        <f t="shared" si="10"/>
        <v>56156</v>
      </c>
      <c r="K111" s="3007" t="str">
        <f t="shared" si="11"/>
        <v>12层</v>
      </c>
      <c r="L111" s="3007" t="str">
        <f t="shared" si="13"/>
        <v>6层</v>
      </c>
      <c r="N111" s="3002">
        <f t="shared" ca="1" si="8"/>
        <v>553760</v>
      </c>
      <c r="O111" s="3002">
        <f t="shared" ca="1" si="9"/>
        <v>55</v>
      </c>
    </row>
    <row r="112" spans="1:15" ht="24">
      <c r="A112" s="3007">
        <v>109</v>
      </c>
      <c r="B112" s="3007" t="s">
        <v>3168</v>
      </c>
      <c r="C112" s="3004" t="s">
        <v>3527</v>
      </c>
      <c r="D112" s="3007" t="s">
        <v>3668</v>
      </c>
      <c r="E112" s="3008" t="s">
        <v>3669</v>
      </c>
      <c r="F112" s="3011">
        <v>71.400000000000006</v>
      </c>
      <c r="G112" s="3011">
        <v>7.97</v>
      </c>
      <c r="H112" s="3004" t="s">
        <v>1373</v>
      </c>
      <c r="I112" s="3007" t="s">
        <v>3665</v>
      </c>
      <c r="J112" s="3010">
        <f t="shared" si="10"/>
        <v>56156</v>
      </c>
      <c r="K112" s="3007" t="str">
        <f t="shared" si="11"/>
        <v>12层</v>
      </c>
      <c r="L112" s="3007" t="str">
        <f t="shared" si="13"/>
        <v>6层</v>
      </c>
      <c r="N112" s="3002">
        <f t="shared" ca="1" si="8"/>
        <v>747844</v>
      </c>
      <c r="O112" s="3002">
        <f t="shared" ca="1" si="9"/>
        <v>75</v>
      </c>
    </row>
    <row r="113" spans="1:15" ht="24">
      <c r="A113" s="3007">
        <v>110</v>
      </c>
      <c r="B113" s="3007" t="s">
        <v>3169</v>
      </c>
      <c r="C113" s="3004" t="s">
        <v>3621</v>
      </c>
      <c r="D113" s="3007" t="s">
        <v>3670</v>
      </c>
      <c r="E113" s="3008" t="s">
        <v>3671</v>
      </c>
      <c r="F113" s="3011">
        <v>71.819999999999993</v>
      </c>
      <c r="G113" s="3011">
        <v>8.01</v>
      </c>
      <c r="H113" s="3004" t="s">
        <v>1373</v>
      </c>
      <c r="I113" s="3007" t="s">
        <v>3665</v>
      </c>
      <c r="J113" s="3010">
        <f t="shared" si="10"/>
        <v>56156</v>
      </c>
      <c r="K113" s="3007" t="str">
        <f t="shared" si="11"/>
        <v>12层</v>
      </c>
      <c r="L113" s="3007" t="str">
        <f t="shared" si="13"/>
        <v>6层</v>
      </c>
      <c r="N113" s="3002">
        <f t="shared" ca="1" si="8"/>
        <v>752243</v>
      </c>
      <c r="O113" s="3002">
        <f t="shared" ca="1" si="9"/>
        <v>75</v>
      </c>
    </row>
    <row r="114" spans="1:15" ht="24">
      <c r="A114" s="3007">
        <v>111</v>
      </c>
      <c r="B114" s="3007" t="s">
        <v>3170</v>
      </c>
      <c r="C114" s="3004" t="s">
        <v>3621</v>
      </c>
      <c r="D114" s="3007" t="s">
        <v>3672</v>
      </c>
      <c r="E114" s="3008" t="s">
        <v>3673</v>
      </c>
      <c r="F114" s="3011">
        <v>52.47</v>
      </c>
      <c r="G114" s="3011">
        <v>5.86</v>
      </c>
      <c r="H114" s="3004" t="s">
        <v>1373</v>
      </c>
      <c r="I114" s="3007" t="s">
        <v>3665</v>
      </c>
      <c r="J114" s="3010">
        <f t="shared" si="10"/>
        <v>56156</v>
      </c>
      <c r="K114" s="3007" t="str">
        <f t="shared" si="11"/>
        <v>12层</v>
      </c>
      <c r="L114" s="3007" t="str">
        <f t="shared" si="13"/>
        <v>6层</v>
      </c>
      <c r="N114" s="3002">
        <f t="shared" ca="1" si="8"/>
        <v>549571</v>
      </c>
      <c r="O114" s="3002">
        <f t="shared" ca="1" si="9"/>
        <v>55</v>
      </c>
    </row>
    <row r="115" spans="1:15" ht="24">
      <c r="A115" s="3007">
        <v>112</v>
      </c>
      <c r="B115" s="3007" t="s">
        <v>3171</v>
      </c>
      <c r="C115" s="3004" t="s">
        <v>3621</v>
      </c>
      <c r="D115" s="3007" t="s">
        <v>3674</v>
      </c>
      <c r="E115" s="3008" t="s">
        <v>3675</v>
      </c>
      <c r="F115" s="3011">
        <v>53.33</v>
      </c>
      <c r="G115" s="3011">
        <v>5.95</v>
      </c>
      <c r="H115" s="3004" t="s">
        <v>1373</v>
      </c>
      <c r="I115" s="3007" t="s">
        <v>3665</v>
      </c>
      <c r="J115" s="3010">
        <f t="shared" si="10"/>
        <v>56156</v>
      </c>
      <c r="K115" s="3007" t="str">
        <f t="shared" si="11"/>
        <v>12层</v>
      </c>
      <c r="L115" s="3007" t="str">
        <f t="shared" si="13"/>
        <v>6层</v>
      </c>
      <c r="N115" s="3002">
        <f t="shared" ca="1" si="8"/>
        <v>558578</v>
      </c>
      <c r="O115" s="3002">
        <f t="shared" ca="1" si="9"/>
        <v>56</v>
      </c>
    </row>
    <row r="116" spans="1:15" ht="24">
      <c r="A116" s="3007">
        <v>113</v>
      </c>
      <c r="B116" s="3007" t="s">
        <v>3172</v>
      </c>
      <c r="C116" s="3004" t="s">
        <v>3621</v>
      </c>
      <c r="D116" s="3007" t="s">
        <v>3676</v>
      </c>
      <c r="E116" s="3008" t="s">
        <v>3677</v>
      </c>
      <c r="F116" s="3011">
        <v>61.47</v>
      </c>
      <c r="G116" s="3011">
        <v>6.86</v>
      </c>
      <c r="H116" s="3004" t="s">
        <v>1373</v>
      </c>
      <c r="I116" s="3007" t="s">
        <v>3665</v>
      </c>
      <c r="J116" s="3010">
        <f t="shared" si="10"/>
        <v>56156</v>
      </c>
      <c r="K116" s="3007" t="str">
        <f t="shared" si="11"/>
        <v>12层</v>
      </c>
      <c r="L116" s="3007" t="str">
        <f t="shared" si="13"/>
        <v>6层</v>
      </c>
      <c r="N116" s="3002">
        <f t="shared" ca="1" si="8"/>
        <v>643837</v>
      </c>
      <c r="O116" s="3002">
        <f t="shared" ca="1" si="9"/>
        <v>64</v>
      </c>
    </row>
    <row r="117" spans="1:15" ht="24">
      <c r="A117" s="3007">
        <v>114</v>
      </c>
      <c r="B117" s="3007" t="s">
        <v>3173</v>
      </c>
      <c r="C117" s="3004" t="s">
        <v>3621</v>
      </c>
      <c r="D117" s="3007" t="s">
        <v>3678</v>
      </c>
      <c r="E117" s="3008" t="s">
        <v>3679</v>
      </c>
      <c r="F117" s="3011">
        <v>66.06</v>
      </c>
      <c r="G117" s="3011">
        <v>7.37</v>
      </c>
      <c r="H117" s="3004" t="s">
        <v>1373</v>
      </c>
      <c r="I117" s="3007" t="s">
        <v>3665</v>
      </c>
      <c r="J117" s="3010">
        <f t="shared" si="10"/>
        <v>56156</v>
      </c>
      <c r="K117" s="3007" t="str">
        <f t="shared" si="11"/>
        <v>12层</v>
      </c>
      <c r="L117" s="3007" t="str">
        <f t="shared" si="13"/>
        <v>6层</v>
      </c>
      <c r="N117" s="3002">
        <f t="shared" ca="1" si="8"/>
        <v>691912</v>
      </c>
      <c r="O117" s="3002">
        <f t="shared" ca="1" si="9"/>
        <v>69</v>
      </c>
    </row>
    <row r="118" spans="1:15" ht="24">
      <c r="A118" s="3007">
        <v>115</v>
      </c>
      <c r="B118" s="3007" t="s">
        <v>3174</v>
      </c>
      <c r="C118" s="3004" t="s">
        <v>3621</v>
      </c>
      <c r="D118" s="3007" t="s">
        <v>3680</v>
      </c>
      <c r="E118" s="3008" t="s">
        <v>3681</v>
      </c>
      <c r="F118" s="3011">
        <v>60.87</v>
      </c>
      <c r="G118" s="3011">
        <v>6.79</v>
      </c>
      <c r="H118" s="3004" t="s">
        <v>1373</v>
      </c>
      <c r="I118" s="3007" t="s">
        <v>3665</v>
      </c>
      <c r="J118" s="3010">
        <f t="shared" si="10"/>
        <v>56156</v>
      </c>
      <c r="K118" s="3007" t="str">
        <f t="shared" si="11"/>
        <v>12层</v>
      </c>
      <c r="L118" s="3007" t="str">
        <f t="shared" si="13"/>
        <v>6层</v>
      </c>
      <c r="N118" s="3002">
        <f t="shared" ca="1" si="8"/>
        <v>637552</v>
      </c>
      <c r="O118" s="3002">
        <f t="shared" ca="1" si="9"/>
        <v>64</v>
      </c>
    </row>
    <row r="119" spans="1:15" ht="24">
      <c r="A119" s="3007">
        <v>116</v>
      </c>
      <c r="B119" s="3007" t="s">
        <v>3175</v>
      </c>
      <c r="C119" s="3004" t="s">
        <v>3621</v>
      </c>
      <c r="D119" s="3007" t="s">
        <v>3682</v>
      </c>
      <c r="E119" s="3008" t="s">
        <v>3683</v>
      </c>
      <c r="F119" s="3011">
        <v>53.25</v>
      </c>
      <c r="G119" s="3011">
        <v>5.94</v>
      </c>
      <c r="H119" s="3004" t="s">
        <v>1373</v>
      </c>
      <c r="I119" s="3007" t="s">
        <v>3665</v>
      </c>
      <c r="J119" s="3010">
        <f t="shared" si="10"/>
        <v>56156</v>
      </c>
      <c r="K119" s="3007" t="str">
        <f t="shared" si="11"/>
        <v>12层</v>
      </c>
      <c r="L119" s="3007" t="str">
        <f t="shared" si="13"/>
        <v>6层</v>
      </c>
      <c r="N119" s="3002">
        <f t="shared" ca="1" si="8"/>
        <v>557741</v>
      </c>
      <c r="O119" s="3002">
        <f t="shared" ca="1" si="9"/>
        <v>56</v>
      </c>
    </row>
    <row r="120" spans="1:15" ht="24">
      <c r="A120" s="3007">
        <v>117</v>
      </c>
      <c r="B120" s="3007" t="s">
        <v>3176</v>
      </c>
      <c r="C120" s="3004" t="s">
        <v>3621</v>
      </c>
      <c r="D120" s="3007" t="s">
        <v>3684</v>
      </c>
      <c r="E120" s="3008" t="s">
        <v>3685</v>
      </c>
      <c r="F120" s="3011">
        <v>53.19</v>
      </c>
      <c r="G120" s="3011">
        <v>5.94</v>
      </c>
      <c r="H120" s="3004" t="s">
        <v>1373</v>
      </c>
      <c r="I120" s="3007" t="s">
        <v>3665</v>
      </c>
      <c r="J120" s="3010">
        <f t="shared" si="10"/>
        <v>56156</v>
      </c>
      <c r="K120" s="3007" t="str">
        <f t="shared" si="11"/>
        <v>12层</v>
      </c>
      <c r="L120" s="3007" t="str">
        <f t="shared" si="13"/>
        <v>6层</v>
      </c>
      <c r="N120" s="3002">
        <f t="shared" ca="1" si="8"/>
        <v>557112</v>
      </c>
      <c r="O120" s="3002">
        <f t="shared" ca="1" si="9"/>
        <v>56</v>
      </c>
    </row>
    <row r="121" spans="1:15" ht="24">
      <c r="A121" s="3007">
        <v>118</v>
      </c>
      <c r="B121" s="3007" t="s">
        <v>3177</v>
      </c>
      <c r="C121" s="3004" t="s">
        <v>3621</v>
      </c>
      <c r="D121" s="3007" t="s">
        <v>3686</v>
      </c>
      <c r="E121" s="3008" t="s">
        <v>3687</v>
      </c>
      <c r="F121" s="3011">
        <v>53.19</v>
      </c>
      <c r="G121" s="3011">
        <v>5.94</v>
      </c>
      <c r="H121" s="3004" t="s">
        <v>1373</v>
      </c>
      <c r="I121" s="3007" t="s">
        <v>3440</v>
      </c>
      <c r="J121" s="3010">
        <f t="shared" si="10"/>
        <v>56156</v>
      </c>
      <c r="K121" s="3007" t="str">
        <f t="shared" si="11"/>
        <v>12层</v>
      </c>
      <c r="L121" s="3007" t="str">
        <f t="shared" si="13"/>
        <v>6层</v>
      </c>
      <c r="N121" s="3002">
        <f t="shared" ca="1" si="8"/>
        <v>557112</v>
      </c>
      <c r="O121" s="3002">
        <f t="shared" ca="1" si="9"/>
        <v>56</v>
      </c>
    </row>
    <row r="122" spans="1:15" ht="24">
      <c r="A122" s="3007">
        <v>119</v>
      </c>
      <c r="B122" s="3007" t="s">
        <v>3178</v>
      </c>
      <c r="C122" s="3004" t="s">
        <v>3477</v>
      </c>
      <c r="D122" s="3007" t="s">
        <v>3688</v>
      </c>
      <c r="E122" s="3008" t="s">
        <v>3689</v>
      </c>
      <c r="F122" s="3011">
        <v>53.17</v>
      </c>
      <c r="G122" s="3011">
        <v>5.93</v>
      </c>
      <c r="H122" s="3004" t="s">
        <v>1373</v>
      </c>
      <c r="I122" s="3007" t="s">
        <v>3440</v>
      </c>
      <c r="J122" s="3010">
        <f t="shared" si="10"/>
        <v>56156</v>
      </c>
      <c r="K122" s="3007" t="str">
        <f t="shared" si="11"/>
        <v>12层</v>
      </c>
      <c r="L122" s="3007" t="str">
        <f t="shared" si="13"/>
        <v>6层</v>
      </c>
      <c r="N122" s="3002">
        <f t="shared" ca="1" si="8"/>
        <v>556903</v>
      </c>
      <c r="O122" s="3002">
        <f t="shared" ca="1" si="9"/>
        <v>56</v>
      </c>
    </row>
    <row r="123" spans="1:15" ht="24">
      <c r="A123" s="3007">
        <v>120</v>
      </c>
      <c r="B123" s="3007" t="s">
        <v>3179</v>
      </c>
      <c r="C123" s="3004" t="s">
        <v>3477</v>
      </c>
      <c r="D123" s="3007" t="s">
        <v>3690</v>
      </c>
      <c r="E123" s="3008" t="s">
        <v>3691</v>
      </c>
      <c r="F123" s="3011">
        <v>73.2</v>
      </c>
      <c r="G123" s="3011">
        <v>8.17</v>
      </c>
      <c r="H123" s="3004" t="s">
        <v>1373</v>
      </c>
      <c r="I123" s="3007" t="s">
        <v>3440</v>
      </c>
      <c r="J123" s="3010">
        <f t="shared" si="10"/>
        <v>56156</v>
      </c>
      <c r="K123" s="3007" t="str">
        <f t="shared" si="11"/>
        <v>12层</v>
      </c>
      <c r="L123" s="3007" t="str">
        <f t="shared" si="13"/>
        <v>6层</v>
      </c>
      <c r="N123" s="3002">
        <f t="shared" ca="1" si="8"/>
        <v>766697</v>
      </c>
      <c r="O123" s="3002">
        <f t="shared" ca="1" si="9"/>
        <v>77</v>
      </c>
    </row>
    <row r="124" spans="1:15" ht="24">
      <c r="A124" s="3007">
        <v>121</v>
      </c>
      <c r="B124" s="3007" t="s">
        <v>3180</v>
      </c>
      <c r="C124" s="3004" t="s">
        <v>3477</v>
      </c>
      <c r="D124" s="3007" t="s">
        <v>3692</v>
      </c>
      <c r="E124" s="3008" t="s">
        <v>3693</v>
      </c>
      <c r="F124" s="3011">
        <v>72.569999999999993</v>
      </c>
      <c r="G124" s="3011">
        <v>8.1</v>
      </c>
      <c r="H124" s="3004" t="s">
        <v>1373</v>
      </c>
      <c r="I124" s="3007" t="s">
        <v>3440</v>
      </c>
      <c r="J124" s="3010">
        <f t="shared" si="10"/>
        <v>56156</v>
      </c>
      <c r="K124" s="3007" t="str">
        <f t="shared" si="11"/>
        <v>12层</v>
      </c>
      <c r="L124" s="3007" t="str">
        <f t="shared" si="13"/>
        <v>6层</v>
      </c>
      <c r="N124" s="3002">
        <f t="shared" ca="1" si="8"/>
        <v>760098</v>
      </c>
      <c r="O124" s="3002">
        <f t="shared" ca="1" si="9"/>
        <v>76</v>
      </c>
    </row>
    <row r="125" spans="1:15" ht="24">
      <c r="A125" s="3007">
        <v>122</v>
      </c>
      <c r="B125" s="3007" t="s">
        <v>3181</v>
      </c>
      <c r="C125" s="3004" t="s">
        <v>3477</v>
      </c>
      <c r="D125" s="3007" t="s">
        <v>3694</v>
      </c>
      <c r="E125" s="3008" t="s">
        <v>3695</v>
      </c>
      <c r="F125" s="3011">
        <v>53.17</v>
      </c>
      <c r="G125" s="3011">
        <v>5.93</v>
      </c>
      <c r="H125" s="3004" t="s">
        <v>1373</v>
      </c>
      <c r="I125" s="3007" t="s">
        <v>3440</v>
      </c>
      <c r="J125" s="3010">
        <f t="shared" si="10"/>
        <v>56156</v>
      </c>
      <c r="K125" s="3007" t="str">
        <f t="shared" si="11"/>
        <v>12层</v>
      </c>
      <c r="L125" s="3007" t="str">
        <f t="shared" si="13"/>
        <v>6层</v>
      </c>
      <c r="N125" s="3002">
        <f t="shared" ca="1" si="8"/>
        <v>556903</v>
      </c>
      <c r="O125" s="3002">
        <f t="shared" ca="1" si="9"/>
        <v>56</v>
      </c>
    </row>
    <row r="126" spans="1:15" ht="24">
      <c r="A126" s="3007">
        <v>123</v>
      </c>
      <c r="B126" s="3007" t="s">
        <v>3182</v>
      </c>
      <c r="C126" s="3004" t="s">
        <v>3477</v>
      </c>
      <c r="D126" s="3007" t="s">
        <v>3696</v>
      </c>
      <c r="E126" s="3008" t="s">
        <v>3697</v>
      </c>
      <c r="F126" s="3011">
        <v>53.19</v>
      </c>
      <c r="G126" s="3011">
        <v>5.94</v>
      </c>
      <c r="H126" s="3004" t="s">
        <v>1373</v>
      </c>
      <c r="I126" s="3007" t="s">
        <v>3440</v>
      </c>
      <c r="J126" s="3010">
        <f t="shared" si="10"/>
        <v>56156</v>
      </c>
      <c r="K126" s="3007" t="str">
        <f t="shared" si="11"/>
        <v>12层</v>
      </c>
      <c r="L126" s="3007" t="str">
        <f t="shared" si="13"/>
        <v>6层</v>
      </c>
      <c r="N126" s="3002">
        <f t="shared" ca="1" si="8"/>
        <v>557112</v>
      </c>
      <c r="O126" s="3002">
        <f t="shared" ca="1" si="9"/>
        <v>56</v>
      </c>
    </row>
    <row r="127" spans="1:15" ht="24">
      <c r="A127" s="3007">
        <v>124</v>
      </c>
      <c r="B127" s="3007" t="s">
        <v>3183</v>
      </c>
      <c r="C127" s="3004" t="s">
        <v>3477</v>
      </c>
      <c r="D127" s="3007" t="s">
        <v>3698</v>
      </c>
      <c r="E127" s="3008" t="s">
        <v>3699</v>
      </c>
      <c r="F127" s="3011">
        <v>52.53</v>
      </c>
      <c r="G127" s="3011">
        <v>5.86</v>
      </c>
      <c r="H127" s="3004" t="s">
        <v>1373</v>
      </c>
      <c r="I127" s="3007" t="s">
        <v>3563</v>
      </c>
      <c r="J127" s="3010">
        <f t="shared" si="10"/>
        <v>56156</v>
      </c>
      <c r="K127" s="3007" t="str">
        <f t="shared" si="11"/>
        <v>12层</v>
      </c>
      <c r="L127" s="3007" t="str">
        <f t="shared" si="13"/>
        <v>6层</v>
      </c>
      <c r="N127" s="3002">
        <f t="shared" ca="1" si="8"/>
        <v>550199</v>
      </c>
      <c r="O127" s="3002">
        <f t="shared" ca="1" si="9"/>
        <v>55</v>
      </c>
    </row>
    <row r="128" spans="1:15" ht="24">
      <c r="A128" s="3007">
        <v>125</v>
      </c>
      <c r="B128" s="3007" t="s">
        <v>3184</v>
      </c>
      <c r="C128" s="3004" t="s">
        <v>3564</v>
      </c>
      <c r="D128" s="3007" t="s">
        <v>3700</v>
      </c>
      <c r="E128" s="3008" t="s">
        <v>3701</v>
      </c>
      <c r="F128" s="3011">
        <v>64.930000000000007</v>
      </c>
      <c r="G128" s="3011">
        <v>7.25</v>
      </c>
      <c r="H128" s="3004" t="s">
        <v>1373</v>
      </c>
      <c r="I128" s="3007" t="s">
        <v>3563</v>
      </c>
      <c r="J128" s="3010">
        <f t="shared" si="10"/>
        <v>56156</v>
      </c>
      <c r="K128" s="3007" t="str">
        <f t="shared" si="11"/>
        <v>12层</v>
      </c>
      <c r="L128" s="3007" t="str">
        <f t="shared" si="13"/>
        <v>6层</v>
      </c>
      <c r="N128" s="3002">
        <f t="shared" ca="1" si="8"/>
        <v>680077</v>
      </c>
      <c r="O128" s="3002">
        <f t="shared" ca="1" si="9"/>
        <v>68</v>
      </c>
    </row>
    <row r="129" spans="1:15" ht="24">
      <c r="A129" s="3007">
        <v>126</v>
      </c>
      <c r="B129" s="3007" t="s">
        <v>3185</v>
      </c>
      <c r="C129" s="3004" t="s">
        <v>3564</v>
      </c>
      <c r="D129" s="3007" t="s">
        <v>3702</v>
      </c>
      <c r="E129" s="3008" t="s">
        <v>3703</v>
      </c>
      <c r="F129" s="3011">
        <v>51.1</v>
      </c>
      <c r="G129" s="3011">
        <v>5.7</v>
      </c>
      <c r="H129" s="3004" t="s">
        <v>1373</v>
      </c>
      <c r="I129" s="3007" t="s">
        <v>3563</v>
      </c>
      <c r="J129" s="3010">
        <f t="shared" si="10"/>
        <v>56156</v>
      </c>
      <c r="K129" s="3007" t="str">
        <f t="shared" si="11"/>
        <v>12层</v>
      </c>
      <c r="L129" s="3007" t="s">
        <v>3704</v>
      </c>
      <c r="N129" s="3002">
        <f t="shared" ca="1" si="8"/>
        <v>535221</v>
      </c>
      <c r="O129" s="3002">
        <f t="shared" ca="1" si="9"/>
        <v>54</v>
      </c>
    </row>
    <row r="130" spans="1:15" ht="24">
      <c r="A130" s="3007">
        <v>127</v>
      </c>
      <c r="B130" s="3007" t="s">
        <v>3186</v>
      </c>
      <c r="C130" s="3004" t="s">
        <v>3564</v>
      </c>
      <c r="D130" s="3007" t="s">
        <v>3705</v>
      </c>
      <c r="E130" s="3008" t="s">
        <v>3706</v>
      </c>
      <c r="F130" s="3011">
        <v>52.87</v>
      </c>
      <c r="G130" s="3011">
        <v>5.9</v>
      </c>
      <c r="H130" s="3004" t="s">
        <v>1373</v>
      </c>
      <c r="I130" s="3007" t="s">
        <v>3563</v>
      </c>
      <c r="J130" s="3010">
        <f t="shared" si="10"/>
        <v>56156</v>
      </c>
      <c r="K130" s="3007" t="str">
        <f t="shared" si="11"/>
        <v>12层</v>
      </c>
      <c r="L130" s="3007" t="str">
        <f>$L$129</f>
        <v>7层</v>
      </c>
      <c r="N130" s="3002">
        <f t="shared" ca="1" si="8"/>
        <v>553760</v>
      </c>
      <c r="O130" s="3002">
        <f t="shared" ca="1" si="9"/>
        <v>55</v>
      </c>
    </row>
    <row r="131" spans="1:15" ht="24">
      <c r="A131" s="3007">
        <v>128</v>
      </c>
      <c r="B131" s="3007" t="s">
        <v>3187</v>
      </c>
      <c r="C131" s="3004" t="s">
        <v>3477</v>
      </c>
      <c r="D131" s="3007" t="s">
        <v>3707</v>
      </c>
      <c r="E131" s="3008" t="s">
        <v>3708</v>
      </c>
      <c r="F131" s="3011">
        <v>52.86</v>
      </c>
      <c r="G131" s="3011">
        <v>5.9</v>
      </c>
      <c r="H131" s="3004" t="s">
        <v>1373</v>
      </c>
      <c r="I131" s="3007" t="s">
        <v>3563</v>
      </c>
      <c r="J131" s="3010">
        <f t="shared" si="10"/>
        <v>56156</v>
      </c>
      <c r="K131" s="3007" t="str">
        <f t="shared" si="11"/>
        <v>12层</v>
      </c>
      <c r="L131" s="3007" t="str">
        <f t="shared" ref="L131:L149" si="14">$L$129</f>
        <v>7层</v>
      </c>
      <c r="N131" s="3002">
        <f t="shared" ca="1" si="8"/>
        <v>553656</v>
      </c>
      <c r="O131" s="3002">
        <f t="shared" ca="1" si="9"/>
        <v>55</v>
      </c>
    </row>
    <row r="132" spans="1:15" ht="24">
      <c r="A132" s="3007">
        <v>129</v>
      </c>
      <c r="B132" s="3007" t="s">
        <v>3188</v>
      </c>
      <c r="C132" s="3004" t="s">
        <v>3477</v>
      </c>
      <c r="D132" s="3007" t="s">
        <v>3709</v>
      </c>
      <c r="E132" s="3008" t="s">
        <v>3710</v>
      </c>
      <c r="F132" s="3011">
        <v>52.87</v>
      </c>
      <c r="G132" s="3011">
        <v>5.9</v>
      </c>
      <c r="H132" s="3004" t="s">
        <v>1373</v>
      </c>
      <c r="I132" s="3007" t="s">
        <v>3440</v>
      </c>
      <c r="J132" s="3010">
        <f t="shared" si="10"/>
        <v>56156</v>
      </c>
      <c r="K132" s="3007" t="str">
        <f t="shared" si="11"/>
        <v>12层</v>
      </c>
      <c r="L132" s="3007" t="str">
        <f t="shared" si="14"/>
        <v>7层</v>
      </c>
      <c r="N132" s="3002">
        <f t="shared" ca="1" si="8"/>
        <v>553760</v>
      </c>
      <c r="O132" s="3002">
        <f t="shared" ca="1" si="9"/>
        <v>55</v>
      </c>
    </row>
    <row r="133" spans="1:15" ht="24">
      <c r="A133" s="3007">
        <v>130</v>
      </c>
      <c r="B133" s="3007" t="s">
        <v>3189</v>
      </c>
      <c r="C133" s="3004" t="s">
        <v>3477</v>
      </c>
      <c r="D133" s="3007" t="s">
        <v>3711</v>
      </c>
      <c r="E133" s="3008" t="s">
        <v>3712</v>
      </c>
      <c r="F133" s="3011">
        <v>71.400000000000006</v>
      </c>
      <c r="G133" s="3011">
        <v>7.97</v>
      </c>
      <c r="H133" s="3004" t="s">
        <v>1373</v>
      </c>
      <c r="I133" s="3007" t="s">
        <v>3440</v>
      </c>
      <c r="J133" s="3010">
        <f t="shared" si="10"/>
        <v>56156</v>
      </c>
      <c r="K133" s="3007" t="str">
        <f t="shared" si="11"/>
        <v>12层</v>
      </c>
      <c r="L133" s="3007" t="str">
        <f t="shared" si="14"/>
        <v>7层</v>
      </c>
      <c r="N133" s="3002">
        <f t="shared" ref="N133:N196" ca="1" si="15">ROUND(F133*$M$4,0)</f>
        <v>747844</v>
      </c>
      <c r="O133" s="3002">
        <f t="shared" ref="O133:O196" ca="1" si="16">ROUND(N133/10000,0)</f>
        <v>75</v>
      </c>
    </row>
    <row r="134" spans="1:15" ht="24">
      <c r="A134" s="3007">
        <v>131</v>
      </c>
      <c r="B134" s="3007" t="s">
        <v>3190</v>
      </c>
      <c r="C134" s="3004" t="s">
        <v>3477</v>
      </c>
      <c r="D134" s="3007" t="s">
        <v>3713</v>
      </c>
      <c r="E134" s="3008" t="s">
        <v>3714</v>
      </c>
      <c r="F134" s="3011">
        <v>71.819999999999993</v>
      </c>
      <c r="G134" s="3011">
        <v>8.01</v>
      </c>
      <c r="H134" s="3004" t="s">
        <v>1373</v>
      </c>
      <c r="I134" s="3007" t="s">
        <v>3440</v>
      </c>
      <c r="J134" s="3010">
        <f t="shared" ref="J134:J197" si="17">$J$4</f>
        <v>56156</v>
      </c>
      <c r="K134" s="3007" t="str">
        <f t="shared" ref="K134:K197" si="18">$K$4</f>
        <v>12层</v>
      </c>
      <c r="L134" s="3007" t="str">
        <f t="shared" si="14"/>
        <v>7层</v>
      </c>
      <c r="N134" s="3002">
        <f t="shared" ca="1" si="15"/>
        <v>752243</v>
      </c>
      <c r="O134" s="3002">
        <f t="shared" ca="1" si="16"/>
        <v>75</v>
      </c>
    </row>
    <row r="135" spans="1:15" ht="24">
      <c r="A135" s="3007">
        <v>132</v>
      </c>
      <c r="B135" s="3007" t="s">
        <v>3191</v>
      </c>
      <c r="C135" s="3004" t="s">
        <v>3621</v>
      </c>
      <c r="D135" s="3007" t="s">
        <v>3715</v>
      </c>
      <c r="E135" s="3008" t="s">
        <v>3716</v>
      </c>
      <c r="F135" s="3011">
        <v>52.47</v>
      </c>
      <c r="G135" s="3011">
        <v>5.86</v>
      </c>
      <c r="H135" s="3004" t="s">
        <v>1373</v>
      </c>
      <c r="I135" s="3007" t="s">
        <v>3665</v>
      </c>
      <c r="J135" s="3010">
        <f t="shared" si="17"/>
        <v>56156</v>
      </c>
      <c r="K135" s="3007" t="str">
        <f t="shared" si="18"/>
        <v>12层</v>
      </c>
      <c r="L135" s="3007" t="str">
        <f t="shared" si="14"/>
        <v>7层</v>
      </c>
      <c r="N135" s="3002">
        <f t="shared" ca="1" si="15"/>
        <v>549571</v>
      </c>
      <c r="O135" s="3002">
        <f t="shared" ca="1" si="16"/>
        <v>55</v>
      </c>
    </row>
    <row r="136" spans="1:15" ht="24">
      <c r="A136" s="3007">
        <v>133</v>
      </c>
      <c r="B136" s="3007" t="s">
        <v>3192</v>
      </c>
      <c r="C136" s="3004" t="s">
        <v>3621</v>
      </c>
      <c r="D136" s="3007" t="s">
        <v>3717</v>
      </c>
      <c r="E136" s="3008" t="s">
        <v>3718</v>
      </c>
      <c r="F136" s="3011">
        <v>53.33</v>
      </c>
      <c r="G136" s="3011">
        <v>5.95</v>
      </c>
      <c r="H136" s="3004" t="s">
        <v>1373</v>
      </c>
      <c r="I136" s="3007" t="s">
        <v>3665</v>
      </c>
      <c r="J136" s="3010">
        <f t="shared" si="17"/>
        <v>56156</v>
      </c>
      <c r="K136" s="3007" t="str">
        <f t="shared" si="18"/>
        <v>12层</v>
      </c>
      <c r="L136" s="3007" t="str">
        <f t="shared" si="14"/>
        <v>7层</v>
      </c>
      <c r="N136" s="3002">
        <f t="shared" ca="1" si="15"/>
        <v>558578</v>
      </c>
      <c r="O136" s="3002">
        <f t="shared" ca="1" si="16"/>
        <v>56</v>
      </c>
    </row>
    <row r="137" spans="1:15" ht="24">
      <c r="A137" s="3007">
        <v>134</v>
      </c>
      <c r="B137" s="3007" t="s">
        <v>3193</v>
      </c>
      <c r="C137" s="3004" t="s">
        <v>3621</v>
      </c>
      <c r="D137" s="3007" t="s">
        <v>3719</v>
      </c>
      <c r="E137" s="3008" t="s">
        <v>3720</v>
      </c>
      <c r="F137" s="3011">
        <v>61.47</v>
      </c>
      <c r="G137" s="3011">
        <v>6.86</v>
      </c>
      <c r="H137" s="3004" t="s">
        <v>1373</v>
      </c>
      <c r="I137" s="3007" t="s">
        <v>3665</v>
      </c>
      <c r="J137" s="3010">
        <f t="shared" si="17"/>
        <v>56156</v>
      </c>
      <c r="K137" s="3007" t="str">
        <f t="shared" si="18"/>
        <v>12层</v>
      </c>
      <c r="L137" s="3007" t="str">
        <f t="shared" si="14"/>
        <v>7层</v>
      </c>
      <c r="N137" s="3002">
        <f t="shared" ca="1" si="15"/>
        <v>643837</v>
      </c>
      <c r="O137" s="3002">
        <f t="shared" ca="1" si="16"/>
        <v>64</v>
      </c>
    </row>
    <row r="138" spans="1:15" ht="24">
      <c r="A138" s="3007">
        <v>135</v>
      </c>
      <c r="B138" s="3007" t="s">
        <v>3194</v>
      </c>
      <c r="C138" s="3004" t="s">
        <v>3621</v>
      </c>
      <c r="D138" s="3007" t="s">
        <v>3721</v>
      </c>
      <c r="E138" s="3008" t="s">
        <v>3722</v>
      </c>
      <c r="F138" s="3011">
        <v>66.06</v>
      </c>
      <c r="G138" s="3011">
        <v>7.37</v>
      </c>
      <c r="H138" s="3004" t="s">
        <v>1373</v>
      </c>
      <c r="I138" s="3007" t="s">
        <v>3665</v>
      </c>
      <c r="J138" s="3010">
        <f t="shared" si="17"/>
        <v>56156</v>
      </c>
      <c r="K138" s="3007" t="str">
        <f t="shared" si="18"/>
        <v>12层</v>
      </c>
      <c r="L138" s="3007" t="str">
        <f t="shared" si="14"/>
        <v>7层</v>
      </c>
      <c r="N138" s="3002">
        <f t="shared" ca="1" si="15"/>
        <v>691912</v>
      </c>
      <c r="O138" s="3002">
        <f t="shared" ca="1" si="16"/>
        <v>69</v>
      </c>
    </row>
    <row r="139" spans="1:15" ht="24">
      <c r="A139" s="3007">
        <v>136</v>
      </c>
      <c r="B139" s="3007" t="s">
        <v>3195</v>
      </c>
      <c r="C139" s="3004" t="s">
        <v>3621</v>
      </c>
      <c r="D139" s="3007" t="s">
        <v>3723</v>
      </c>
      <c r="E139" s="3008" t="s">
        <v>3724</v>
      </c>
      <c r="F139" s="3011">
        <v>60.87</v>
      </c>
      <c r="G139" s="3011">
        <v>6.79</v>
      </c>
      <c r="H139" s="3004" t="s">
        <v>1373</v>
      </c>
      <c r="I139" s="3007" t="s">
        <v>3665</v>
      </c>
      <c r="J139" s="3010">
        <f t="shared" si="17"/>
        <v>56156</v>
      </c>
      <c r="K139" s="3007" t="str">
        <f t="shared" si="18"/>
        <v>12层</v>
      </c>
      <c r="L139" s="3007" t="str">
        <f t="shared" si="14"/>
        <v>7层</v>
      </c>
      <c r="N139" s="3002">
        <f t="shared" ca="1" si="15"/>
        <v>637552</v>
      </c>
      <c r="O139" s="3002">
        <f t="shared" ca="1" si="16"/>
        <v>64</v>
      </c>
    </row>
    <row r="140" spans="1:15" ht="24">
      <c r="A140" s="3007">
        <v>137</v>
      </c>
      <c r="B140" s="3007" t="s">
        <v>3196</v>
      </c>
      <c r="C140" s="3004" t="s">
        <v>3621</v>
      </c>
      <c r="D140" s="3007" t="s">
        <v>3725</v>
      </c>
      <c r="E140" s="3008" t="s">
        <v>3726</v>
      </c>
      <c r="F140" s="3011">
        <v>53.25</v>
      </c>
      <c r="G140" s="3011">
        <v>5.94</v>
      </c>
      <c r="H140" s="3004" t="s">
        <v>1373</v>
      </c>
      <c r="I140" s="3007" t="s">
        <v>3440</v>
      </c>
      <c r="J140" s="3010">
        <f t="shared" si="17"/>
        <v>56156</v>
      </c>
      <c r="K140" s="3007" t="str">
        <f t="shared" si="18"/>
        <v>12层</v>
      </c>
      <c r="L140" s="3007" t="str">
        <f t="shared" si="14"/>
        <v>7层</v>
      </c>
      <c r="N140" s="3002">
        <f t="shared" ca="1" si="15"/>
        <v>557741</v>
      </c>
      <c r="O140" s="3002">
        <f t="shared" ca="1" si="16"/>
        <v>56</v>
      </c>
    </row>
    <row r="141" spans="1:15" ht="24">
      <c r="A141" s="3007">
        <v>138</v>
      </c>
      <c r="B141" s="3007" t="s">
        <v>3197</v>
      </c>
      <c r="C141" s="3004" t="s">
        <v>3477</v>
      </c>
      <c r="D141" s="3007" t="s">
        <v>3727</v>
      </c>
      <c r="E141" s="3008" t="s">
        <v>3728</v>
      </c>
      <c r="F141" s="3011">
        <v>53.19</v>
      </c>
      <c r="G141" s="3011">
        <v>5.94</v>
      </c>
      <c r="H141" s="3004" t="s">
        <v>1373</v>
      </c>
      <c r="I141" s="3007" t="s">
        <v>3440</v>
      </c>
      <c r="J141" s="3010">
        <f t="shared" si="17"/>
        <v>56156</v>
      </c>
      <c r="K141" s="3007" t="str">
        <f t="shared" si="18"/>
        <v>12层</v>
      </c>
      <c r="L141" s="3007" t="str">
        <f t="shared" si="14"/>
        <v>7层</v>
      </c>
      <c r="N141" s="3002">
        <f t="shared" ca="1" si="15"/>
        <v>557112</v>
      </c>
      <c r="O141" s="3002">
        <f t="shared" ca="1" si="16"/>
        <v>56</v>
      </c>
    </row>
    <row r="142" spans="1:15" ht="24">
      <c r="A142" s="3007">
        <v>139</v>
      </c>
      <c r="B142" s="3007" t="s">
        <v>3198</v>
      </c>
      <c r="C142" s="3004" t="s">
        <v>3477</v>
      </c>
      <c r="D142" s="3007" t="s">
        <v>3729</v>
      </c>
      <c r="E142" s="3008" t="s">
        <v>3730</v>
      </c>
      <c r="F142" s="3011">
        <v>53.19</v>
      </c>
      <c r="G142" s="3011">
        <v>5.94</v>
      </c>
      <c r="H142" s="3004" t="s">
        <v>1373</v>
      </c>
      <c r="I142" s="3007" t="s">
        <v>3440</v>
      </c>
      <c r="J142" s="3010">
        <f t="shared" si="17"/>
        <v>56156</v>
      </c>
      <c r="K142" s="3007" t="str">
        <f t="shared" si="18"/>
        <v>12层</v>
      </c>
      <c r="L142" s="3007" t="str">
        <f t="shared" si="14"/>
        <v>7层</v>
      </c>
      <c r="N142" s="3002">
        <f t="shared" ca="1" si="15"/>
        <v>557112</v>
      </c>
      <c r="O142" s="3002">
        <f t="shared" ca="1" si="16"/>
        <v>56</v>
      </c>
    </row>
    <row r="143" spans="1:15" ht="24">
      <c r="A143" s="3007">
        <v>140</v>
      </c>
      <c r="B143" s="3007" t="s">
        <v>3199</v>
      </c>
      <c r="C143" s="3004" t="s">
        <v>3477</v>
      </c>
      <c r="D143" s="3007" t="s">
        <v>3731</v>
      </c>
      <c r="E143" s="3008" t="s">
        <v>3732</v>
      </c>
      <c r="F143" s="3011">
        <v>53.17</v>
      </c>
      <c r="G143" s="3011">
        <v>5.93</v>
      </c>
      <c r="H143" s="3004" t="s">
        <v>1373</v>
      </c>
      <c r="I143" s="3007" t="s">
        <v>3440</v>
      </c>
      <c r="J143" s="3010">
        <f t="shared" si="17"/>
        <v>56156</v>
      </c>
      <c r="K143" s="3007" t="str">
        <f t="shared" si="18"/>
        <v>12层</v>
      </c>
      <c r="L143" s="3007" t="str">
        <f t="shared" si="14"/>
        <v>7层</v>
      </c>
      <c r="N143" s="3002">
        <f t="shared" ca="1" si="15"/>
        <v>556903</v>
      </c>
      <c r="O143" s="3002">
        <f t="shared" ca="1" si="16"/>
        <v>56</v>
      </c>
    </row>
    <row r="144" spans="1:15" ht="24">
      <c r="A144" s="3007">
        <v>141</v>
      </c>
      <c r="B144" s="3007" t="s">
        <v>3200</v>
      </c>
      <c r="C144" s="3004" t="s">
        <v>3477</v>
      </c>
      <c r="D144" s="3007" t="s">
        <v>3733</v>
      </c>
      <c r="E144" s="3008" t="s">
        <v>3734</v>
      </c>
      <c r="F144" s="3011">
        <v>73.2</v>
      </c>
      <c r="G144" s="3011">
        <v>8.17</v>
      </c>
      <c r="H144" s="3004" t="s">
        <v>1373</v>
      </c>
      <c r="I144" s="3007" t="s">
        <v>3440</v>
      </c>
      <c r="J144" s="3010">
        <f t="shared" si="17"/>
        <v>56156</v>
      </c>
      <c r="K144" s="3007" t="str">
        <f t="shared" si="18"/>
        <v>12层</v>
      </c>
      <c r="L144" s="3007" t="str">
        <f t="shared" si="14"/>
        <v>7层</v>
      </c>
      <c r="N144" s="3002">
        <f t="shared" ca="1" si="15"/>
        <v>766697</v>
      </c>
      <c r="O144" s="3002">
        <f t="shared" ca="1" si="16"/>
        <v>77</v>
      </c>
    </row>
    <row r="145" spans="1:15" ht="24">
      <c r="A145" s="3007">
        <v>142</v>
      </c>
      <c r="B145" s="3007" t="s">
        <v>3201</v>
      </c>
      <c r="C145" s="3004" t="s">
        <v>3477</v>
      </c>
      <c r="D145" s="3007" t="s">
        <v>3735</v>
      </c>
      <c r="E145" s="3008" t="s">
        <v>3736</v>
      </c>
      <c r="F145" s="3011">
        <v>72.569999999999993</v>
      </c>
      <c r="G145" s="3011">
        <v>8.1</v>
      </c>
      <c r="H145" s="3004" t="s">
        <v>1373</v>
      </c>
      <c r="I145" s="3007" t="s">
        <v>3440</v>
      </c>
      <c r="J145" s="3010">
        <f t="shared" si="17"/>
        <v>56156</v>
      </c>
      <c r="K145" s="3007" t="str">
        <f t="shared" si="18"/>
        <v>12层</v>
      </c>
      <c r="L145" s="3007" t="str">
        <f t="shared" si="14"/>
        <v>7层</v>
      </c>
      <c r="N145" s="3002">
        <f t="shared" ca="1" si="15"/>
        <v>760098</v>
      </c>
      <c r="O145" s="3002">
        <f t="shared" ca="1" si="16"/>
        <v>76</v>
      </c>
    </row>
    <row r="146" spans="1:15" ht="24">
      <c r="A146" s="3007">
        <v>143</v>
      </c>
      <c r="B146" s="3007" t="s">
        <v>3202</v>
      </c>
      <c r="C146" s="3004" t="s">
        <v>3477</v>
      </c>
      <c r="D146" s="3007" t="s">
        <v>3737</v>
      </c>
      <c r="E146" s="3008" t="s">
        <v>3738</v>
      </c>
      <c r="F146" s="3011">
        <v>53.17</v>
      </c>
      <c r="G146" s="3011">
        <v>5.93</v>
      </c>
      <c r="H146" s="3004" t="s">
        <v>1373</v>
      </c>
      <c r="I146" s="3007" t="s">
        <v>3440</v>
      </c>
      <c r="J146" s="3010">
        <f t="shared" si="17"/>
        <v>56156</v>
      </c>
      <c r="K146" s="3007" t="str">
        <f t="shared" si="18"/>
        <v>12层</v>
      </c>
      <c r="L146" s="3007" t="str">
        <f t="shared" si="14"/>
        <v>7层</v>
      </c>
      <c r="N146" s="3002">
        <f t="shared" ca="1" si="15"/>
        <v>556903</v>
      </c>
      <c r="O146" s="3002">
        <f t="shared" ca="1" si="16"/>
        <v>56</v>
      </c>
    </row>
    <row r="147" spans="1:15" ht="24">
      <c r="A147" s="3007">
        <v>144</v>
      </c>
      <c r="B147" s="3007" t="s">
        <v>3203</v>
      </c>
      <c r="C147" s="3004" t="s">
        <v>3477</v>
      </c>
      <c r="D147" s="3007" t="s">
        <v>3739</v>
      </c>
      <c r="E147" s="3008" t="s">
        <v>3740</v>
      </c>
      <c r="F147" s="3011">
        <v>53.19</v>
      </c>
      <c r="G147" s="3011">
        <v>5.94</v>
      </c>
      <c r="H147" s="3004" t="s">
        <v>1373</v>
      </c>
      <c r="I147" s="3007" t="s">
        <v>3440</v>
      </c>
      <c r="J147" s="3010">
        <f t="shared" si="17"/>
        <v>56156</v>
      </c>
      <c r="K147" s="3007" t="str">
        <f t="shared" si="18"/>
        <v>12层</v>
      </c>
      <c r="L147" s="3007" t="str">
        <f t="shared" si="14"/>
        <v>7层</v>
      </c>
      <c r="N147" s="3002">
        <f t="shared" ca="1" si="15"/>
        <v>557112</v>
      </c>
      <c r="O147" s="3002">
        <f t="shared" ca="1" si="16"/>
        <v>56</v>
      </c>
    </row>
    <row r="148" spans="1:15" ht="24">
      <c r="A148" s="3007">
        <v>145</v>
      </c>
      <c r="B148" s="3007" t="s">
        <v>3204</v>
      </c>
      <c r="C148" s="3004" t="s">
        <v>3477</v>
      </c>
      <c r="D148" s="3007" t="s">
        <v>3741</v>
      </c>
      <c r="E148" s="3008" t="s">
        <v>3742</v>
      </c>
      <c r="F148" s="3011">
        <v>52.53</v>
      </c>
      <c r="G148" s="3011">
        <v>5.86</v>
      </c>
      <c r="H148" s="3004" t="s">
        <v>1373</v>
      </c>
      <c r="I148" s="3007" t="s">
        <v>3440</v>
      </c>
      <c r="J148" s="3010">
        <f t="shared" si="17"/>
        <v>56156</v>
      </c>
      <c r="K148" s="3007" t="str">
        <f t="shared" si="18"/>
        <v>12层</v>
      </c>
      <c r="L148" s="3007" t="str">
        <f t="shared" si="14"/>
        <v>7层</v>
      </c>
      <c r="N148" s="3002">
        <f t="shared" ca="1" si="15"/>
        <v>550199</v>
      </c>
      <c r="O148" s="3002">
        <f t="shared" ca="1" si="16"/>
        <v>55</v>
      </c>
    </row>
    <row r="149" spans="1:15" ht="24">
      <c r="A149" s="3007">
        <v>146</v>
      </c>
      <c r="B149" s="3007" t="s">
        <v>3205</v>
      </c>
      <c r="C149" s="3004" t="s">
        <v>3477</v>
      </c>
      <c r="D149" s="3007" t="s">
        <v>3743</v>
      </c>
      <c r="E149" s="3008" t="s">
        <v>3744</v>
      </c>
      <c r="F149" s="3011">
        <v>64.930000000000007</v>
      </c>
      <c r="G149" s="3011">
        <v>7.25</v>
      </c>
      <c r="H149" s="3004" t="s">
        <v>1373</v>
      </c>
      <c r="I149" s="3007" t="s">
        <v>3440</v>
      </c>
      <c r="J149" s="3010">
        <f t="shared" si="17"/>
        <v>56156</v>
      </c>
      <c r="K149" s="3007" t="str">
        <f t="shared" si="18"/>
        <v>12层</v>
      </c>
      <c r="L149" s="3007" t="str">
        <f t="shared" si="14"/>
        <v>7层</v>
      </c>
      <c r="N149" s="3002">
        <f t="shared" ca="1" si="15"/>
        <v>680077</v>
      </c>
      <c r="O149" s="3002">
        <f t="shared" ca="1" si="16"/>
        <v>68</v>
      </c>
    </row>
    <row r="150" spans="1:15" ht="24">
      <c r="A150" s="3007">
        <v>147</v>
      </c>
      <c r="B150" s="3007" t="s">
        <v>3206</v>
      </c>
      <c r="C150" s="3004" t="s">
        <v>3477</v>
      </c>
      <c r="D150" s="3007" t="s">
        <v>3745</v>
      </c>
      <c r="E150" s="3008" t="s">
        <v>3746</v>
      </c>
      <c r="F150" s="3011">
        <v>51.1</v>
      </c>
      <c r="G150" s="3011">
        <v>5.7</v>
      </c>
      <c r="H150" s="3004" t="s">
        <v>1373</v>
      </c>
      <c r="I150" s="3007" t="s">
        <v>3440</v>
      </c>
      <c r="J150" s="3010">
        <f t="shared" si="17"/>
        <v>56156</v>
      </c>
      <c r="K150" s="3007" t="str">
        <f t="shared" si="18"/>
        <v>12层</v>
      </c>
      <c r="L150" s="3007" t="s">
        <v>3747</v>
      </c>
      <c r="N150" s="3002">
        <f t="shared" ca="1" si="15"/>
        <v>535221</v>
      </c>
      <c r="O150" s="3002">
        <f t="shared" ca="1" si="16"/>
        <v>54</v>
      </c>
    </row>
    <row r="151" spans="1:15" ht="24">
      <c r="A151" s="3007">
        <v>148</v>
      </c>
      <c r="B151" s="3007" t="s">
        <v>3207</v>
      </c>
      <c r="C151" s="3004" t="s">
        <v>3477</v>
      </c>
      <c r="D151" s="3007" t="s">
        <v>3748</v>
      </c>
      <c r="E151" s="3008" t="s">
        <v>3749</v>
      </c>
      <c r="F151" s="3011">
        <v>52.87</v>
      </c>
      <c r="G151" s="3011">
        <v>5.9</v>
      </c>
      <c r="H151" s="3004" t="s">
        <v>1373</v>
      </c>
      <c r="I151" s="3007" t="s">
        <v>3440</v>
      </c>
      <c r="J151" s="3010">
        <f t="shared" si="17"/>
        <v>56156</v>
      </c>
      <c r="K151" s="3007" t="str">
        <f t="shared" si="18"/>
        <v>12层</v>
      </c>
      <c r="L151" s="3007" t="str">
        <f>$L$150</f>
        <v>8层</v>
      </c>
      <c r="N151" s="3002">
        <f t="shared" ca="1" si="15"/>
        <v>553760</v>
      </c>
      <c r="O151" s="3002">
        <f t="shared" ca="1" si="16"/>
        <v>55</v>
      </c>
    </row>
    <row r="152" spans="1:15" ht="24">
      <c r="A152" s="3007">
        <v>149</v>
      </c>
      <c r="B152" s="3007" t="s">
        <v>3208</v>
      </c>
      <c r="C152" s="3004" t="s">
        <v>3621</v>
      </c>
      <c r="D152" s="3007" t="s">
        <v>3750</v>
      </c>
      <c r="E152" s="3008" t="s">
        <v>3751</v>
      </c>
      <c r="F152" s="3011">
        <v>52.86</v>
      </c>
      <c r="G152" s="3011">
        <v>5.9</v>
      </c>
      <c r="H152" s="3004" t="s">
        <v>1373</v>
      </c>
      <c r="I152" s="3007" t="s">
        <v>3440</v>
      </c>
      <c r="J152" s="3010">
        <f t="shared" si="17"/>
        <v>56156</v>
      </c>
      <c r="K152" s="3007" t="str">
        <f t="shared" si="18"/>
        <v>12层</v>
      </c>
      <c r="L152" s="3007" t="str">
        <f t="shared" ref="L152:L170" si="19">$L$150</f>
        <v>8层</v>
      </c>
      <c r="N152" s="3002">
        <f t="shared" ca="1" si="15"/>
        <v>553656</v>
      </c>
      <c r="O152" s="3002">
        <f t="shared" ca="1" si="16"/>
        <v>55</v>
      </c>
    </row>
    <row r="153" spans="1:15" ht="24">
      <c r="A153" s="3007">
        <v>150</v>
      </c>
      <c r="B153" s="3007" t="s">
        <v>3209</v>
      </c>
      <c r="C153" s="3004" t="s">
        <v>3621</v>
      </c>
      <c r="D153" s="3007" t="s">
        <v>3752</v>
      </c>
      <c r="E153" s="3008" t="s">
        <v>3753</v>
      </c>
      <c r="F153" s="3011">
        <v>52.87</v>
      </c>
      <c r="G153" s="3011">
        <v>5.9</v>
      </c>
      <c r="H153" s="3004" t="s">
        <v>1373</v>
      </c>
      <c r="I153" s="3007" t="s">
        <v>3665</v>
      </c>
      <c r="J153" s="3010">
        <f t="shared" si="17"/>
        <v>56156</v>
      </c>
      <c r="K153" s="3007" t="str">
        <f t="shared" si="18"/>
        <v>12层</v>
      </c>
      <c r="L153" s="3007" t="str">
        <f t="shared" si="19"/>
        <v>8层</v>
      </c>
      <c r="N153" s="3002">
        <f t="shared" ca="1" si="15"/>
        <v>553760</v>
      </c>
      <c r="O153" s="3002">
        <f t="shared" ca="1" si="16"/>
        <v>55</v>
      </c>
    </row>
    <row r="154" spans="1:15" ht="24">
      <c r="A154" s="3007">
        <v>151</v>
      </c>
      <c r="B154" s="3007" t="s">
        <v>3210</v>
      </c>
      <c r="C154" s="3004" t="s">
        <v>3621</v>
      </c>
      <c r="D154" s="3007" t="s">
        <v>3754</v>
      </c>
      <c r="E154" s="3008" t="s">
        <v>3755</v>
      </c>
      <c r="F154" s="3011">
        <v>71.400000000000006</v>
      </c>
      <c r="G154" s="3011">
        <v>7.97</v>
      </c>
      <c r="H154" s="3004" t="s">
        <v>1373</v>
      </c>
      <c r="I154" s="3007" t="s">
        <v>3665</v>
      </c>
      <c r="J154" s="3010">
        <f t="shared" si="17"/>
        <v>56156</v>
      </c>
      <c r="K154" s="3007" t="str">
        <f t="shared" si="18"/>
        <v>12层</v>
      </c>
      <c r="L154" s="3007" t="str">
        <f t="shared" si="19"/>
        <v>8层</v>
      </c>
      <c r="N154" s="3002">
        <f t="shared" ca="1" si="15"/>
        <v>747844</v>
      </c>
      <c r="O154" s="3002">
        <f t="shared" ca="1" si="16"/>
        <v>75</v>
      </c>
    </row>
    <row r="155" spans="1:15" ht="24">
      <c r="A155" s="3007">
        <v>152</v>
      </c>
      <c r="B155" s="3007" t="s">
        <v>3211</v>
      </c>
      <c r="C155" s="3004" t="s">
        <v>3621</v>
      </c>
      <c r="D155" s="3007" t="s">
        <v>3756</v>
      </c>
      <c r="E155" s="3008" t="s">
        <v>3757</v>
      </c>
      <c r="F155" s="3011">
        <v>71.819999999999993</v>
      </c>
      <c r="G155" s="3011">
        <v>8.01</v>
      </c>
      <c r="H155" s="3004" t="s">
        <v>1373</v>
      </c>
      <c r="I155" s="3007" t="s">
        <v>3665</v>
      </c>
      <c r="J155" s="3010">
        <f t="shared" si="17"/>
        <v>56156</v>
      </c>
      <c r="K155" s="3007" t="str">
        <f t="shared" si="18"/>
        <v>12层</v>
      </c>
      <c r="L155" s="3007" t="str">
        <f t="shared" si="19"/>
        <v>8层</v>
      </c>
      <c r="N155" s="3002">
        <f t="shared" ca="1" si="15"/>
        <v>752243</v>
      </c>
      <c r="O155" s="3002">
        <f t="shared" ca="1" si="16"/>
        <v>75</v>
      </c>
    </row>
    <row r="156" spans="1:15" ht="24">
      <c r="A156" s="3007">
        <v>153</v>
      </c>
      <c r="B156" s="3007" t="s">
        <v>3212</v>
      </c>
      <c r="C156" s="3004" t="s">
        <v>3621</v>
      </c>
      <c r="D156" s="3007" t="s">
        <v>3758</v>
      </c>
      <c r="E156" s="3008" t="s">
        <v>3759</v>
      </c>
      <c r="F156" s="3011">
        <v>52.47</v>
      </c>
      <c r="G156" s="3011">
        <v>5.86</v>
      </c>
      <c r="H156" s="3004" t="s">
        <v>1373</v>
      </c>
      <c r="I156" s="3007" t="s">
        <v>3665</v>
      </c>
      <c r="J156" s="3010">
        <f t="shared" si="17"/>
        <v>56156</v>
      </c>
      <c r="K156" s="3007" t="str">
        <f t="shared" si="18"/>
        <v>12层</v>
      </c>
      <c r="L156" s="3007" t="str">
        <f t="shared" si="19"/>
        <v>8层</v>
      </c>
      <c r="N156" s="3002">
        <f t="shared" ca="1" si="15"/>
        <v>549571</v>
      </c>
      <c r="O156" s="3002">
        <f t="shared" ca="1" si="16"/>
        <v>55</v>
      </c>
    </row>
    <row r="157" spans="1:15" ht="24">
      <c r="A157" s="3007">
        <v>154</v>
      </c>
      <c r="B157" s="3007" t="s">
        <v>3213</v>
      </c>
      <c r="C157" s="3004" t="s">
        <v>3621</v>
      </c>
      <c r="D157" s="3007" t="s">
        <v>3760</v>
      </c>
      <c r="E157" s="3008" t="s">
        <v>3761</v>
      </c>
      <c r="F157" s="3011">
        <v>53.33</v>
      </c>
      <c r="G157" s="3011">
        <v>5.95</v>
      </c>
      <c r="H157" s="3004" t="s">
        <v>1373</v>
      </c>
      <c r="I157" s="3007" t="s">
        <v>3665</v>
      </c>
      <c r="J157" s="3010">
        <f t="shared" si="17"/>
        <v>56156</v>
      </c>
      <c r="K157" s="3007" t="str">
        <f t="shared" si="18"/>
        <v>12层</v>
      </c>
      <c r="L157" s="3007" t="str">
        <f t="shared" si="19"/>
        <v>8层</v>
      </c>
      <c r="N157" s="3002">
        <f t="shared" ca="1" si="15"/>
        <v>558578</v>
      </c>
      <c r="O157" s="3002">
        <f t="shared" ca="1" si="16"/>
        <v>56</v>
      </c>
    </row>
    <row r="158" spans="1:15" ht="24">
      <c r="A158" s="3007">
        <v>155</v>
      </c>
      <c r="B158" s="3007" t="s">
        <v>3214</v>
      </c>
      <c r="C158" s="3004" t="s">
        <v>3621</v>
      </c>
      <c r="D158" s="3007" t="s">
        <v>3762</v>
      </c>
      <c r="E158" s="3008" t="s">
        <v>3763</v>
      </c>
      <c r="F158" s="3011">
        <v>61.47</v>
      </c>
      <c r="G158" s="3011">
        <v>6.86</v>
      </c>
      <c r="H158" s="3004" t="s">
        <v>1373</v>
      </c>
      <c r="I158" s="3007" t="s">
        <v>3665</v>
      </c>
      <c r="J158" s="3010">
        <f t="shared" si="17"/>
        <v>56156</v>
      </c>
      <c r="K158" s="3007" t="str">
        <f t="shared" si="18"/>
        <v>12层</v>
      </c>
      <c r="L158" s="3007" t="str">
        <f t="shared" si="19"/>
        <v>8层</v>
      </c>
      <c r="N158" s="3002">
        <f t="shared" ca="1" si="15"/>
        <v>643837</v>
      </c>
      <c r="O158" s="3002">
        <f t="shared" ca="1" si="16"/>
        <v>64</v>
      </c>
    </row>
    <row r="159" spans="1:15" ht="24">
      <c r="A159" s="3007">
        <v>156</v>
      </c>
      <c r="B159" s="3007" t="s">
        <v>3215</v>
      </c>
      <c r="C159" s="3004" t="s">
        <v>3621</v>
      </c>
      <c r="D159" s="3007" t="s">
        <v>3764</v>
      </c>
      <c r="E159" s="3008" t="s">
        <v>3765</v>
      </c>
      <c r="F159" s="3011">
        <v>66.06</v>
      </c>
      <c r="G159" s="3011">
        <v>7.37</v>
      </c>
      <c r="H159" s="3004" t="s">
        <v>1373</v>
      </c>
      <c r="I159" s="3007" t="s">
        <v>3665</v>
      </c>
      <c r="J159" s="3010">
        <f t="shared" si="17"/>
        <v>56156</v>
      </c>
      <c r="K159" s="3007" t="str">
        <f t="shared" si="18"/>
        <v>12层</v>
      </c>
      <c r="L159" s="3007" t="str">
        <f t="shared" si="19"/>
        <v>8层</v>
      </c>
      <c r="N159" s="3002">
        <f t="shared" ca="1" si="15"/>
        <v>691912</v>
      </c>
      <c r="O159" s="3002">
        <f t="shared" ca="1" si="16"/>
        <v>69</v>
      </c>
    </row>
    <row r="160" spans="1:15" ht="24">
      <c r="A160" s="3007">
        <v>157</v>
      </c>
      <c r="B160" s="3007" t="s">
        <v>3216</v>
      </c>
      <c r="C160" s="3004" t="s">
        <v>3621</v>
      </c>
      <c r="D160" s="3007" t="s">
        <v>3766</v>
      </c>
      <c r="E160" s="3008" t="s">
        <v>3767</v>
      </c>
      <c r="F160" s="3011">
        <v>60.87</v>
      </c>
      <c r="G160" s="3011">
        <v>6.79</v>
      </c>
      <c r="H160" s="3004" t="s">
        <v>1373</v>
      </c>
      <c r="I160" s="3007" t="s">
        <v>3665</v>
      </c>
      <c r="J160" s="3010">
        <f t="shared" si="17"/>
        <v>56156</v>
      </c>
      <c r="K160" s="3007" t="str">
        <f t="shared" si="18"/>
        <v>12层</v>
      </c>
      <c r="L160" s="3007" t="str">
        <f t="shared" si="19"/>
        <v>8层</v>
      </c>
      <c r="N160" s="3002">
        <f t="shared" ca="1" si="15"/>
        <v>637552</v>
      </c>
      <c r="O160" s="3002">
        <f t="shared" ca="1" si="16"/>
        <v>64</v>
      </c>
    </row>
    <row r="161" spans="1:15" ht="24">
      <c r="A161" s="3007">
        <v>158</v>
      </c>
      <c r="B161" s="3007" t="s">
        <v>3217</v>
      </c>
      <c r="C161" s="3004" t="s">
        <v>3621</v>
      </c>
      <c r="D161" s="3007" t="s">
        <v>3768</v>
      </c>
      <c r="E161" s="3008" t="s">
        <v>3769</v>
      </c>
      <c r="F161" s="3011">
        <v>53.25</v>
      </c>
      <c r="G161" s="3011">
        <v>5.94</v>
      </c>
      <c r="H161" s="3004" t="s">
        <v>1373</v>
      </c>
      <c r="I161" s="3007" t="s">
        <v>3665</v>
      </c>
      <c r="J161" s="3010">
        <f t="shared" si="17"/>
        <v>56156</v>
      </c>
      <c r="K161" s="3007" t="str">
        <f t="shared" si="18"/>
        <v>12层</v>
      </c>
      <c r="L161" s="3007" t="str">
        <f t="shared" si="19"/>
        <v>8层</v>
      </c>
      <c r="N161" s="3002">
        <f t="shared" ca="1" si="15"/>
        <v>557741</v>
      </c>
      <c r="O161" s="3002">
        <f t="shared" ca="1" si="16"/>
        <v>56</v>
      </c>
    </row>
    <row r="162" spans="1:15" ht="24">
      <c r="A162" s="3007">
        <v>159</v>
      </c>
      <c r="B162" s="3007" t="s">
        <v>3218</v>
      </c>
      <c r="C162" s="3004" t="s">
        <v>3621</v>
      </c>
      <c r="D162" s="3007" t="s">
        <v>3770</v>
      </c>
      <c r="E162" s="3008" t="s">
        <v>3771</v>
      </c>
      <c r="F162" s="3011">
        <v>53.19</v>
      </c>
      <c r="G162" s="3011">
        <v>5.94</v>
      </c>
      <c r="H162" s="3004" t="s">
        <v>1373</v>
      </c>
      <c r="I162" s="3007" t="s">
        <v>3665</v>
      </c>
      <c r="J162" s="3010">
        <f t="shared" si="17"/>
        <v>56156</v>
      </c>
      <c r="K162" s="3007" t="str">
        <f t="shared" si="18"/>
        <v>12层</v>
      </c>
      <c r="L162" s="3007" t="str">
        <f t="shared" si="19"/>
        <v>8层</v>
      </c>
      <c r="N162" s="3002">
        <f t="shared" ca="1" si="15"/>
        <v>557112</v>
      </c>
      <c r="O162" s="3002">
        <f t="shared" ca="1" si="16"/>
        <v>56</v>
      </c>
    </row>
    <row r="163" spans="1:15" ht="24">
      <c r="A163" s="3007">
        <v>160</v>
      </c>
      <c r="B163" s="3007" t="s">
        <v>3219</v>
      </c>
      <c r="C163" s="3004" t="s">
        <v>3621</v>
      </c>
      <c r="D163" s="3007" t="s">
        <v>3772</v>
      </c>
      <c r="E163" s="3008" t="s">
        <v>3773</v>
      </c>
      <c r="F163" s="3011">
        <v>53.19</v>
      </c>
      <c r="G163" s="3011">
        <v>5.94</v>
      </c>
      <c r="H163" s="3004" t="s">
        <v>1373</v>
      </c>
      <c r="I163" s="3007" t="s">
        <v>3665</v>
      </c>
      <c r="J163" s="3010">
        <f t="shared" si="17"/>
        <v>56156</v>
      </c>
      <c r="K163" s="3007" t="str">
        <f t="shared" si="18"/>
        <v>12层</v>
      </c>
      <c r="L163" s="3007" t="str">
        <f t="shared" si="19"/>
        <v>8层</v>
      </c>
      <c r="N163" s="3002">
        <f t="shared" ca="1" si="15"/>
        <v>557112</v>
      </c>
      <c r="O163" s="3002">
        <f t="shared" ca="1" si="16"/>
        <v>56</v>
      </c>
    </row>
    <row r="164" spans="1:15" ht="24">
      <c r="A164" s="3007">
        <v>161</v>
      </c>
      <c r="B164" s="3007" t="s">
        <v>3220</v>
      </c>
      <c r="C164" s="3004" t="s">
        <v>3621</v>
      </c>
      <c r="D164" s="3007" t="s">
        <v>3774</v>
      </c>
      <c r="E164" s="3008" t="s">
        <v>3775</v>
      </c>
      <c r="F164" s="3011">
        <v>53.17</v>
      </c>
      <c r="G164" s="3011">
        <v>5.93</v>
      </c>
      <c r="H164" s="3004" t="s">
        <v>1373</v>
      </c>
      <c r="I164" s="3007" t="s">
        <v>3665</v>
      </c>
      <c r="J164" s="3010">
        <f t="shared" si="17"/>
        <v>56156</v>
      </c>
      <c r="K164" s="3007" t="str">
        <f t="shared" si="18"/>
        <v>12层</v>
      </c>
      <c r="L164" s="3007" t="str">
        <f t="shared" si="19"/>
        <v>8层</v>
      </c>
      <c r="N164" s="3002">
        <f t="shared" ca="1" si="15"/>
        <v>556903</v>
      </c>
      <c r="O164" s="3002">
        <f t="shared" ca="1" si="16"/>
        <v>56</v>
      </c>
    </row>
    <row r="165" spans="1:15" ht="24">
      <c r="A165" s="3007">
        <v>162</v>
      </c>
      <c r="B165" s="3007" t="s">
        <v>3221</v>
      </c>
      <c r="C165" s="3004" t="s">
        <v>3621</v>
      </c>
      <c r="D165" s="3007" t="s">
        <v>3776</v>
      </c>
      <c r="E165" s="3008" t="s">
        <v>3777</v>
      </c>
      <c r="F165" s="3011">
        <v>73.2</v>
      </c>
      <c r="G165" s="3011">
        <v>8.17</v>
      </c>
      <c r="H165" s="3004" t="s">
        <v>1373</v>
      </c>
      <c r="I165" s="3007" t="s">
        <v>3665</v>
      </c>
      <c r="J165" s="3010">
        <f t="shared" si="17"/>
        <v>56156</v>
      </c>
      <c r="K165" s="3007" t="str">
        <f t="shared" si="18"/>
        <v>12层</v>
      </c>
      <c r="L165" s="3007" t="str">
        <f t="shared" si="19"/>
        <v>8层</v>
      </c>
      <c r="N165" s="3002">
        <f t="shared" ca="1" si="15"/>
        <v>766697</v>
      </c>
      <c r="O165" s="3002">
        <f t="shared" ca="1" si="16"/>
        <v>77</v>
      </c>
    </row>
    <row r="166" spans="1:15" ht="24">
      <c r="A166" s="3007">
        <v>163</v>
      </c>
      <c r="B166" s="3007" t="s">
        <v>3222</v>
      </c>
      <c r="C166" s="3004" t="s">
        <v>3621</v>
      </c>
      <c r="D166" s="3007" t="s">
        <v>3778</v>
      </c>
      <c r="E166" s="3008" t="s">
        <v>3779</v>
      </c>
      <c r="F166" s="3011">
        <v>72.569999999999993</v>
      </c>
      <c r="G166" s="3011">
        <v>8.1</v>
      </c>
      <c r="H166" s="3004" t="s">
        <v>1373</v>
      </c>
      <c r="I166" s="3007" t="s">
        <v>3665</v>
      </c>
      <c r="J166" s="3010">
        <f t="shared" si="17"/>
        <v>56156</v>
      </c>
      <c r="K166" s="3007" t="str">
        <f t="shared" si="18"/>
        <v>12层</v>
      </c>
      <c r="L166" s="3007" t="str">
        <f t="shared" si="19"/>
        <v>8层</v>
      </c>
      <c r="N166" s="3002">
        <f t="shared" ca="1" si="15"/>
        <v>760098</v>
      </c>
      <c r="O166" s="3002">
        <f t="shared" ca="1" si="16"/>
        <v>76</v>
      </c>
    </row>
    <row r="167" spans="1:15" ht="24">
      <c r="A167" s="3007">
        <v>164</v>
      </c>
      <c r="B167" s="3007" t="s">
        <v>3223</v>
      </c>
      <c r="C167" s="3004" t="s">
        <v>3621</v>
      </c>
      <c r="D167" s="3007" t="s">
        <v>3780</v>
      </c>
      <c r="E167" s="3008" t="s">
        <v>3781</v>
      </c>
      <c r="F167" s="3011">
        <v>53.17</v>
      </c>
      <c r="G167" s="3011">
        <v>5.93</v>
      </c>
      <c r="H167" s="3004" t="s">
        <v>1373</v>
      </c>
      <c r="I167" s="3007" t="s">
        <v>3665</v>
      </c>
      <c r="J167" s="3010">
        <f t="shared" si="17"/>
        <v>56156</v>
      </c>
      <c r="K167" s="3007" t="str">
        <f t="shared" si="18"/>
        <v>12层</v>
      </c>
      <c r="L167" s="3007" t="str">
        <f t="shared" si="19"/>
        <v>8层</v>
      </c>
      <c r="N167" s="3002">
        <f t="shared" ca="1" si="15"/>
        <v>556903</v>
      </c>
      <c r="O167" s="3002">
        <f t="shared" ca="1" si="16"/>
        <v>56</v>
      </c>
    </row>
    <row r="168" spans="1:15" ht="24">
      <c r="A168" s="3007">
        <v>165</v>
      </c>
      <c r="B168" s="3007" t="s">
        <v>3224</v>
      </c>
      <c r="C168" s="3004" t="s">
        <v>3621</v>
      </c>
      <c r="D168" s="3007" t="s">
        <v>3782</v>
      </c>
      <c r="E168" s="3008" t="s">
        <v>3783</v>
      </c>
      <c r="F168" s="3011">
        <v>53.19</v>
      </c>
      <c r="G168" s="3011">
        <v>5.94</v>
      </c>
      <c r="H168" s="3004" t="s">
        <v>1373</v>
      </c>
      <c r="I168" s="3007" t="s">
        <v>3440</v>
      </c>
      <c r="J168" s="3010">
        <f t="shared" si="17"/>
        <v>56156</v>
      </c>
      <c r="K168" s="3007" t="str">
        <f t="shared" si="18"/>
        <v>12层</v>
      </c>
      <c r="L168" s="3007" t="str">
        <f t="shared" si="19"/>
        <v>8层</v>
      </c>
      <c r="N168" s="3002">
        <f t="shared" ca="1" si="15"/>
        <v>557112</v>
      </c>
      <c r="O168" s="3002">
        <f t="shared" ca="1" si="16"/>
        <v>56</v>
      </c>
    </row>
    <row r="169" spans="1:15" ht="24">
      <c r="A169" s="3007">
        <v>166</v>
      </c>
      <c r="B169" s="3007" t="s">
        <v>3225</v>
      </c>
      <c r="C169" s="3004" t="s">
        <v>3477</v>
      </c>
      <c r="D169" s="3007" t="s">
        <v>3784</v>
      </c>
      <c r="E169" s="3008" t="s">
        <v>3785</v>
      </c>
      <c r="F169" s="3011">
        <v>52.53</v>
      </c>
      <c r="G169" s="3011">
        <v>5.86</v>
      </c>
      <c r="H169" s="3004" t="s">
        <v>1373</v>
      </c>
      <c r="I169" s="3007" t="s">
        <v>3440</v>
      </c>
      <c r="J169" s="3010">
        <f t="shared" si="17"/>
        <v>56156</v>
      </c>
      <c r="K169" s="3007" t="str">
        <f t="shared" si="18"/>
        <v>12层</v>
      </c>
      <c r="L169" s="3007" t="str">
        <f t="shared" si="19"/>
        <v>8层</v>
      </c>
      <c r="N169" s="3002">
        <f t="shared" ca="1" si="15"/>
        <v>550199</v>
      </c>
      <c r="O169" s="3002">
        <f t="shared" ca="1" si="16"/>
        <v>55</v>
      </c>
    </row>
    <row r="170" spans="1:15" ht="24">
      <c r="A170" s="3007">
        <v>167</v>
      </c>
      <c r="B170" s="3007" t="s">
        <v>3226</v>
      </c>
      <c r="C170" s="3004" t="s">
        <v>3477</v>
      </c>
      <c r="D170" s="3007" t="s">
        <v>3786</v>
      </c>
      <c r="E170" s="3008" t="s">
        <v>3787</v>
      </c>
      <c r="F170" s="3011">
        <v>64.930000000000007</v>
      </c>
      <c r="G170" s="3011">
        <v>7.25</v>
      </c>
      <c r="H170" s="3004" t="s">
        <v>1373</v>
      </c>
      <c r="I170" s="3007" t="s">
        <v>3440</v>
      </c>
      <c r="J170" s="3010">
        <f t="shared" si="17"/>
        <v>56156</v>
      </c>
      <c r="K170" s="3007" t="str">
        <f t="shared" si="18"/>
        <v>12层</v>
      </c>
      <c r="L170" s="3007" t="str">
        <f t="shared" si="19"/>
        <v>8层</v>
      </c>
      <c r="N170" s="3002">
        <f t="shared" ca="1" si="15"/>
        <v>680077</v>
      </c>
      <c r="O170" s="3002">
        <f t="shared" ca="1" si="16"/>
        <v>68</v>
      </c>
    </row>
    <row r="171" spans="1:15" ht="24">
      <c r="A171" s="3007">
        <v>168</v>
      </c>
      <c r="B171" s="3007" t="s">
        <v>3227</v>
      </c>
      <c r="C171" s="3004" t="s">
        <v>3477</v>
      </c>
      <c r="D171" s="3007" t="s">
        <v>3788</v>
      </c>
      <c r="E171" s="3008" t="s">
        <v>3789</v>
      </c>
      <c r="F171" s="3011">
        <v>50.65</v>
      </c>
      <c r="G171" s="3011">
        <v>5.65</v>
      </c>
      <c r="H171" s="3004" t="s">
        <v>1373</v>
      </c>
      <c r="I171" s="3007" t="s">
        <v>3440</v>
      </c>
      <c r="J171" s="3010">
        <f t="shared" si="17"/>
        <v>56156</v>
      </c>
      <c r="K171" s="3007" t="str">
        <f t="shared" si="18"/>
        <v>12层</v>
      </c>
      <c r="L171" s="3007" t="s">
        <v>3790</v>
      </c>
      <c r="N171" s="3002">
        <f t="shared" ca="1" si="15"/>
        <v>530508</v>
      </c>
      <c r="O171" s="3002">
        <f t="shared" ca="1" si="16"/>
        <v>53</v>
      </c>
    </row>
    <row r="172" spans="1:15" ht="24">
      <c r="A172" s="3007">
        <v>169</v>
      </c>
      <c r="B172" s="3007" t="s">
        <v>3228</v>
      </c>
      <c r="C172" s="3004" t="s">
        <v>3477</v>
      </c>
      <c r="D172" s="3007" t="s">
        <v>3791</v>
      </c>
      <c r="E172" s="3008" t="s">
        <v>3792</v>
      </c>
      <c r="F172" s="3011">
        <v>52.4</v>
      </c>
      <c r="G172" s="3011">
        <v>5.85</v>
      </c>
      <c r="H172" s="3004" t="s">
        <v>1373</v>
      </c>
      <c r="I172" s="3007" t="s">
        <v>3440</v>
      </c>
      <c r="J172" s="3010">
        <f t="shared" si="17"/>
        <v>56156</v>
      </c>
      <c r="K172" s="3007" t="str">
        <f t="shared" si="18"/>
        <v>12层</v>
      </c>
      <c r="L172" s="3007" t="str">
        <f>$L$171</f>
        <v>9层</v>
      </c>
      <c r="N172" s="3002">
        <f t="shared" ca="1" si="15"/>
        <v>548838</v>
      </c>
      <c r="O172" s="3002">
        <f t="shared" ca="1" si="16"/>
        <v>55</v>
      </c>
    </row>
    <row r="173" spans="1:15" ht="24">
      <c r="A173" s="3007">
        <v>170</v>
      </c>
      <c r="B173" s="3007" t="s">
        <v>3229</v>
      </c>
      <c r="C173" s="3004" t="s">
        <v>3621</v>
      </c>
      <c r="D173" s="3007" t="s">
        <v>3793</v>
      </c>
      <c r="E173" s="3008" t="s">
        <v>3794</v>
      </c>
      <c r="F173" s="3011">
        <v>52.39</v>
      </c>
      <c r="G173" s="3011">
        <v>5.85</v>
      </c>
      <c r="H173" s="3004" t="s">
        <v>1373</v>
      </c>
      <c r="I173" s="3007" t="s">
        <v>3665</v>
      </c>
      <c r="J173" s="3010">
        <f t="shared" si="17"/>
        <v>56156</v>
      </c>
      <c r="K173" s="3007" t="str">
        <f t="shared" si="18"/>
        <v>12层</v>
      </c>
      <c r="L173" s="3007" t="str">
        <f t="shared" ref="L173:L193" si="20">$L$171</f>
        <v>9层</v>
      </c>
      <c r="N173" s="3002">
        <f t="shared" ca="1" si="15"/>
        <v>548733</v>
      </c>
      <c r="O173" s="3002">
        <f t="shared" ca="1" si="16"/>
        <v>55</v>
      </c>
    </row>
    <row r="174" spans="1:15" ht="24">
      <c r="A174" s="3007">
        <v>171</v>
      </c>
      <c r="B174" s="3007" t="s">
        <v>3230</v>
      </c>
      <c r="C174" s="3004" t="s">
        <v>3527</v>
      </c>
      <c r="D174" s="3007" t="s">
        <v>3795</v>
      </c>
      <c r="E174" s="3008" t="s">
        <v>3796</v>
      </c>
      <c r="F174" s="3011">
        <v>52.4</v>
      </c>
      <c r="G174" s="3011">
        <v>5.85</v>
      </c>
      <c r="H174" s="3004" t="s">
        <v>1373</v>
      </c>
      <c r="I174" s="3007" t="s">
        <v>3530</v>
      </c>
      <c r="J174" s="3010">
        <f t="shared" si="17"/>
        <v>56156</v>
      </c>
      <c r="K174" s="3007" t="str">
        <f t="shared" si="18"/>
        <v>12层</v>
      </c>
      <c r="L174" s="3007" t="str">
        <f t="shared" si="20"/>
        <v>9层</v>
      </c>
      <c r="N174" s="3002">
        <f t="shared" ca="1" si="15"/>
        <v>548838</v>
      </c>
      <c r="O174" s="3002">
        <f t="shared" ca="1" si="16"/>
        <v>55</v>
      </c>
    </row>
    <row r="175" spans="1:15" ht="24">
      <c r="A175" s="3007">
        <v>172</v>
      </c>
      <c r="B175" s="3007" t="s">
        <v>3231</v>
      </c>
      <c r="C175" s="3004" t="s">
        <v>3527</v>
      </c>
      <c r="D175" s="3007" t="s">
        <v>3797</v>
      </c>
      <c r="E175" s="3008" t="s">
        <v>3798</v>
      </c>
      <c r="F175" s="3011">
        <v>70.760000000000005</v>
      </c>
      <c r="G175" s="3011">
        <v>7.9</v>
      </c>
      <c r="H175" s="3004" t="s">
        <v>1373</v>
      </c>
      <c r="I175" s="3007" t="s">
        <v>3530</v>
      </c>
      <c r="J175" s="3010">
        <f t="shared" si="17"/>
        <v>56156</v>
      </c>
      <c r="K175" s="3007" t="str">
        <f t="shared" si="18"/>
        <v>12层</v>
      </c>
      <c r="L175" s="3007" t="str">
        <f t="shared" si="20"/>
        <v>9层</v>
      </c>
      <c r="N175" s="3002">
        <f t="shared" ca="1" si="15"/>
        <v>741140</v>
      </c>
      <c r="O175" s="3002">
        <f t="shared" ca="1" si="16"/>
        <v>74</v>
      </c>
    </row>
    <row r="176" spans="1:15" ht="24">
      <c r="A176" s="3007">
        <v>173</v>
      </c>
      <c r="B176" s="3007" t="s">
        <v>3232</v>
      </c>
      <c r="C176" s="3004" t="s">
        <v>3527</v>
      </c>
      <c r="D176" s="3007" t="s">
        <v>3799</v>
      </c>
      <c r="E176" s="3008" t="s">
        <v>3800</v>
      </c>
      <c r="F176" s="3011">
        <v>71.180000000000007</v>
      </c>
      <c r="G176" s="3011">
        <v>7.94</v>
      </c>
      <c r="H176" s="3004" t="s">
        <v>1373</v>
      </c>
      <c r="I176" s="3007" t="s">
        <v>3530</v>
      </c>
      <c r="J176" s="3010">
        <f t="shared" si="17"/>
        <v>56156</v>
      </c>
      <c r="K176" s="3007" t="str">
        <f t="shared" si="18"/>
        <v>12层</v>
      </c>
      <c r="L176" s="3007" t="str">
        <f t="shared" si="20"/>
        <v>9层</v>
      </c>
      <c r="N176" s="3002">
        <f t="shared" ca="1" si="15"/>
        <v>745539</v>
      </c>
      <c r="O176" s="3002">
        <f t="shared" ca="1" si="16"/>
        <v>75</v>
      </c>
    </row>
    <row r="177" spans="1:15" ht="24">
      <c r="A177" s="3007">
        <v>174</v>
      </c>
      <c r="B177" s="3007" t="s">
        <v>3233</v>
      </c>
      <c r="C177" s="3004" t="s">
        <v>3527</v>
      </c>
      <c r="D177" s="3007" t="s">
        <v>3801</v>
      </c>
      <c r="E177" s="3008" t="s">
        <v>3802</v>
      </c>
      <c r="F177" s="3011">
        <v>52</v>
      </c>
      <c r="G177" s="3011">
        <v>5.8</v>
      </c>
      <c r="H177" s="3004" t="s">
        <v>1373</v>
      </c>
      <c r="I177" s="3007" t="s">
        <v>3530</v>
      </c>
      <c r="J177" s="3010">
        <f t="shared" si="17"/>
        <v>56156</v>
      </c>
      <c r="K177" s="3007" t="str">
        <f t="shared" si="18"/>
        <v>12层</v>
      </c>
      <c r="L177" s="3007" t="str">
        <f t="shared" si="20"/>
        <v>9层</v>
      </c>
      <c r="N177" s="3002">
        <f t="shared" ca="1" si="15"/>
        <v>544648</v>
      </c>
      <c r="O177" s="3002">
        <f t="shared" ca="1" si="16"/>
        <v>54</v>
      </c>
    </row>
    <row r="178" spans="1:15" ht="24">
      <c r="A178" s="3007">
        <v>175</v>
      </c>
      <c r="B178" s="3007" t="s">
        <v>3234</v>
      </c>
      <c r="C178" s="3004" t="s">
        <v>3527</v>
      </c>
      <c r="D178" s="3007" t="s">
        <v>3803</v>
      </c>
      <c r="E178" s="3008" t="s">
        <v>3804</v>
      </c>
      <c r="F178" s="3011">
        <v>52.07</v>
      </c>
      <c r="G178" s="3011">
        <v>5.81</v>
      </c>
      <c r="H178" s="3004" t="s">
        <v>1373</v>
      </c>
      <c r="I178" s="3007" t="s">
        <v>3530</v>
      </c>
      <c r="J178" s="3010">
        <f t="shared" si="17"/>
        <v>56156</v>
      </c>
      <c r="K178" s="3007" t="str">
        <f t="shared" si="18"/>
        <v>12层</v>
      </c>
      <c r="L178" s="3007" t="str">
        <f t="shared" si="20"/>
        <v>9层</v>
      </c>
      <c r="N178" s="3002">
        <f t="shared" ca="1" si="15"/>
        <v>545381</v>
      </c>
      <c r="O178" s="3002">
        <f t="shared" ca="1" si="16"/>
        <v>55</v>
      </c>
    </row>
    <row r="179" spans="1:15" ht="24">
      <c r="A179" s="3007">
        <v>176</v>
      </c>
      <c r="B179" s="3007" t="s">
        <v>3235</v>
      </c>
      <c r="C179" s="3004" t="s">
        <v>3527</v>
      </c>
      <c r="D179" s="3007" t="s">
        <v>3805</v>
      </c>
      <c r="E179" s="3008" t="s">
        <v>3806</v>
      </c>
      <c r="F179" s="3011">
        <v>52.04</v>
      </c>
      <c r="G179" s="3011">
        <v>5.81</v>
      </c>
      <c r="H179" s="3004" t="s">
        <v>1373</v>
      </c>
      <c r="I179" s="3007" t="s">
        <v>3530</v>
      </c>
      <c r="J179" s="3010">
        <f t="shared" si="17"/>
        <v>56156</v>
      </c>
      <c r="K179" s="3007" t="str">
        <f t="shared" si="18"/>
        <v>12层</v>
      </c>
      <c r="L179" s="3007" t="str">
        <f t="shared" si="20"/>
        <v>9层</v>
      </c>
      <c r="N179" s="3002">
        <f t="shared" ca="1" si="15"/>
        <v>545067</v>
      </c>
      <c r="O179" s="3002">
        <f t="shared" ca="1" si="16"/>
        <v>55</v>
      </c>
    </row>
    <row r="180" spans="1:15" ht="24">
      <c r="A180" s="3007">
        <v>177</v>
      </c>
      <c r="B180" s="3007" t="s">
        <v>3236</v>
      </c>
      <c r="C180" s="3004" t="s">
        <v>3527</v>
      </c>
      <c r="D180" s="3007" t="s">
        <v>3807</v>
      </c>
      <c r="E180" s="3008" t="s">
        <v>3808</v>
      </c>
      <c r="F180" s="3011">
        <v>52.71</v>
      </c>
      <c r="G180" s="3011">
        <v>5.88</v>
      </c>
      <c r="H180" s="3004" t="s">
        <v>1373</v>
      </c>
      <c r="I180" s="3007" t="s">
        <v>3530</v>
      </c>
      <c r="J180" s="3010">
        <f t="shared" si="17"/>
        <v>56156</v>
      </c>
      <c r="K180" s="3007" t="str">
        <f t="shared" si="18"/>
        <v>12层</v>
      </c>
      <c r="L180" s="3007" t="str">
        <f t="shared" si="20"/>
        <v>9层</v>
      </c>
      <c r="N180" s="3002">
        <f t="shared" ca="1" si="15"/>
        <v>552085</v>
      </c>
      <c r="O180" s="3002">
        <f t="shared" ca="1" si="16"/>
        <v>55</v>
      </c>
    </row>
    <row r="181" spans="1:15" ht="24">
      <c r="A181" s="3007">
        <v>178</v>
      </c>
      <c r="B181" s="3007" t="s">
        <v>3237</v>
      </c>
      <c r="C181" s="3004" t="s">
        <v>3527</v>
      </c>
      <c r="D181" s="3007" t="s">
        <v>3809</v>
      </c>
      <c r="E181" s="3008" t="s">
        <v>3810</v>
      </c>
      <c r="F181" s="3011">
        <v>60.92</v>
      </c>
      <c r="G181" s="3011">
        <v>6.8</v>
      </c>
      <c r="H181" s="3004" t="s">
        <v>1373</v>
      </c>
      <c r="I181" s="3007" t="s">
        <v>3530</v>
      </c>
      <c r="J181" s="3010">
        <f t="shared" si="17"/>
        <v>56156</v>
      </c>
      <c r="K181" s="3007" t="str">
        <f t="shared" si="18"/>
        <v>12层</v>
      </c>
      <c r="L181" s="3007" t="str">
        <f t="shared" si="20"/>
        <v>9层</v>
      </c>
      <c r="N181" s="3002">
        <f t="shared" ca="1" si="15"/>
        <v>638076</v>
      </c>
      <c r="O181" s="3002">
        <f t="shared" ca="1" si="16"/>
        <v>64</v>
      </c>
    </row>
    <row r="182" spans="1:15" ht="24">
      <c r="A182" s="3007">
        <v>179</v>
      </c>
      <c r="B182" s="3007" t="s">
        <v>3238</v>
      </c>
      <c r="C182" s="3004" t="s">
        <v>3527</v>
      </c>
      <c r="D182" s="3007" t="s">
        <v>3811</v>
      </c>
      <c r="E182" s="3008" t="s">
        <v>3812</v>
      </c>
      <c r="F182" s="3011">
        <v>65.47</v>
      </c>
      <c r="G182" s="3011">
        <v>7.31</v>
      </c>
      <c r="H182" s="3004" t="s">
        <v>1373</v>
      </c>
      <c r="I182" s="3007" t="s">
        <v>3530</v>
      </c>
      <c r="J182" s="3010">
        <f t="shared" si="17"/>
        <v>56156</v>
      </c>
      <c r="K182" s="3007" t="str">
        <f t="shared" si="18"/>
        <v>12层</v>
      </c>
      <c r="L182" s="3007" t="str">
        <f t="shared" si="20"/>
        <v>9层</v>
      </c>
      <c r="N182" s="3002">
        <f t="shared" ca="1" si="15"/>
        <v>685733</v>
      </c>
      <c r="O182" s="3002">
        <f t="shared" ca="1" si="16"/>
        <v>69</v>
      </c>
    </row>
    <row r="183" spans="1:15" ht="24">
      <c r="A183" s="3007">
        <v>180</v>
      </c>
      <c r="B183" s="3007" t="s">
        <v>3239</v>
      </c>
      <c r="C183" s="3004" t="s">
        <v>3527</v>
      </c>
      <c r="D183" s="3007" t="s">
        <v>3813</v>
      </c>
      <c r="E183" s="3008" t="s">
        <v>3814</v>
      </c>
      <c r="F183" s="3011">
        <v>60.33</v>
      </c>
      <c r="G183" s="3011">
        <v>6.73</v>
      </c>
      <c r="H183" s="3004" t="s">
        <v>1373</v>
      </c>
      <c r="I183" s="3007" t="s">
        <v>3530</v>
      </c>
      <c r="J183" s="3010">
        <f t="shared" si="17"/>
        <v>56156</v>
      </c>
      <c r="K183" s="3007" t="str">
        <f t="shared" si="18"/>
        <v>12层</v>
      </c>
      <c r="L183" s="3007" t="str">
        <f t="shared" si="20"/>
        <v>9层</v>
      </c>
      <c r="N183" s="3002">
        <f t="shared" ca="1" si="15"/>
        <v>631896</v>
      </c>
      <c r="O183" s="3002">
        <f t="shared" ca="1" si="16"/>
        <v>63</v>
      </c>
    </row>
    <row r="184" spans="1:15" ht="24">
      <c r="A184" s="3007">
        <v>181</v>
      </c>
      <c r="B184" s="3007" t="s">
        <v>3240</v>
      </c>
      <c r="C184" s="3004" t="s">
        <v>3527</v>
      </c>
      <c r="D184" s="3007" t="s">
        <v>3815</v>
      </c>
      <c r="E184" s="3008" t="s">
        <v>3816</v>
      </c>
      <c r="F184" s="3011">
        <v>52.78</v>
      </c>
      <c r="G184" s="3011">
        <v>5.89</v>
      </c>
      <c r="H184" s="3004" t="s">
        <v>1373</v>
      </c>
      <c r="I184" s="3007" t="s">
        <v>3530</v>
      </c>
      <c r="J184" s="3010">
        <f t="shared" si="17"/>
        <v>56156</v>
      </c>
      <c r="K184" s="3007" t="str">
        <f t="shared" si="18"/>
        <v>12层</v>
      </c>
      <c r="L184" s="3007" t="str">
        <f t="shared" si="20"/>
        <v>9层</v>
      </c>
      <c r="N184" s="3002">
        <f t="shared" ca="1" si="15"/>
        <v>552818</v>
      </c>
      <c r="O184" s="3002">
        <f t="shared" ca="1" si="16"/>
        <v>55</v>
      </c>
    </row>
    <row r="185" spans="1:15" ht="24">
      <c r="A185" s="3007">
        <v>182</v>
      </c>
      <c r="B185" s="3007" t="s">
        <v>3241</v>
      </c>
      <c r="C185" s="3004" t="s">
        <v>3527</v>
      </c>
      <c r="D185" s="3007" t="s">
        <v>3817</v>
      </c>
      <c r="E185" s="3008" t="s">
        <v>3818</v>
      </c>
      <c r="F185" s="3011">
        <v>52.72</v>
      </c>
      <c r="G185" s="3011">
        <v>5.88</v>
      </c>
      <c r="H185" s="3004" t="s">
        <v>1373</v>
      </c>
      <c r="I185" s="3007" t="s">
        <v>3530</v>
      </c>
      <c r="J185" s="3010">
        <f t="shared" si="17"/>
        <v>56156</v>
      </c>
      <c r="K185" s="3007" t="str">
        <f t="shared" si="18"/>
        <v>12层</v>
      </c>
      <c r="L185" s="3007" t="str">
        <f t="shared" si="20"/>
        <v>9层</v>
      </c>
      <c r="N185" s="3002">
        <f t="shared" ca="1" si="15"/>
        <v>552189</v>
      </c>
      <c r="O185" s="3002">
        <f t="shared" ca="1" si="16"/>
        <v>55</v>
      </c>
    </row>
    <row r="186" spans="1:15" ht="24">
      <c r="A186" s="3007">
        <v>183</v>
      </c>
      <c r="B186" s="3007" t="s">
        <v>3242</v>
      </c>
      <c r="C186" s="3004" t="s">
        <v>3527</v>
      </c>
      <c r="D186" s="3007" t="s">
        <v>3819</v>
      </c>
      <c r="E186" s="3008" t="s">
        <v>3820</v>
      </c>
      <c r="F186" s="3011">
        <v>52.72</v>
      </c>
      <c r="G186" s="3011">
        <v>5.88</v>
      </c>
      <c r="H186" s="3004" t="s">
        <v>1373</v>
      </c>
      <c r="I186" s="3007" t="s">
        <v>3530</v>
      </c>
      <c r="J186" s="3010">
        <f t="shared" si="17"/>
        <v>56156</v>
      </c>
      <c r="K186" s="3007" t="str">
        <f t="shared" si="18"/>
        <v>12层</v>
      </c>
      <c r="L186" s="3007" t="str">
        <f t="shared" si="20"/>
        <v>9层</v>
      </c>
      <c r="N186" s="3002">
        <f t="shared" ca="1" si="15"/>
        <v>552189</v>
      </c>
      <c r="O186" s="3002">
        <f t="shared" ca="1" si="16"/>
        <v>55</v>
      </c>
    </row>
    <row r="187" spans="1:15" ht="24">
      <c r="A187" s="3007">
        <v>184</v>
      </c>
      <c r="B187" s="3007" t="s">
        <v>3243</v>
      </c>
      <c r="C187" s="3004" t="s">
        <v>3527</v>
      </c>
      <c r="D187" s="3007" t="s">
        <v>3821</v>
      </c>
      <c r="E187" s="3008" t="s">
        <v>3822</v>
      </c>
      <c r="F187" s="3011">
        <v>52.69</v>
      </c>
      <c r="G187" s="3011">
        <v>5.88</v>
      </c>
      <c r="H187" s="3004" t="s">
        <v>1373</v>
      </c>
      <c r="I187" s="3007" t="s">
        <v>3530</v>
      </c>
      <c r="J187" s="3010">
        <f t="shared" si="17"/>
        <v>56156</v>
      </c>
      <c r="K187" s="3007" t="str">
        <f t="shared" si="18"/>
        <v>12层</v>
      </c>
      <c r="L187" s="3007" t="str">
        <f t="shared" si="20"/>
        <v>9层</v>
      </c>
      <c r="N187" s="3002">
        <f t="shared" ca="1" si="15"/>
        <v>551875</v>
      </c>
      <c r="O187" s="3002">
        <f t="shared" ca="1" si="16"/>
        <v>55</v>
      </c>
    </row>
    <row r="188" spans="1:15" ht="24">
      <c r="A188" s="3007">
        <v>185</v>
      </c>
      <c r="B188" s="3007" t="s">
        <v>3244</v>
      </c>
      <c r="C188" s="3004" t="s">
        <v>3527</v>
      </c>
      <c r="D188" s="3007" t="s">
        <v>3823</v>
      </c>
      <c r="E188" s="3008" t="s">
        <v>3824</v>
      </c>
      <c r="F188" s="3011">
        <v>72.55</v>
      </c>
      <c r="G188" s="3011">
        <v>8.1</v>
      </c>
      <c r="H188" s="3004" t="s">
        <v>1373</v>
      </c>
      <c r="I188" s="3007" t="s">
        <v>3530</v>
      </c>
      <c r="J188" s="3010">
        <f t="shared" si="17"/>
        <v>56156</v>
      </c>
      <c r="K188" s="3007" t="str">
        <f t="shared" si="18"/>
        <v>12层</v>
      </c>
      <c r="L188" s="3007" t="str">
        <f t="shared" si="20"/>
        <v>9层</v>
      </c>
      <c r="N188" s="3002">
        <f t="shared" ca="1" si="15"/>
        <v>759889</v>
      </c>
      <c r="O188" s="3002">
        <f t="shared" ca="1" si="16"/>
        <v>76</v>
      </c>
    </row>
    <row r="189" spans="1:15" ht="24">
      <c r="A189" s="3007">
        <v>186</v>
      </c>
      <c r="B189" s="3007" t="s">
        <v>3245</v>
      </c>
      <c r="C189" s="3004" t="s">
        <v>3527</v>
      </c>
      <c r="D189" s="3007" t="s">
        <v>3825</v>
      </c>
      <c r="E189" s="3008" t="s">
        <v>3826</v>
      </c>
      <c r="F189" s="3011">
        <v>71.930000000000007</v>
      </c>
      <c r="G189" s="3011">
        <v>8.0299999999999994</v>
      </c>
      <c r="H189" s="3004" t="s">
        <v>1373</v>
      </c>
      <c r="I189" s="3007" t="s">
        <v>3530</v>
      </c>
      <c r="J189" s="3010">
        <f t="shared" si="17"/>
        <v>56156</v>
      </c>
      <c r="K189" s="3007" t="str">
        <f t="shared" si="18"/>
        <v>12层</v>
      </c>
      <c r="L189" s="3007" t="str">
        <f t="shared" si="20"/>
        <v>9层</v>
      </c>
      <c r="N189" s="3002">
        <f t="shared" ca="1" si="15"/>
        <v>753395</v>
      </c>
      <c r="O189" s="3002">
        <f t="shared" ca="1" si="16"/>
        <v>75</v>
      </c>
    </row>
    <row r="190" spans="1:15" ht="24">
      <c r="A190" s="3007">
        <v>187</v>
      </c>
      <c r="B190" s="3007" t="s">
        <v>3246</v>
      </c>
      <c r="C190" s="3004" t="s">
        <v>3527</v>
      </c>
      <c r="D190" s="3007" t="s">
        <v>3827</v>
      </c>
      <c r="E190" s="3008" t="s">
        <v>3828</v>
      </c>
      <c r="F190" s="3011">
        <v>52.69</v>
      </c>
      <c r="G190" s="3011">
        <v>5.88</v>
      </c>
      <c r="H190" s="3004" t="s">
        <v>1373</v>
      </c>
      <c r="I190" s="3007" t="s">
        <v>3530</v>
      </c>
      <c r="J190" s="3010">
        <f t="shared" si="17"/>
        <v>56156</v>
      </c>
      <c r="K190" s="3007" t="str">
        <f t="shared" si="18"/>
        <v>12层</v>
      </c>
      <c r="L190" s="3007" t="str">
        <f t="shared" si="20"/>
        <v>9层</v>
      </c>
      <c r="N190" s="3002">
        <f t="shared" ca="1" si="15"/>
        <v>551875</v>
      </c>
      <c r="O190" s="3002">
        <f t="shared" ca="1" si="16"/>
        <v>55</v>
      </c>
    </row>
    <row r="191" spans="1:15" ht="24">
      <c r="A191" s="3007">
        <v>188</v>
      </c>
      <c r="B191" s="3007" t="s">
        <v>3247</v>
      </c>
      <c r="C191" s="3004" t="s">
        <v>3527</v>
      </c>
      <c r="D191" s="3007" t="s">
        <v>3829</v>
      </c>
      <c r="E191" s="3008" t="s">
        <v>3830</v>
      </c>
      <c r="F191" s="3011">
        <v>52.72</v>
      </c>
      <c r="G191" s="3011">
        <v>5.88</v>
      </c>
      <c r="H191" s="3004" t="s">
        <v>1373</v>
      </c>
      <c r="I191" s="3007" t="s">
        <v>3530</v>
      </c>
      <c r="J191" s="3010">
        <f t="shared" si="17"/>
        <v>56156</v>
      </c>
      <c r="K191" s="3007" t="str">
        <f t="shared" si="18"/>
        <v>12层</v>
      </c>
      <c r="L191" s="3007" t="str">
        <f t="shared" si="20"/>
        <v>9层</v>
      </c>
      <c r="N191" s="3002">
        <f t="shared" ca="1" si="15"/>
        <v>552189</v>
      </c>
      <c r="O191" s="3002">
        <f t="shared" ca="1" si="16"/>
        <v>55</v>
      </c>
    </row>
    <row r="192" spans="1:15" ht="24">
      <c r="A192" s="3007">
        <v>189</v>
      </c>
      <c r="B192" s="3007" t="s">
        <v>3248</v>
      </c>
      <c r="C192" s="3004" t="s">
        <v>3527</v>
      </c>
      <c r="D192" s="3007" t="s">
        <v>3831</v>
      </c>
      <c r="E192" s="3008" t="s">
        <v>3832</v>
      </c>
      <c r="F192" s="3011">
        <v>52.06</v>
      </c>
      <c r="G192" s="3011">
        <v>5.81</v>
      </c>
      <c r="H192" s="3004" t="s">
        <v>1373</v>
      </c>
      <c r="I192" s="3007" t="s">
        <v>3530</v>
      </c>
      <c r="J192" s="3010">
        <f t="shared" si="17"/>
        <v>56156</v>
      </c>
      <c r="K192" s="3007" t="str">
        <f t="shared" si="18"/>
        <v>12层</v>
      </c>
      <c r="L192" s="3007" t="str">
        <f t="shared" si="20"/>
        <v>9层</v>
      </c>
      <c r="N192" s="3002">
        <f t="shared" ca="1" si="15"/>
        <v>545276</v>
      </c>
      <c r="O192" s="3002">
        <f t="shared" ca="1" si="16"/>
        <v>55</v>
      </c>
    </row>
    <row r="193" spans="1:15" ht="24">
      <c r="A193" s="3007">
        <v>190</v>
      </c>
      <c r="B193" s="3007" t="s">
        <v>3249</v>
      </c>
      <c r="C193" s="3004" t="s">
        <v>3527</v>
      </c>
      <c r="D193" s="3007" t="s">
        <v>3833</v>
      </c>
      <c r="E193" s="3008" t="s">
        <v>3834</v>
      </c>
      <c r="F193" s="3011">
        <v>64.349999999999994</v>
      </c>
      <c r="G193" s="3011">
        <v>7.18</v>
      </c>
      <c r="H193" s="3004" t="s">
        <v>1373</v>
      </c>
      <c r="I193" s="3007" t="s">
        <v>3530</v>
      </c>
      <c r="J193" s="3010">
        <f t="shared" si="17"/>
        <v>56156</v>
      </c>
      <c r="K193" s="3007" t="str">
        <f t="shared" si="18"/>
        <v>12层</v>
      </c>
      <c r="L193" s="3007" t="str">
        <f t="shared" si="20"/>
        <v>9层</v>
      </c>
      <c r="N193" s="3002">
        <f t="shared" ca="1" si="15"/>
        <v>674002</v>
      </c>
      <c r="O193" s="3002">
        <f t="shared" ca="1" si="16"/>
        <v>67</v>
      </c>
    </row>
    <row r="194" spans="1:15" ht="24">
      <c r="A194" s="3007">
        <v>191</v>
      </c>
      <c r="B194" s="3007" t="s">
        <v>3250</v>
      </c>
      <c r="C194" s="3004" t="s">
        <v>3527</v>
      </c>
      <c r="D194" s="3007" t="s">
        <v>3835</v>
      </c>
      <c r="E194" s="3008" t="s">
        <v>3836</v>
      </c>
      <c r="F194" s="3011">
        <v>50.65</v>
      </c>
      <c r="G194" s="3011">
        <v>5.65</v>
      </c>
      <c r="H194" s="3004" t="s">
        <v>1373</v>
      </c>
      <c r="I194" s="3007" t="s">
        <v>3530</v>
      </c>
      <c r="J194" s="3010">
        <f t="shared" si="17"/>
        <v>56156</v>
      </c>
      <c r="K194" s="3007" t="str">
        <f t="shared" si="18"/>
        <v>12层</v>
      </c>
      <c r="L194" s="3007" t="s">
        <v>3837</v>
      </c>
      <c r="N194" s="3002">
        <f t="shared" ca="1" si="15"/>
        <v>530508</v>
      </c>
      <c r="O194" s="3002">
        <f t="shared" ca="1" si="16"/>
        <v>53</v>
      </c>
    </row>
    <row r="195" spans="1:15" ht="24">
      <c r="A195" s="3007">
        <v>192</v>
      </c>
      <c r="B195" s="3007" t="s">
        <v>3251</v>
      </c>
      <c r="C195" s="3004" t="s">
        <v>3527</v>
      </c>
      <c r="D195" s="3007" t="s">
        <v>3838</v>
      </c>
      <c r="E195" s="3008" t="s">
        <v>3839</v>
      </c>
      <c r="F195" s="3011">
        <v>52.4</v>
      </c>
      <c r="G195" s="3011">
        <v>5.85</v>
      </c>
      <c r="H195" s="3004" t="s">
        <v>1373</v>
      </c>
      <c r="I195" s="3007" t="s">
        <v>3530</v>
      </c>
      <c r="J195" s="3010">
        <f t="shared" si="17"/>
        <v>56156</v>
      </c>
      <c r="K195" s="3007" t="str">
        <f t="shared" si="18"/>
        <v>12层</v>
      </c>
      <c r="L195" s="3007" t="str">
        <f>$L$194</f>
        <v>10层</v>
      </c>
      <c r="N195" s="3002">
        <f t="shared" ca="1" si="15"/>
        <v>548838</v>
      </c>
      <c r="O195" s="3002">
        <f t="shared" ca="1" si="16"/>
        <v>55</v>
      </c>
    </row>
    <row r="196" spans="1:15" ht="24">
      <c r="A196" s="3007">
        <v>193</v>
      </c>
      <c r="B196" s="3007" t="s">
        <v>3252</v>
      </c>
      <c r="C196" s="3004" t="s">
        <v>3840</v>
      </c>
      <c r="D196" s="3007" t="s">
        <v>3841</v>
      </c>
      <c r="E196" s="3008" t="s">
        <v>3842</v>
      </c>
      <c r="F196" s="3011">
        <v>52.39</v>
      </c>
      <c r="G196" s="3011">
        <v>5.85</v>
      </c>
      <c r="H196" s="3004" t="s">
        <v>1373</v>
      </c>
      <c r="I196" s="3007" t="s">
        <v>3843</v>
      </c>
      <c r="J196" s="3010">
        <f t="shared" si="17"/>
        <v>56156</v>
      </c>
      <c r="K196" s="3007" t="str">
        <f t="shared" si="18"/>
        <v>12层</v>
      </c>
      <c r="L196" s="3007" t="str">
        <f t="shared" ref="L196:L216" si="21">$L$194</f>
        <v>10层</v>
      </c>
      <c r="N196" s="3002">
        <f t="shared" ca="1" si="15"/>
        <v>548733</v>
      </c>
      <c r="O196" s="3002">
        <f t="shared" ca="1" si="16"/>
        <v>55</v>
      </c>
    </row>
    <row r="197" spans="1:15" ht="24">
      <c r="A197" s="3007">
        <v>194</v>
      </c>
      <c r="B197" s="3007" t="s">
        <v>3253</v>
      </c>
      <c r="C197" s="3004" t="s">
        <v>3527</v>
      </c>
      <c r="D197" s="3007" t="s">
        <v>3844</v>
      </c>
      <c r="E197" s="3008" t="s">
        <v>3845</v>
      </c>
      <c r="F197" s="3011">
        <v>52.4</v>
      </c>
      <c r="G197" s="3011">
        <v>5.85</v>
      </c>
      <c r="H197" s="3004" t="s">
        <v>1373</v>
      </c>
      <c r="I197" s="3007" t="s">
        <v>3530</v>
      </c>
      <c r="J197" s="3010">
        <f t="shared" si="17"/>
        <v>56156</v>
      </c>
      <c r="K197" s="3007" t="str">
        <f t="shared" si="18"/>
        <v>12层</v>
      </c>
      <c r="L197" s="3007" t="str">
        <f t="shared" si="21"/>
        <v>10层</v>
      </c>
      <c r="N197" s="3002">
        <f t="shared" ref="N197:N228" ca="1" si="22">ROUND(F197*$M$4,0)</f>
        <v>548838</v>
      </c>
      <c r="O197" s="3002">
        <f t="shared" ref="O197:O228" ca="1" si="23">ROUND(N197/10000,0)</f>
        <v>55</v>
      </c>
    </row>
    <row r="198" spans="1:15" ht="24">
      <c r="A198" s="3007">
        <v>195</v>
      </c>
      <c r="B198" s="3007" t="s">
        <v>3254</v>
      </c>
      <c r="C198" s="3004" t="s">
        <v>3527</v>
      </c>
      <c r="D198" s="3007" t="s">
        <v>3846</v>
      </c>
      <c r="E198" s="3008" t="s">
        <v>3847</v>
      </c>
      <c r="F198" s="3011">
        <v>70.760000000000005</v>
      </c>
      <c r="G198" s="3011">
        <v>7.9</v>
      </c>
      <c r="H198" s="3004" t="s">
        <v>1373</v>
      </c>
      <c r="I198" s="3007" t="s">
        <v>3530</v>
      </c>
      <c r="J198" s="3010">
        <f t="shared" ref="J198:J228" si="24">$J$4</f>
        <v>56156</v>
      </c>
      <c r="K198" s="3007" t="str">
        <f t="shared" ref="K198:K228" si="25">$K$4</f>
        <v>12层</v>
      </c>
      <c r="L198" s="3007" t="str">
        <f t="shared" si="21"/>
        <v>10层</v>
      </c>
      <c r="N198" s="3002">
        <f t="shared" ca="1" si="22"/>
        <v>741140</v>
      </c>
      <c r="O198" s="3002">
        <f t="shared" ca="1" si="23"/>
        <v>74</v>
      </c>
    </row>
    <row r="199" spans="1:15" ht="24">
      <c r="A199" s="3007">
        <v>196</v>
      </c>
      <c r="B199" s="3007" t="s">
        <v>3255</v>
      </c>
      <c r="C199" s="3004" t="s">
        <v>3527</v>
      </c>
      <c r="D199" s="3007" t="s">
        <v>3848</v>
      </c>
      <c r="E199" s="3008" t="s">
        <v>3849</v>
      </c>
      <c r="F199" s="3011">
        <v>71.180000000000007</v>
      </c>
      <c r="G199" s="3011">
        <v>7.94</v>
      </c>
      <c r="H199" s="3004" t="s">
        <v>1373</v>
      </c>
      <c r="I199" s="3007" t="s">
        <v>3530</v>
      </c>
      <c r="J199" s="3010">
        <f t="shared" si="24"/>
        <v>56156</v>
      </c>
      <c r="K199" s="3007" t="str">
        <f t="shared" si="25"/>
        <v>12层</v>
      </c>
      <c r="L199" s="3007" t="str">
        <f t="shared" si="21"/>
        <v>10层</v>
      </c>
      <c r="N199" s="3002">
        <f t="shared" ca="1" si="22"/>
        <v>745539</v>
      </c>
      <c r="O199" s="3002">
        <f t="shared" ca="1" si="23"/>
        <v>75</v>
      </c>
    </row>
    <row r="200" spans="1:15" ht="24">
      <c r="A200" s="3007">
        <v>197</v>
      </c>
      <c r="B200" s="3007" t="s">
        <v>3256</v>
      </c>
      <c r="C200" s="3004" t="s">
        <v>3527</v>
      </c>
      <c r="D200" s="3007" t="s">
        <v>3850</v>
      </c>
      <c r="E200" s="3008" t="s">
        <v>3851</v>
      </c>
      <c r="F200" s="3011">
        <v>52</v>
      </c>
      <c r="G200" s="3011">
        <v>5.8</v>
      </c>
      <c r="H200" s="3004" t="s">
        <v>1373</v>
      </c>
      <c r="I200" s="3007" t="s">
        <v>3530</v>
      </c>
      <c r="J200" s="3010">
        <f t="shared" si="24"/>
        <v>56156</v>
      </c>
      <c r="K200" s="3007" t="str">
        <f t="shared" si="25"/>
        <v>12层</v>
      </c>
      <c r="L200" s="3007" t="str">
        <f t="shared" si="21"/>
        <v>10层</v>
      </c>
      <c r="N200" s="3002">
        <f t="shared" ca="1" si="22"/>
        <v>544648</v>
      </c>
      <c r="O200" s="3002">
        <f t="shared" ca="1" si="23"/>
        <v>54</v>
      </c>
    </row>
    <row r="201" spans="1:15" ht="24">
      <c r="A201" s="3007">
        <v>198</v>
      </c>
      <c r="B201" s="3007" t="s">
        <v>3257</v>
      </c>
      <c r="C201" s="3004" t="s">
        <v>3527</v>
      </c>
      <c r="D201" s="3007" t="s">
        <v>3852</v>
      </c>
      <c r="E201" s="3008" t="s">
        <v>3853</v>
      </c>
      <c r="F201" s="3011">
        <v>52.07</v>
      </c>
      <c r="G201" s="3011">
        <v>5.81</v>
      </c>
      <c r="H201" s="3004" t="s">
        <v>1373</v>
      </c>
      <c r="I201" s="3007" t="s">
        <v>3530</v>
      </c>
      <c r="J201" s="3010">
        <f t="shared" si="24"/>
        <v>56156</v>
      </c>
      <c r="K201" s="3007" t="str">
        <f t="shared" si="25"/>
        <v>12层</v>
      </c>
      <c r="L201" s="3007" t="str">
        <f t="shared" si="21"/>
        <v>10层</v>
      </c>
      <c r="N201" s="3002">
        <f t="shared" ca="1" si="22"/>
        <v>545381</v>
      </c>
      <c r="O201" s="3002">
        <f t="shared" ca="1" si="23"/>
        <v>55</v>
      </c>
    </row>
    <row r="202" spans="1:15" ht="24">
      <c r="A202" s="3007">
        <v>199</v>
      </c>
      <c r="B202" s="3007" t="s">
        <v>3258</v>
      </c>
      <c r="C202" s="3004" t="s">
        <v>3527</v>
      </c>
      <c r="D202" s="3007" t="s">
        <v>3854</v>
      </c>
      <c r="E202" s="3008" t="s">
        <v>3855</v>
      </c>
      <c r="F202" s="3011">
        <v>52.04</v>
      </c>
      <c r="G202" s="3011">
        <v>5.81</v>
      </c>
      <c r="H202" s="3004" t="s">
        <v>1373</v>
      </c>
      <c r="I202" s="3007" t="s">
        <v>3530</v>
      </c>
      <c r="J202" s="3010">
        <f t="shared" si="24"/>
        <v>56156</v>
      </c>
      <c r="K202" s="3007" t="str">
        <f t="shared" si="25"/>
        <v>12层</v>
      </c>
      <c r="L202" s="3007" t="str">
        <f t="shared" si="21"/>
        <v>10层</v>
      </c>
      <c r="N202" s="3002">
        <f t="shared" ca="1" si="22"/>
        <v>545067</v>
      </c>
      <c r="O202" s="3002">
        <f t="shared" ca="1" si="23"/>
        <v>55</v>
      </c>
    </row>
    <row r="203" spans="1:15" ht="24">
      <c r="A203" s="3007">
        <v>200</v>
      </c>
      <c r="B203" s="3007" t="s">
        <v>3259</v>
      </c>
      <c r="C203" s="3004" t="s">
        <v>3527</v>
      </c>
      <c r="D203" s="3007" t="s">
        <v>3856</v>
      </c>
      <c r="E203" s="3008" t="s">
        <v>3857</v>
      </c>
      <c r="F203" s="3011">
        <v>52.71</v>
      </c>
      <c r="G203" s="3011">
        <v>5.88</v>
      </c>
      <c r="H203" s="3004" t="s">
        <v>1373</v>
      </c>
      <c r="I203" s="3007" t="s">
        <v>3530</v>
      </c>
      <c r="J203" s="3010">
        <f t="shared" si="24"/>
        <v>56156</v>
      </c>
      <c r="K203" s="3007" t="str">
        <f t="shared" si="25"/>
        <v>12层</v>
      </c>
      <c r="L203" s="3007" t="str">
        <f t="shared" si="21"/>
        <v>10层</v>
      </c>
      <c r="N203" s="3002">
        <f t="shared" ca="1" si="22"/>
        <v>552085</v>
      </c>
      <c r="O203" s="3002">
        <f t="shared" ca="1" si="23"/>
        <v>55</v>
      </c>
    </row>
    <row r="204" spans="1:15" ht="24">
      <c r="A204" s="3007">
        <v>201</v>
      </c>
      <c r="B204" s="3007" t="s">
        <v>3260</v>
      </c>
      <c r="C204" s="3004" t="s">
        <v>3527</v>
      </c>
      <c r="D204" s="3007" t="s">
        <v>3858</v>
      </c>
      <c r="E204" s="3008" t="s">
        <v>3859</v>
      </c>
      <c r="F204" s="3011">
        <v>60.92</v>
      </c>
      <c r="G204" s="3011">
        <v>6.8</v>
      </c>
      <c r="H204" s="3004" t="s">
        <v>1373</v>
      </c>
      <c r="I204" s="3007" t="s">
        <v>3530</v>
      </c>
      <c r="J204" s="3010">
        <f t="shared" si="24"/>
        <v>56156</v>
      </c>
      <c r="K204" s="3007" t="str">
        <f t="shared" si="25"/>
        <v>12层</v>
      </c>
      <c r="L204" s="3007" t="str">
        <f t="shared" si="21"/>
        <v>10层</v>
      </c>
      <c r="N204" s="3002">
        <f t="shared" ca="1" si="22"/>
        <v>638076</v>
      </c>
      <c r="O204" s="3002">
        <f t="shared" ca="1" si="23"/>
        <v>64</v>
      </c>
    </row>
    <row r="205" spans="1:15" ht="24">
      <c r="A205" s="3007">
        <v>202</v>
      </c>
      <c r="B205" s="3007" t="s">
        <v>3261</v>
      </c>
      <c r="C205" s="3004" t="s">
        <v>3527</v>
      </c>
      <c r="D205" s="3007" t="s">
        <v>3860</v>
      </c>
      <c r="E205" s="3008" t="s">
        <v>3861</v>
      </c>
      <c r="F205" s="3011">
        <v>65.47</v>
      </c>
      <c r="G205" s="3011">
        <v>7.31</v>
      </c>
      <c r="H205" s="3004" t="s">
        <v>1373</v>
      </c>
      <c r="I205" s="3007" t="s">
        <v>3530</v>
      </c>
      <c r="J205" s="3010">
        <f t="shared" si="24"/>
        <v>56156</v>
      </c>
      <c r="K205" s="3007" t="str">
        <f t="shared" si="25"/>
        <v>12层</v>
      </c>
      <c r="L205" s="3007" t="str">
        <f t="shared" si="21"/>
        <v>10层</v>
      </c>
      <c r="N205" s="3002">
        <f t="shared" ca="1" si="22"/>
        <v>685733</v>
      </c>
      <c r="O205" s="3002">
        <f t="shared" ca="1" si="23"/>
        <v>69</v>
      </c>
    </row>
    <row r="206" spans="1:15" ht="24">
      <c r="A206" s="3007">
        <v>203</v>
      </c>
      <c r="B206" s="3007" t="s">
        <v>3262</v>
      </c>
      <c r="C206" s="3004" t="s">
        <v>3527</v>
      </c>
      <c r="D206" s="3007" t="s">
        <v>3862</v>
      </c>
      <c r="E206" s="3008" t="s">
        <v>3863</v>
      </c>
      <c r="F206" s="3011">
        <v>60.33</v>
      </c>
      <c r="G206" s="3011">
        <v>6.73</v>
      </c>
      <c r="H206" s="3004" t="s">
        <v>1373</v>
      </c>
      <c r="I206" s="3007" t="s">
        <v>3530</v>
      </c>
      <c r="J206" s="3010">
        <f t="shared" si="24"/>
        <v>56156</v>
      </c>
      <c r="K206" s="3007" t="str">
        <f t="shared" si="25"/>
        <v>12层</v>
      </c>
      <c r="L206" s="3007" t="str">
        <f t="shared" si="21"/>
        <v>10层</v>
      </c>
      <c r="N206" s="3002">
        <f t="shared" ca="1" si="22"/>
        <v>631896</v>
      </c>
      <c r="O206" s="3002">
        <f t="shared" ca="1" si="23"/>
        <v>63</v>
      </c>
    </row>
    <row r="207" spans="1:15" ht="24">
      <c r="A207" s="3007">
        <v>204</v>
      </c>
      <c r="B207" s="3007" t="s">
        <v>3263</v>
      </c>
      <c r="C207" s="3004" t="s">
        <v>3527</v>
      </c>
      <c r="D207" s="3007" t="s">
        <v>3864</v>
      </c>
      <c r="E207" s="3008" t="s">
        <v>3865</v>
      </c>
      <c r="F207" s="3011">
        <v>52.78</v>
      </c>
      <c r="G207" s="3011">
        <v>5.89</v>
      </c>
      <c r="H207" s="3004" t="s">
        <v>1373</v>
      </c>
      <c r="I207" s="3007" t="s">
        <v>3530</v>
      </c>
      <c r="J207" s="3010">
        <f t="shared" si="24"/>
        <v>56156</v>
      </c>
      <c r="K207" s="3007" t="str">
        <f t="shared" si="25"/>
        <v>12层</v>
      </c>
      <c r="L207" s="3007" t="str">
        <f t="shared" si="21"/>
        <v>10层</v>
      </c>
      <c r="N207" s="3002">
        <f t="shared" ca="1" si="22"/>
        <v>552818</v>
      </c>
      <c r="O207" s="3002">
        <f t="shared" ca="1" si="23"/>
        <v>55</v>
      </c>
    </row>
    <row r="208" spans="1:15" ht="24">
      <c r="A208" s="3007">
        <v>205</v>
      </c>
      <c r="B208" s="3007" t="s">
        <v>3264</v>
      </c>
      <c r="C208" s="3004" t="s">
        <v>3527</v>
      </c>
      <c r="D208" s="3007" t="s">
        <v>3866</v>
      </c>
      <c r="E208" s="3008" t="s">
        <v>3867</v>
      </c>
      <c r="F208" s="3011">
        <v>52.72</v>
      </c>
      <c r="G208" s="3011">
        <v>5.88</v>
      </c>
      <c r="H208" s="3004" t="s">
        <v>1373</v>
      </c>
      <c r="I208" s="3007" t="s">
        <v>3530</v>
      </c>
      <c r="J208" s="3010">
        <f t="shared" si="24"/>
        <v>56156</v>
      </c>
      <c r="K208" s="3007" t="str">
        <f t="shared" si="25"/>
        <v>12层</v>
      </c>
      <c r="L208" s="3007" t="str">
        <f t="shared" si="21"/>
        <v>10层</v>
      </c>
      <c r="N208" s="3002">
        <f t="shared" ca="1" si="22"/>
        <v>552189</v>
      </c>
      <c r="O208" s="3002">
        <f t="shared" ca="1" si="23"/>
        <v>55</v>
      </c>
    </row>
    <row r="209" spans="1:15" ht="24">
      <c r="A209" s="3007">
        <v>206</v>
      </c>
      <c r="B209" s="3007" t="s">
        <v>3265</v>
      </c>
      <c r="C209" s="3004" t="s">
        <v>3527</v>
      </c>
      <c r="D209" s="3007" t="s">
        <v>3868</v>
      </c>
      <c r="E209" s="3008" t="s">
        <v>3869</v>
      </c>
      <c r="F209" s="3011">
        <v>52.72</v>
      </c>
      <c r="G209" s="3011">
        <v>5.88</v>
      </c>
      <c r="H209" s="3004" t="s">
        <v>1373</v>
      </c>
      <c r="I209" s="3007" t="s">
        <v>3530</v>
      </c>
      <c r="J209" s="3010">
        <f t="shared" si="24"/>
        <v>56156</v>
      </c>
      <c r="K209" s="3007" t="str">
        <f t="shared" si="25"/>
        <v>12层</v>
      </c>
      <c r="L209" s="3007" t="str">
        <f t="shared" si="21"/>
        <v>10层</v>
      </c>
      <c r="N209" s="3002">
        <f t="shared" ca="1" si="22"/>
        <v>552189</v>
      </c>
      <c r="O209" s="3002">
        <f t="shared" ca="1" si="23"/>
        <v>55</v>
      </c>
    </row>
    <row r="210" spans="1:15" ht="24">
      <c r="A210" s="3007">
        <v>207</v>
      </c>
      <c r="B210" s="3007" t="s">
        <v>3266</v>
      </c>
      <c r="C210" s="3004" t="s">
        <v>3527</v>
      </c>
      <c r="D210" s="3007" t="s">
        <v>3870</v>
      </c>
      <c r="E210" s="3008" t="s">
        <v>3871</v>
      </c>
      <c r="F210" s="3011">
        <v>52.69</v>
      </c>
      <c r="G210" s="3011">
        <v>5.88</v>
      </c>
      <c r="H210" s="3004" t="s">
        <v>1373</v>
      </c>
      <c r="I210" s="3007" t="s">
        <v>3530</v>
      </c>
      <c r="J210" s="3010">
        <f t="shared" si="24"/>
        <v>56156</v>
      </c>
      <c r="K210" s="3007" t="str">
        <f t="shared" si="25"/>
        <v>12层</v>
      </c>
      <c r="L210" s="3007" t="str">
        <f t="shared" si="21"/>
        <v>10层</v>
      </c>
      <c r="N210" s="3002">
        <f t="shared" ca="1" si="22"/>
        <v>551875</v>
      </c>
      <c r="O210" s="3002">
        <f t="shared" ca="1" si="23"/>
        <v>55</v>
      </c>
    </row>
    <row r="211" spans="1:15" ht="24">
      <c r="A211" s="3007">
        <v>208</v>
      </c>
      <c r="B211" s="3007" t="s">
        <v>3267</v>
      </c>
      <c r="C211" s="3004" t="s">
        <v>3527</v>
      </c>
      <c r="D211" s="3007" t="s">
        <v>3872</v>
      </c>
      <c r="E211" s="3008" t="s">
        <v>3873</v>
      </c>
      <c r="F211" s="3011">
        <v>72.55</v>
      </c>
      <c r="G211" s="3011">
        <v>8.1</v>
      </c>
      <c r="H211" s="3004" t="s">
        <v>1373</v>
      </c>
      <c r="I211" s="3007" t="s">
        <v>3530</v>
      </c>
      <c r="J211" s="3010">
        <f t="shared" si="24"/>
        <v>56156</v>
      </c>
      <c r="K211" s="3007" t="str">
        <f t="shared" si="25"/>
        <v>12层</v>
      </c>
      <c r="L211" s="3007" t="str">
        <f t="shared" si="21"/>
        <v>10层</v>
      </c>
      <c r="N211" s="3002">
        <f t="shared" ca="1" si="22"/>
        <v>759889</v>
      </c>
      <c r="O211" s="3002">
        <f t="shared" ca="1" si="23"/>
        <v>76</v>
      </c>
    </row>
    <row r="212" spans="1:15" ht="24">
      <c r="A212" s="3007">
        <v>209</v>
      </c>
      <c r="B212" s="3007" t="s">
        <v>3268</v>
      </c>
      <c r="C212" s="3004" t="s">
        <v>3527</v>
      </c>
      <c r="D212" s="3007" t="s">
        <v>3874</v>
      </c>
      <c r="E212" s="3008" t="s">
        <v>3875</v>
      </c>
      <c r="F212" s="3011">
        <v>71.930000000000007</v>
      </c>
      <c r="G212" s="3011">
        <v>8.0299999999999994</v>
      </c>
      <c r="H212" s="3004" t="s">
        <v>1373</v>
      </c>
      <c r="I212" s="3007" t="s">
        <v>3530</v>
      </c>
      <c r="J212" s="3010">
        <f t="shared" si="24"/>
        <v>56156</v>
      </c>
      <c r="K212" s="3007" t="str">
        <f t="shared" si="25"/>
        <v>12层</v>
      </c>
      <c r="L212" s="3007" t="str">
        <f t="shared" si="21"/>
        <v>10层</v>
      </c>
      <c r="N212" s="3002">
        <f t="shared" ca="1" si="22"/>
        <v>753395</v>
      </c>
      <c r="O212" s="3002">
        <f t="shared" ca="1" si="23"/>
        <v>75</v>
      </c>
    </row>
    <row r="213" spans="1:15" ht="24">
      <c r="A213" s="3007">
        <v>210</v>
      </c>
      <c r="B213" s="3007" t="s">
        <v>3269</v>
      </c>
      <c r="C213" s="3004" t="s">
        <v>3527</v>
      </c>
      <c r="D213" s="3007" t="s">
        <v>3876</v>
      </c>
      <c r="E213" s="3008" t="s">
        <v>3877</v>
      </c>
      <c r="F213" s="3011">
        <v>52.69</v>
      </c>
      <c r="G213" s="3011">
        <v>5.88</v>
      </c>
      <c r="H213" s="3004" t="s">
        <v>1373</v>
      </c>
      <c r="I213" s="3007" t="s">
        <v>3843</v>
      </c>
      <c r="J213" s="3010">
        <f t="shared" si="24"/>
        <v>56156</v>
      </c>
      <c r="K213" s="3007" t="str">
        <f t="shared" si="25"/>
        <v>12层</v>
      </c>
      <c r="L213" s="3007" t="str">
        <f t="shared" si="21"/>
        <v>10层</v>
      </c>
      <c r="N213" s="3002">
        <f t="shared" ca="1" si="22"/>
        <v>551875</v>
      </c>
      <c r="O213" s="3002">
        <f t="shared" ca="1" si="23"/>
        <v>55</v>
      </c>
    </row>
    <row r="214" spans="1:15" ht="24">
      <c r="A214" s="3007">
        <v>211</v>
      </c>
      <c r="B214" s="3007" t="s">
        <v>3270</v>
      </c>
      <c r="C214" s="3004" t="s">
        <v>3840</v>
      </c>
      <c r="D214" s="3007" t="s">
        <v>3878</v>
      </c>
      <c r="E214" s="3008" t="s">
        <v>3879</v>
      </c>
      <c r="F214" s="3011">
        <v>52.72</v>
      </c>
      <c r="G214" s="3011">
        <v>5.88</v>
      </c>
      <c r="H214" s="3004" t="s">
        <v>1373</v>
      </c>
      <c r="I214" s="3007" t="s">
        <v>3843</v>
      </c>
      <c r="J214" s="3010">
        <f t="shared" si="24"/>
        <v>56156</v>
      </c>
      <c r="K214" s="3007" t="str">
        <f t="shared" si="25"/>
        <v>12层</v>
      </c>
      <c r="L214" s="3007" t="str">
        <f t="shared" si="21"/>
        <v>10层</v>
      </c>
      <c r="N214" s="3002">
        <f t="shared" ca="1" si="22"/>
        <v>552189</v>
      </c>
      <c r="O214" s="3002">
        <f t="shared" ca="1" si="23"/>
        <v>55</v>
      </c>
    </row>
    <row r="215" spans="1:15" ht="24">
      <c r="A215" s="3007">
        <v>212</v>
      </c>
      <c r="B215" s="3007" t="s">
        <v>3271</v>
      </c>
      <c r="C215" s="3004" t="s">
        <v>3840</v>
      </c>
      <c r="D215" s="3007" t="s">
        <v>3880</v>
      </c>
      <c r="E215" s="3008" t="s">
        <v>3881</v>
      </c>
      <c r="F215" s="3011">
        <v>52.06</v>
      </c>
      <c r="G215" s="3011">
        <v>5.81</v>
      </c>
      <c r="H215" s="3004" t="s">
        <v>1373</v>
      </c>
      <c r="I215" s="3007" t="s">
        <v>3843</v>
      </c>
      <c r="J215" s="3010">
        <f t="shared" si="24"/>
        <v>56156</v>
      </c>
      <c r="K215" s="3007" t="str">
        <f t="shared" si="25"/>
        <v>12层</v>
      </c>
      <c r="L215" s="3007" t="str">
        <f t="shared" si="21"/>
        <v>10层</v>
      </c>
      <c r="N215" s="3002">
        <f t="shared" ca="1" si="22"/>
        <v>545276</v>
      </c>
      <c r="O215" s="3002">
        <f t="shared" ca="1" si="23"/>
        <v>55</v>
      </c>
    </row>
    <row r="216" spans="1:15" ht="24">
      <c r="A216" s="3007">
        <v>213</v>
      </c>
      <c r="B216" s="3007" t="s">
        <v>3272</v>
      </c>
      <c r="C216" s="3004" t="s">
        <v>3840</v>
      </c>
      <c r="D216" s="3007" t="s">
        <v>3882</v>
      </c>
      <c r="E216" s="3008" t="s">
        <v>3883</v>
      </c>
      <c r="F216" s="3011">
        <v>64.349999999999994</v>
      </c>
      <c r="G216" s="3011">
        <v>7.18</v>
      </c>
      <c r="H216" s="3004" t="s">
        <v>1373</v>
      </c>
      <c r="I216" s="3007" t="s">
        <v>3843</v>
      </c>
      <c r="J216" s="3010">
        <f t="shared" si="24"/>
        <v>56156</v>
      </c>
      <c r="K216" s="3007" t="str">
        <f t="shared" si="25"/>
        <v>12层</v>
      </c>
      <c r="L216" s="3007" t="str">
        <f t="shared" si="21"/>
        <v>10层</v>
      </c>
      <c r="N216" s="3002">
        <f t="shared" ca="1" si="22"/>
        <v>674002</v>
      </c>
      <c r="O216" s="3002">
        <f t="shared" ca="1" si="23"/>
        <v>67</v>
      </c>
    </row>
    <row r="217" spans="1:15" ht="24">
      <c r="A217" s="3007">
        <v>214</v>
      </c>
      <c r="B217" s="3007" t="s">
        <v>3273</v>
      </c>
      <c r="C217" s="3004" t="s">
        <v>3840</v>
      </c>
      <c r="D217" s="3007" t="s">
        <v>3884</v>
      </c>
      <c r="E217" s="3008" t="s">
        <v>3885</v>
      </c>
      <c r="F217" s="3011">
        <v>51.51</v>
      </c>
      <c r="G217" s="3011">
        <v>5.75</v>
      </c>
      <c r="H217" s="3004" t="s">
        <v>1373</v>
      </c>
      <c r="I217" s="3007" t="s">
        <v>3563</v>
      </c>
      <c r="J217" s="3010">
        <f t="shared" si="24"/>
        <v>56156</v>
      </c>
      <c r="K217" s="3007" t="str">
        <f t="shared" si="25"/>
        <v>12层</v>
      </c>
      <c r="L217" s="3007" t="s">
        <v>3886</v>
      </c>
      <c r="N217" s="3002">
        <f t="shared" ca="1" si="22"/>
        <v>539516</v>
      </c>
      <c r="O217" s="3002">
        <f t="shared" ca="1" si="23"/>
        <v>54</v>
      </c>
    </row>
    <row r="218" spans="1:15" ht="24">
      <c r="A218" s="3007">
        <v>215</v>
      </c>
      <c r="B218" s="3007" t="s">
        <v>3274</v>
      </c>
      <c r="C218" s="3004" t="s">
        <v>3564</v>
      </c>
      <c r="D218" s="3007" t="s">
        <v>3887</v>
      </c>
      <c r="E218" s="3008" t="s">
        <v>3888</v>
      </c>
      <c r="F218" s="3011">
        <v>53.3</v>
      </c>
      <c r="G218" s="3011">
        <v>5.95</v>
      </c>
      <c r="H218" s="3004" t="s">
        <v>1373</v>
      </c>
      <c r="I218" s="3007" t="s">
        <v>3563</v>
      </c>
      <c r="J218" s="3010">
        <f t="shared" si="24"/>
        <v>56156</v>
      </c>
      <c r="K218" s="3007" t="str">
        <f t="shared" si="25"/>
        <v>12层</v>
      </c>
      <c r="L218" s="3007" t="str">
        <f>$L$217</f>
        <v>11层</v>
      </c>
      <c r="N218" s="3002">
        <f t="shared" ca="1" si="22"/>
        <v>558264</v>
      </c>
      <c r="O218" s="3002">
        <f t="shared" ca="1" si="23"/>
        <v>56</v>
      </c>
    </row>
    <row r="219" spans="1:15" ht="24">
      <c r="A219" s="3007">
        <v>216</v>
      </c>
      <c r="B219" s="3007" t="s">
        <v>3275</v>
      </c>
      <c r="C219" s="3004" t="s">
        <v>3840</v>
      </c>
      <c r="D219" s="3007" t="s">
        <v>3889</v>
      </c>
      <c r="E219" s="3008" t="s">
        <v>3890</v>
      </c>
      <c r="F219" s="3011">
        <v>53.28</v>
      </c>
      <c r="G219" s="3011">
        <v>5.95</v>
      </c>
      <c r="H219" s="3004" t="s">
        <v>1373</v>
      </c>
      <c r="I219" s="3007" t="s">
        <v>3843</v>
      </c>
      <c r="J219" s="3010">
        <f t="shared" si="24"/>
        <v>56156</v>
      </c>
      <c r="K219" s="3007" t="str">
        <f t="shared" si="25"/>
        <v>12层</v>
      </c>
      <c r="L219" s="3007" t="str">
        <f t="shared" ref="L219:L228" si="26">$L$217</f>
        <v>11层</v>
      </c>
      <c r="N219" s="3002">
        <f t="shared" ca="1" si="22"/>
        <v>558055</v>
      </c>
      <c r="O219" s="3002">
        <f t="shared" ca="1" si="23"/>
        <v>56</v>
      </c>
    </row>
    <row r="220" spans="1:15" ht="24">
      <c r="A220" s="3007">
        <v>217</v>
      </c>
      <c r="B220" s="3007" t="s">
        <v>3276</v>
      </c>
      <c r="C220" s="3004" t="s">
        <v>3527</v>
      </c>
      <c r="D220" s="3007" t="s">
        <v>3891</v>
      </c>
      <c r="E220" s="3008" t="s">
        <v>3892</v>
      </c>
      <c r="F220" s="3011">
        <v>53.3</v>
      </c>
      <c r="G220" s="3011">
        <v>5.95</v>
      </c>
      <c r="H220" s="3004" t="s">
        <v>1373</v>
      </c>
      <c r="I220" s="3007" t="s">
        <v>3530</v>
      </c>
      <c r="J220" s="3010">
        <f t="shared" si="24"/>
        <v>56156</v>
      </c>
      <c r="K220" s="3007" t="str">
        <f t="shared" si="25"/>
        <v>12层</v>
      </c>
      <c r="L220" s="3007" t="str">
        <f t="shared" si="26"/>
        <v>11层</v>
      </c>
      <c r="N220" s="3002">
        <f t="shared" ca="1" si="22"/>
        <v>558264</v>
      </c>
      <c r="O220" s="3002">
        <f t="shared" ca="1" si="23"/>
        <v>56</v>
      </c>
    </row>
    <row r="221" spans="1:15" ht="24">
      <c r="A221" s="3007">
        <v>218</v>
      </c>
      <c r="B221" s="3007" t="s">
        <v>3277</v>
      </c>
      <c r="C221" s="3004" t="s">
        <v>3527</v>
      </c>
      <c r="D221" s="3007" t="s">
        <v>3893</v>
      </c>
      <c r="E221" s="3008" t="s">
        <v>3894</v>
      </c>
      <c r="F221" s="3011">
        <v>71.97</v>
      </c>
      <c r="G221" s="3011">
        <v>8.0299999999999994</v>
      </c>
      <c r="H221" s="3004" t="s">
        <v>1373</v>
      </c>
      <c r="I221" s="3007" t="s">
        <v>3530</v>
      </c>
      <c r="J221" s="3010">
        <f t="shared" si="24"/>
        <v>56156</v>
      </c>
      <c r="K221" s="3007" t="str">
        <f t="shared" si="25"/>
        <v>12层</v>
      </c>
      <c r="L221" s="3007" t="str">
        <f t="shared" si="26"/>
        <v>11层</v>
      </c>
      <c r="N221" s="3002">
        <f t="shared" ca="1" si="22"/>
        <v>753814</v>
      </c>
      <c r="O221" s="3002">
        <f t="shared" ca="1" si="23"/>
        <v>75</v>
      </c>
    </row>
    <row r="222" spans="1:15" ht="24">
      <c r="A222" s="3007">
        <v>219</v>
      </c>
      <c r="B222" s="3007" t="s">
        <v>3278</v>
      </c>
      <c r="C222" s="3004" t="s">
        <v>3527</v>
      </c>
      <c r="D222" s="3007" t="s">
        <v>3895</v>
      </c>
      <c r="E222" s="3008" t="s">
        <v>3896</v>
      </c>
      <c r="F222" s="3011">
        <v>72.39</v>
      </c>
      <c r="G222" s="3011">
        <v>8.08</v>
      </c>
      <c r="H222" s="3004" t="s">
        <v>1373</v>
      </c>
      <c r="I222" s="3007" t="s">
        <v>3530</v>
      </c>
      <c r="J222" s="3010">
        <f t="shared" si="24"/>
        <v>56156</v>
      </c>
      <c r="K222" s="3007" t="str">
        <f t="shared" si="25"/>
        <v>12层</v>
      </c>
      <c r="L222" s="3007" t="str">
        <f t="shared" si="26"/>
        <v>11层</v>
      </c>
      <c r="N222" s="3002">
        <f t="shared" ca="1" si="22"/>
        <v>758213</v>
      </c>
      <c r="O222" s="3002">
        <f t="shared" ca="1" si="23"/>
        <v>76</v>
      </c>
    </row>
    <row r="223" spans="1:15" ht="24">
      <c r="A223" s="3007">
        <v>220</v>
      </c>
      <c r="B223" s="3007" t="s">
        <v>3279</v>
      </c>
      <c r="C223" s="3004" t="s">
        <v>3527</v>
      </c>
      <c r="D223" s="3007" t="s">
        <v>3897</v>
      </c>
      <c r="E223" s="3008" t="s">
        <v>3898</v>
      </c>
      <c r="F223" s="3011">
        <v>52.89</v>
      </c>
      <c r="G223" s="3011">
        <v>5.9</v>
      </c>
      <c r="H223" s="3004" t="s">
        <v>1373</v>
      </c>
      <c r="I223" s="3007" t="s">
        <v>3843</v>
      </c>
      <c r="J223" s="3010">
        <f t="shared" si="24"/>
        <v>56156</v>
      </c>
      <c r="K223" s="3007" t="str">
        <f t="shared" si="25"/>
        <v>12层</v>
      </c>
      <c r="L223" s="3007" t="str">
        <f t="shared" si="26"/>
        <v>11层</v>
      </c>
      <c r="N223" s="3002">
        <f t="shared" ca="1" si="22"/>
        <v>553970</v>
      </c>
      <c r="O223" s="3002">
        <f t="shared" ca="1" si="23"/>
        <v>55</v>
      </c>
    </row>
    <row r="224" spans="1:15" ht="24">
      <c r="A224" s="3007">
        <v>221</v>
      </c>
      <c r="B224" s="3007" t="s">
        <v>3280</v>
      </c>
      <c r="C224" s="3004" t="s">
        <v>3840</v>
      </c>
      <c r="D224" s="3007" t="s">
        <v>3899</v>
      </c>
      <c r="E224" s="3008" t="s">
        <v>3900</v>
      </c>
      <c r="F224" s="3011">
        <v>52.96</v>
      </c>
      <c r="G224" s="3011">
        <v>5.91</v>
      </c>
      <c r="H224" s="3004" t="s">
        <v>1373</v>
      </c>
      <c r="I224" s="3007" t="s">
        <v>3901</v>
      </c>
      <c r="J224" s="3010">
        <f t="shared" si="24"/>
        <v>56156</v>
      </c>
      <c r="K224" s="3007" t="str">
        <f t="shared" si="25"/>
        <v>12层</v>
      </c>
      <c r="L224" s="3007" t="str">
        <f t="shared" si="26"/>
        <v>11层</v>
      </c>
      <c r="N224" s="3002">
        <f t="shared" ca="1" si="22"/>
        <v>554703</v>
      </c>
      <c r="O224" s="3002">
        <f t="shared" ca="1" si="23"/>
        <v>55</v>
      </c>
    </row>
    <row r="225" spans="1:15" ht="24">
      <c r="A225" s="3007">
        <v>222</v>
      </c>
      <c r="B225" s="3007" t="s">
        <v>3281</v>
      </c>
      <c r="C225" s="3004" t="s">
        <v>3902</v>
      </c>
      <c r="D225" s="3007" t="s">
        <v>3903</v>
      </c>
      <c r="E225" s="3008" t="s">
        <v>3904</v>
      </c>
      <c r="F225" s="3011">
        <v>52.93</v>
      </c>
      <c r="G225" s="3011">
        <v>5.91</v>
      </c>
      <c r="H225" s="3004" t="s">
        <v>1373</v>
      </c>
      <c r="I225" s="3007" t="s">
        <v>3563</v>
      </c>
      <c r="J225" s="3010">
        <f t="shared" si="24"/>
        <v>56156</v>
      </c>
      <c r="K225" s="3007" t="str">
        <f t="shared" si="25"/>
        <v>12层</v>
      </c>
      <c r="L225" s="3007" t="str">
        <f t="shared" si="26"/>
        <v>11层</v>
      </c>
      <c r="N225" s="3002">
        <f t="shared" ca="1" si="22"/>
        <v>554389</v>
      </c>
      <c r="O225" s="3002">
        <f t="shared" ca="1" si="23"/>
        <v>55</v>
      </c>
    </row>
    <row r="226" spans="1:15" ht="24">
      <c r="A226" s="3007">
        <v>223</v>
      </c>
      <c r="B226" s="3007" t="s">
        <v>3282</v>
      </c>
      <c r="C226" s="3004" t="s">
        <v>3564</v>
      </c>
      <c r="D226" s="3007" t="s">
        <v>3905</v>
      </c>
      <c r="E226" s="3008" t="s">
        <v>3906</v>
      </c>
      <c r="F226" s="3011">
        <v>53.61</v>
      </c>
      <c r="G226" s="3011">
        <v>5.98</v>
      </c>
      <c r="H226" s="3004" t="s">
        <v>1373</v>
      </c>
      <c r="I226" s="3007" t="s">
        <v>3563</v>
      </c>
      <c r="J226" s="3010">
        <f t="shared" si="24"/>
        <v>56156</v>
      </c>
      <c r="K226" s="3007" t="str">
        <f t="shared" si="25"/>
        <v>12层</v>
      </c>
      <c r="L226" s="3007" t="str">
        <f t="shared" si="26"/>
        <v>11层</v>
      </c>
      <c r="N226" s="3002">
        <f t="shared" ca="1" si="22"/>
        <v>561511</v>
      </c>
      <c r="O226" s="3002">
        <f t="shared" ca="1" si="23"/>
        <v>56</v>
      </c>
    </row>
    <row r="227" spans="1:15" ht="24">
      <c r="A227" s="3007">
        <v>224</v>
      </c>
      <c r="B227" s="3007" t="s">
        <v>3283</v>
      </c>
      <c r="C227" s="3004" t="s">
        <v>3564</v>
      </c>
      <c r="D227" s="3007" t="s">
        <v>3907</v>
      </c>
      <c r="E227" s="3008" t="s">
        <v>3908</v>
      </c>
      <c r="F227" s="3011">
        <v>61.96</v>
      </c>
      <c r="G227" s="3011">
        <v>6.91</v>
      </c>
      <c r="H227" s="3004" t="s">
        <v>1373</v>
      </c>
      <c r="I227" s="3007" t="s">
        <v>3563</v>
      </c>
      <c r="J227" s="3010">
        <f t="shared" si="24"/>
        <v>56156</v>
      </c>
      <c r="K227" s="3007" t="str">
        <f t="shared" si="25"/>
        <v>12层</v>
      </c>
      <c r="L227" s="3007" t="str">
        <f t="shared" si="26"/>
        <v>11层</v>
      </c>
      <c r="N227" s="3002">
        <f t="shared" ca="1" si="22"/>
        <v>648969</v>
      </c>
      <c r="O227" s="3002">
        <f t="shared" ca="1" si="23"/>
        <v>65</v>
      </c>
    </row>
    <row r="228" spans="1:15" ht="24">
      <c r="A228" s="3007">
        <v>225</v>
      </c>
      <c r="B228" s="3007" t="s">
        <v>3284</v>
      </c>
      <c r="C228" s="3004" t="s">
        <v>3564</v>
      </c>
      <c r="D228" s="3007" t="s">
        <v>3909</v>
      </c>
      <c r="E228" s="3008" t="s">
        <v>3910</v>
      </c>
      <c r="F228" s="3011">
        <v>66.66</v>
      </c>
      <c r="G228" s="3011">
        <v>7.44</v>
      </c>
      <c r="H228" s="3004" t="s">
        <v>1373</v>
      </c>
      <c r="I228" s="3007" t="s">
        <v>3563</v>
      </c>
      <c r="J228" s="3010">
        <f t="shared" si="24"/>
        <v>56156</v>
      </c>
      <c r="K228" s="3007" t="str">
        <f t="shared" si="25"/>
        <v>12层</v>
      </c>
      <c r="L228" s="3007" t="str">
        <f t="shared" si="26"/>
        <v>11层</v>
      </c>
      <c r="N228" s="3002">
        <f t="shared" ca="1" si="22"/>
        <v>698197</v>
      </c>
      <c r="O228" s="3002">
        <f t="shared" ca="1" si="23"/>
        <v>70</v>
      </c>
    </row>
    <row r="229" spans="1:15" ht="25.5" customHeight="1">
      <c r="A229" s="3384" t="s">
        <v>3911</v>
      </c>
      <c r="B229" s="3384"/>
      <c r="C229" s="3384"/>
      <c r="D229" s="3384"/>
      <c r="E229" s="3384"/>
      <c r="F229" s="3012">
        <f>SUM(F4:F228)</f>
        <v>13106.659999999993</v>
      </c>
      <c r="G229" s="3012">
        <f>SUM(G4:G228)</f>
        <v>1462.7400000000021</v>
      </c>
      <c r="H229" s="3007"/>
      <c r="I229" s="3007"/>
      <c r="J229" s="3012"/>
      <c r="K229" s="3007"/>
      <c r="L229" s="3007"/>
      <c r="N229" s="3002">
        <f ca="1">SUM(N4:N228)</f>
        <v>137279155</v>
      </c>
      <c r="O229" s="3002">
        <f ca="1">SUM(O4:O228)</f>
        <v>13729</v>
      </c>
    </row>
    <row r="232" spans="1:15">
      <c r="G232" s="3014"/>
    </row>
    <row r="233" spans="1:15">
      <c r="C233" s="3002" t="s">
        <v>4498</v>
      </c>
      <c r="D233" s="3002" t="s">
        <v>4499</v>
      </c>
      <c r="E233" s="3013" t="s">
        <v>4500</v>
      </c>
      <c r="F233" s="3002" t="s">
        <v>4501</v>
      </c>
      <c r="G233" s="3014" t="s">
        <v>4502</v>
      </c>
      <c r="H233" s="3002" t="s">
        <v>4503</v>
      </c>
    </row>
    <row r="234" spans="1:15">
      <c r="B234" s="3002">
        <v>3</v>
      </c>
      <c r="C234" s="3002">
        <f>A228</f>
        <v>225</v>
      </c>
      <c r="D234" s="3014">
        <f>G229</f>
        <v>1462.7400000000021</v>
      </c>
      <c r="E234" s="3013">
        <f ca="1">N229</f>
        <v>137279155</v>
      </c>
      <c r="F234" s="3014">
        <f ca="1">O229</f>
        <v>13729</v>
      </c>
      <c r="G234" s="3014">
        <f>F229</f>
        <v>13106.659999999993</v>
      </c>
      <c r="H234" s="3002">
        <f ca="1">(F234+F236)/(G234+G236)</f>
        <v>1.0471675321334499</v>
      </c>
    </row>
    <row r="235" spans="1:15">
      <c r="B235" s="3002">
        <v>6</v>
      </c>
      <c r="C235" s="3002">
        <f>'6号楼面积清单'!A126-5</f>
        <v>118</v>
      </c>
      <c r="D235" s="3002">
        <f>'6号楼面积清单'!G127</f>
        <v>947.49000000000024</v>
      </c>
      <c r="E235" s="3013">
        <f>'6号楼面积清单'!N127</f>
        <v>81758376</v>
      </c>
      <c r="F235" s="3002">
        <f>'6号楼面积清单'!O127</f>
        <v>8169</v>
      </c>
      <c r="G235" s="3002">
        <f>'6号楼面积清单'!F127</f>
        <v>7397.6099999999988</v>
      </c>
      <c r="H235" s="3002">
        <f>F235/G235</f>
        <v>1.1042755700827702</v>
      </c>
    </row>
    <row r="236" spans="1:15">
      <c r="B236" s="3002">
        <v>7</v>
      </c>
      <c r="C236" s="3002">
        <f>'7号楼面积清单'!A122</f>
        <v>119</v>
      </c>
      <c r="D236" s="3002">
        <f>'7号楼面积清单'!G123</f>
        <v>929.57999999999993</v>
      </c>
      <c r="E236" s="3013">
        <f ca="1">'7号楼面积清单'!N123</f>
        <v>76888366</v>
      </c>
      <c r="F236" s="3002">
        <f ca="1">'7号楼面积清单'!O123</f>
        <v>7683</v>
      </c>
      <c r="G236" s="3002">
        <f>'7号楼面积清单'!F123</f>
        <v>7340.8800000000037</v>
      </c>
    </row>
    <row r="237" spans="1:15">
      <c r="E237" s="3013">
        <f ca="1">SUM(E234:E236)</f>
        <v>295925897</v>
      </c>
      <c r="F237" s="3014">
        <f ca="1">SUM(F234:F236)</f>
        <v>29581</v>
      </c>
    </row>
  </sheetData>
  <mergeCells count="3">
    <mergeCell ref="A1:L1"/>
    <mergeCell ref="A2:L2"/>
    <mergeCell ref="A229:E229"/>
  </mergeCells>
  <phoneticPr fontId="14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topLeftCell="E115" workbookViewId="0">
      <selection activeCell="R10" sqref="R10"/>
    </sheetView>
  </sheetViews>
  <sheetFormatPr defaultRowHeight="12"/>
  <cols>
    <col min="1" max="1" width="3.625" style="3002" customWidth="1"/>
    <col min="2" max="2" width="6.25" style="3002" customWidth="1"/>
    <col min="3" max="3" width="18.375" style="3002" customWidth="1"/>
    <col min="4" max="4" width="19.875" style="3002" customWidth="1"/>
    <col min="5" max="5" width="18.125" style="3013" customWidth="1"/>
    <col min="6" max="6" width="10.5" style="3002" bestFit="1" customWidth="1"/>
    <col min="7" max="8" width="9" style="3002" customWidth="1"/>
    <col min="9" max="9" width="9" style="3002"/>
    <col min="10" max="10" width="9.125" style="3002" customWidth="1"/>
    <col min="11" max="256" width="9" style="3002"/>
    <col min="257" max="257" width="3.625" style="3002" customWidth="1"/>
    <col min="258" max="258" width="6.25" style="3002" customWidth="1"/>
    <col min="259" max="259" width="18.375" style="3002" customWidth="1"/>
    <col min="260" max="260" width="19.875" style="3002" customWidth="1"/>
    <col min="261" max="261" width="18.125" style="3002" customWidth="1"/>
    <col min="262" max="262" width="10.5" style="3002" bestFit="1" customWidth="1"/>
    <col min="263" max="264" width="9" style="3002" customWidth="1"/>
    <col min="265" max="265" width="9" style="3002"/>
    <col min="266" max="266" width="9.125" style="3002" customWidth="1"/>
    <col min="267" max="512" width="9" style="3002"/>
    <col min="513" max="513" width="3.625" style="3002" customWidth="1"/>
    <col min="514" max="514" width="6.25" style="3002" customWidth="1"/>
    <col min="515" max="515" width="18.375" style="3002" customWidth="1"/>
    <col min="516" max="516" width="19.875" style="3002" customWidth="1"/>
    <col min="517" max="517" width="18.125" style="3002" customWidth="1"/>
    <col min="518" max="518" width="10.5" style="3002" bestFit="1" customWidth="1"/>
    <col min="519" max="520" width="9" style="3002" customWidth="1"/>
    <col min="521" max="521" width="9" style="3002"/>
    <col min="522" max="522" width="9.125" style="3002" customWidth="1"/>
    <col min="523" max="768" width="9" style="3002"/>
    <col min="769" max="769" width="3.625" style="3002" customWidth="1"/>
    <col min="770" max="770" width="6.25" style="3002" customWidth="1"/>
    <col min="771" max="771" width="18.375" style="3002" customWidth="1"/>
    <col min="772" max="772" width="19.875" style="3002" customWidth="1"/>
    <col min="773" max="773" width="18.125" style="3002" customWidth="1"/>
    <col min="774" max="774" width="10.5" style="3002" bestFit="1" customWidth="1"/>
    <col min="775" max="776" width="9" style="3002" customWidth="1"/>
    <col min="777" max="777" width="9" style="3002"/>
    <col min="778" max="778" width="9.125" style="3002" customWidth="1"/>
    <col min="779" max="1024" width="9" style="3002"/>
    <col min="1025" max="1025" width="3.625" style="3002" customWidth="1"/>
    <col min="1026" max="1026" width="6.25" style="3002" customWidth="1"/>
    <col min="1027" max="1027" width="18.375" style="3002" customWidth="1"/>
    <col min="1028" max="1028" width="19.875" style="3002" customWidth="1"/>
    <col min="1029" max="1029" width="18.125" style="3002" customWidth="1"/>
    <col min="1030" max="1030" width="10.5" style="3002" bestFit="1" customWidth="1"/>
    <col min="1031" max="1032" width="9" style="3002" customWidth="1"/>
    <col min="1033" max="1033" width="9" style="3002"/>
    <col min="1034" max="1034" width="9.125" style="3002" customWidth="1"/>
    <col min="1035" max="1280" width="9" style="3002"/>
    <col min="1281" max="1281" width="3.625" style="3002" customWidth="1"/>
    <col min="1282" max="1282" width="6.25" style="3002" customWidth="1"/>
    <col min="1283" max="1283" width="18.375" style="3002" customWidth="1"/>
    <col min="1284" max="1284" width="19.875" style="3002" customWidth="1"/>
    <col min="1285" max="1285" width="18.125" style="3002" customWidth="1"/>
    <col min="1286" max="1286" width="10.5" style="3002" bestFit="1" customWidth="1"/>
    <col min="1287" max="1288" width="9" style="3002" customWidth="1"/>
    <col min="1289" max="1289" width="9" style="3002"/>
    <col min="1290" max="1290" width="9.125" style="3002" customWidth="1"/>
    <col min="1291" max="1536" width="9" style="3002"/>
    <col min="1537" max="1537" width="3.625" style="3002" customWidth="1"/>
    <col min="1538" max="1538" width="6.25" style="3002" customWidth="1"/>
    <col min="1539" max="1539" width="18.375" style="3002" customWidth="1"/>
    <col min="1540" max="1540" width="19.875" style="3002" customWidth="1"/>
    <col min="1541" max="1541" width="18.125" style="3002" customWidth="1"/>
    <col min="1542" max="1542" width="10.5" style="3002" bestFit="1" customWidth="1"/>
    <col min="1543" max="1544" width="9" style="3002" customWidth="1"/>
    <col min="1545" max="1545" width="9" style="3002"/>
    <col min="1546" max="1546" width="9.125" style="3002" customWidth="1"/>
    <col min="1547" max="1792" width="9" style="3002"/>
    <col min="1793" max="1793" width="3.625" style="3002" customWidth="1"/>
    <col min="1794" max="1794" width="6.25" style="3002" customWidth="1"/>
    <col min="1795" max="1795" width="18.375" style="3002" customWidth="1"/>
    <col min="1796" max="1796" width="19.875" style="3002" customWidth="1"/>
    <col min="1797" max="1797" width="18.125" style="3002" customWidth="1"/>
    <col min="1798" max="1798" width="10.5" style="3002" bestFit="1" customWidth="1"/>
    <col min="1799" max="1800" width="9" style="3002" customWidth="1"/>
    <col min="1801" max="1801" width="9" style="3002"/>
    <col min="1802" max="1802" width="9.125" style="3002" customWidth="1"/>
    <col min="1803" max="2048" width="9" style="3002"/>
    <col min="2049" max="2049" width="3.625" style="3002" customWidth="1"/>
    <col min="2050" max="2050" width="6.25" style="3002" customWidth="1"/>
    <col min="2051" max="2051" width="18.375" style="3002" customWidth="1"/>
    <col min="2052" max="2052" width="19.875" style="3002" customWidth="1"/>
    <col min="2053" max="2053" width="18.125" style="3002" customWidth="1"/>
    <col min="2054" max="2054" width="10.5" style="3002" bestFit="1" customWidth="1"/>
    <col min="2055" max="2056" width="9" style="3002" customWidth="1"/>
    <col min="2057" max="2057" width="9" style="3002"/>
    <col min="2058" max="2058" width="9.125" style="3002" customWidth="1"/>
    <col min="2059" max="2304" width="9" style="3002"/>
    <col min="2305" max="2305" width="3.625" style="3002" customWidth="1"/>
    <col min="2306" max="2306" width="6.25" style="3002" customWidth="1"/>
    <col min="2307" max="2307" width="18.375" style="3002" customWidth="1"/>
    <col min="2308" max="2308" width="19.875" style="3002" customWidth="1"/>
    <col min="2309" max="2309" width="18.125" style="3002" customWidth="1"/>
    <col min="2310" max="2310" width="10.5" style="3002" bestFit="1" customWidth="1"/>
    <col min="2311" max="2312" width="9" style="3002" customWidth="1"/>
    <col min="2313" max="2313" width="9" style="3002"/>
    <col min="2314" max="2314" width="9.125" style="3002" customWidth="1"/>
    <col min="2315" max="2560" width="9" style="3002"/>
    <col min="2561" max="2561" width="3.625" style="3002" customWidth="1"/>
    <col min="2562" max="2562" width="6.25" style="3002" customWidth="1"/>
    <col min="2563" max="2563" width="18.375" style="3002" customWidth="1"/>
    <col min="2564" max="2564" width="19.875" style="3002" customWidth="1"/>
    <col min="2565" max="2565" width="18.125" style="3002" customWidth="1"/>
    <col min="2566" max="2566" width="10.5" style="3002" bestFit="1" customWidth="1"/>
    <col min="2567" max="2568" width="9" style="3002" customWidth="1"/>
    <col min="2569" max="2569" width="9" style="3002"/>
    <col min="2570" max="2570" width="9.125" style="3002" customWidth="1"/>
    <col min="2571" max="2816" width="9" style="3002"/>
    <col min="2817" max="2817" width="3.625" style="3002" customWidth="1"/>
    <col min="2818" max="2818" width="6.25" style="3002" customWidth="1"/>
    <col min="2819" max="2819" width="18.375" style="3002" customWidth="1"/>
    <col min="2820" max="2820" width="19.875" style="3002" customWidth="1"/>
    <col min="2821" max="2821" width="18.125" style="3002" customWidth="1"/>
    <col min="2822" max="2822" width="10.5" style="3002" bestFit="1" customWidth="1"/>
    <col min="2823" max="2824" width="9" style="3002" customWidth="1"/>
    <col min="2825" max="2825" width="9" style="3002"/>
    <col min="2826" max="2826" width="9.125" style="3002" customWidth="1"/>
    <col min="2827" max="3072" width="9" style="3002"/>
    <col min="3073" max="3073" width="3.625" style="3002" customWidth="1"/>
    <col min="3074" max="3074" width="6.25" style="3002" customWidth="1"/>
    <col min="3075" max="3075" width="18.375" style="3002" customWidth="1"/>
    <col min="3076" max="3076" width="19.875" style="3002" customWidth="1"/>
    <col min="3077" max="3077" width="18.125" style="3002" customWidth="1"/>
    <col min="3078" max="3078" width="10.5" style="3002" bestFit="1" customWidth="1"/>
    <col min="3079" max="3080" width="9" style="3002" customWidth="1"/>
    <col min="3081" max="3081" width="9" style="3002"/>
    <col min="3082" max="3082" width="9.125" style="3002" customWidth="1"/>
    <col min="3083" max="3328" width="9" style="3002"/>
    <col min="3329" max="3329" width="3.625" style="3002" customWidth="1"/>
    <col min="3330" max="3330" width="6.25" style="3002" customWidth="1"/>
    <col min="3331" max="3331" width="18.375" style="3002" customWidth="1"/>
    <col min="3332" max="3332" width="19.875" style="3002" customWidth="1"/>
    <col min="3333" max="3333" width="18.125" style="3002" customWidth="1"/>
    <col min="3334" max="3334" width="10.5" style="3002" bestFit="1" customWidth="1"/>
    <col min="3335" max="3336" width="9" style="3002" customWidth="1"/>
    <col min="3337" max="3337" width="9" style="3002"/>
    <col min="3338" max="3338" width="9.125" style="3002" customWidth="1"/>
    <col min="3339" max="3584" width="9" style="3002"/>
    <col min="3585" max="3585" width="3.625" style="3002" customWidth="1"/>
    <col min="3586" max="3586" width="6.25" style="3002" customWidth="1"/>
    <col min="3587" max="3587" width="18.375" style="3002" customWidth="1"/>
    <col min="3588" max="3588" width="19.875" style="3002" customWidth="1"/>
    <col min="3589" max="3589" width="18.125" style="3002" customWidth="1"/>
    <col min="3590" max="3590" width="10.5" style="3002" bestFit="1" customWidth="1"/>
    <col min="3591" max="3592" width="9" style="3002" customWidth="1"/>
    <col min="3593" max="3593" width="9" style="3002"/>
    <col min="3594" max="3594" width="9.125" style="3002" customWidth="1"/>
    <col min="3595" max="3840" width="9" style="3002"/>
    <col min="3841" max="3841" width="3.625" style="3002" customWidth="1"/>
    <col min="3842" max="3842" width="6.25" style="3002" customWidth="1"/>
    <col min="3843" max="3843" width="18.375" style="3002" customWidth="1"/>
    <col min="3844" max="3844" width="19.875" style="3002" customWidth="1"/>
    <col min="3845" max="3845" width="18.125" style="3002" customWidth="1"/>
    <col min="3846" max="3846" width="10.5" style="3002" bestFit="1" customWidth="1"/>
    <col min="3847" max="3848" width="9" style="3002" customWidth="1"/>
    <col min="3849" max="3849" width="9" style="3002"/>
    <col min="3850" max="3850" width="9.125" style="3002" customWidth="1"/>
    <col min="3851" max="4096" width="9" style="3002"/>
    <col min="4097" max="4097" width="3.625" style="3002" customWidth="1"/>
    <col min="4098" max="4098" width="6.25" style="3002" customWidth="1"/>
    <col min="4099" max="4099" width="18.375" style="3002" customWidth="1"/>
    <col min="4100" max="4100" width="19.875" style="3002" customWidth="1"/>
    <col min="4101" max="4101" width="18.125" style="3002" customWidth="1"/>
    <col min="4102" max="4102" width="10.5" style="3002" bestFit="1" customWidth="1"/>
    <col min="4103" max="4104" width="9" style="3002" customWidth="1"/>
    <col min="4105" max="4105" width="9" style="3002"/>
    <col min="4106" max="4106" width="9.125" style="3002" customWidth="1"/>
    <col min="4107" max="4352" width="9" style="3002"/>
    <col min="4353" max="4353" width="3.625" style="3002" customWidth="1"/>
    <col min="4354" max="4354" width="6.25" style="3002" customWidth="1"/>
    <col min="4355" max="4355" width="18.375" style="3002" customWidth="1"/>
    <col min="4356" max="4356" width="19.875" style="3002" customWidth="1"/>
    <col min="4357" max="4357" width="18.125" style="3002" customWidth="1"/>
    <col min="4358" max="4358" width="10.5" style="3002" bestFit="1" customWidth="1"/>
    <col min="4359" max="4360" width="9" style="3002" customWidth="1"/>
    <col min="4361" max="4361" width="9" style="3002"/>
    <col min="4362" max="4362" width="9.125" style="3002" customWidth="1"/>
    <col min="4363" max="4608" width="9" style="3002"/>
    <col min="4609" max="4609" width="3.625" style="3002" customWidth="1"/>
    <col min="4610" max="4610" width="6.25" style="3002" customWidth="1"/>
    <col min="4611" max="4611" width="18.375" style="3002" customWidth="1"/>
    <col min="4612" max="4612" width="19.875" style="3002" customWidth="1"/>
    <col min="4613" max="4613" width="18.125" style="3002" customWidth="1"/>
    <col min="4614" max="4614" width="10.5" style="3002" bestFit="1" customWidth="1"/>
    <col min="4615" max="4616" width="9" style="3002" customWidth="1"/>
    <col min="4617" max="4617" width="9" style="3002"/>
    <col min="4618" max="4618" width="9.125" style="3002" customWidth="1"/>
    <col min="4619" max="4864" width="9" style="3002"/>
    <col min="4865" max="4865" width="3.625" style="3002" customWidth="1"/>
    <col min="4866" max="4866" width="6.25" style="3002" customWidth="1"/>
    <col min="4867" max="4867" width="18.375" style="3002" customWidth="1"/>
    <col min="4868" max="4868" width="19.875" style="3002" customWidth="1"/>
    <col min="4869" max="4869" width="18.125" style="3002" customWidth="1"/>
    <col min="4870" max="4870" width="10.5" style="3002" bestFit="1" customWidth="1"/>
    <col min="4871" max="4872" width="9" style="3002" customWidth="1"/>
    <col min="4873" max="4873" width="9" style="3002"/>
    <col min="4874" max="4874" width="9.125" style="3002" customWidth="1"/>
    <col min="4875" max="5120" width="9" style="3002"/>
    <col min="5121" max="5121" width="3.625" style="3002" customWidth="1"/>
    <col min="5122" max="5122" width="6.25" style="3002" customWidth="1"/>
    <col min="5123" max="5123" width="18.375" style="3002" customWidth="1"/>
    <col min="5124" max="5124" width="19.875" style="3002" customWidth="1"/>
    <col min="5125" max="5125" width="18.125" style="3002" customWidth="1"/>
    <col min="5126" max="5126" width="10.5" style="3002" bestFit="1" customWidth="1"/>
    <col min="5127" max="5128" width="9" style="3002" customWidth="1"/>
    <col min="5129" max="5129" width="9" style="3002"/>
    <col min="5130" max="5130" width="9.125" style="3002" customWidth="1"/>
    <col min="5131" max="5376" width="9" style="3002"/>
    <col min="5377" max="5377" width="3.625" style="3002" customWidth="1"/>
    <col min="5378" max="5378" width="6.25" style="3002" customWidth="1"/>
    <col min="5379" max="5379" width="18.375" style="3002" customWidth="1"/>
    <col min="5380" max="5380" width="19.875" style="3002" customWidth="1"/>
    <col min="5381" max="5381" width="18.125" style="3002" customWidth="1"/>
    <col min="5382" max="5382" width="10.5" style="3002" bestFit="1" customWidth="1"/>
    <col min="5383" max="5384" width="9" style="3002" customWidth="1"/>
    <col min="5385" max="5385" width="9" style="3002"/>
    <col min="5386" max="5386" width="9.125" style="3002" customWidth="1"/>
    <col min="5387" max="5632" width="9" style="3002"/>
    <col min="5633" max="5633" width="3.625" style="3002" customWidth="1"/>
    <col min="5634" max="5634" width="6.25" style="3002" customWidth="1"/>
    <col min="5635" max="5635" width="18.375" style="3002" customWidth="1"/>
    <col min="5636" max="5636" width="19.875" style="3002" customWidth="1"/>
    <col min="5637" max="5637" width="18.125" style="3002" customWidth="1"/>
    <col min="5638" max="5638" width="10.5" style="3002" bestFit="1" customWidth="1"/>
    <col min="5639" max="5640" width="9" style="3002" customWidth="1"/>
    <col min="5641" max="5641" width="9" style="3002"/>
    <col min="5642" max="5642" width="9.125" style="3002" customWidth="1"/>
    <col min="5643" max="5888" width="9" style="3002"/>
    <col min="5889" max="5889" width="3.625" style="3002" customWidth="1"/>
    <col min="5890" max="5890" width="6.25" style="3002" customWidth="1"/>
    <col min="5891" max="5891" width="18.375" style="3002" customWidth="1"/>
    <col min="5892" max="5892" width="19.875" style="3002" customWidth="1"/>
    <col min="5893" max="5893" width="18.125" style="3002" customWidth="1"/>
    <col min="5894" max="5894" width="10.5" style="3002" bestFit="1" customWidth="1"/>
    <col min="5895" max="5896" width="9" style="3002" customWidth="1"/>
    <col min="5897" max="5897" width="9" style="3002"/>
    <col min="5898" max="5898" width="9.125" style="3002" customWidth="1"/>
    <col min="5899" max="6144" width="9" style="3002"/>
    <col min="6145" max="6145" width="3.625" style="3002" customWidth="1"/>
    <col min="6146" max="6146" width="6.25" style="3002" customWidth="1"/>
    <col min="6147" max="6147" width="18.375" style="3002" customWidth="1"/>
    <col min="6148" max="6148" width="19.875" style="3002" customWidth="1"/>
    <col min="6149" max="6149" width="18.125" style="3002" customWidth="1"/>
    <col min="6150" max="6150" width="10.5" style="3002" bestFit="1" customWidth="1"/>
    <col min="6151" max="6152" width="9" style="3002" customWidth="1"/>
    <col min="6153" max="6153" width="9" style="3002"/>
    <col min="6154" max="6154" width="9.125" style="3002" customWidth="1"/>
    <col min="6155" max="6400" width="9" style="3002"/>
    <col min="6401" max="6401" width="3.625" style="3002" customWidth="1"/>
    <col min="6402" max="6402" width="6.25" style="3002" customWidth="1"/>
    <col min="6403" max="6403" width="18.375" style="3002" customWidth="1"/>
    <col min="6404" max="6404" width="19.875" style="3002" customWidth="1"/>
    <col min="6405" max="6405" width="18.125" style="3002" customWidth="1"/>
    <col min="6406" max="6406" width="10.5" style="3002" bestFit="1" customWidth="1"/>
    <col min="6407" max="6408" width="9" style="3002" customWidth="1"/>
    <col min="6409" max="6409" width="9" style="3002"/>
    <col min="6410" max="6410" width="9.125" style="3002" customWidth="1"/>
    <col min="6411" max="6656" width="9" style="3002"/>
    <col min="6657" max="6657" width="3.625" style="3002" customWidth="1"/>
    <col min="6658" max="6658" width="6.25" style="3002" customWidth="1"/>
    <col min="6659" max="6659" width="18.375" style="3002" customWidth="1"/>
    <col min="6660" max="6660" width="19.875" style="3002" customWidth="1"/>
    <col min="6661" max="6661" width="18.125" style="3002" customWidth="1"/>
    <col min="6662" max="6662" width="10.5" style="3002" bestFit="1" customWidth="1"/>
    <col min="6663" max="6664" width="9" style="3002" customWidth="1"/>
    <col min="6665" max="6665" width="9" style="3002"/>
    <col min="6666" max="6666" width="9.125" style="3002" customWidth="1"/>
    <col min="6667" max="6912" width="9" style="3002"/>
    <col min="6913" max="6913" width="3.625" style="3002" customWidth="1"/>
    <col min="6914" max="6914" width="6.25" style="3002" customWidth="1"/>
    <col min="6915" max="6915" width="18.375" style="3002" customWidth="1"/>
    <col min="6916" max="6916" width="19.875" style="3002" customWidth="1"/>
    <col min="6917" max="6917" width="18.125" style="3002" customWidth="1"/>
    <col min="6918" max="6918" width="10.5" style="3002" bestFit="1" customWidth="1"/>
    <col min="6919" max="6920" width="9" style="3002" customWidth="1"/>
    <col min="6921" max="6921" width="9" style="3002"/>
    <col min="6922" max="6922" width="9.125" style="3002" customWidth="1"/>
    <col min="6923" max="7168" width="9" style="3002"/>
    <col min="7169" max="7169" width="3.625" style="3002" customWidth="1"/>
    <col min="7170" max="7170" width="6.25" style="3002" customWidth="1"/>
    <col min="7171" max="7171" width="18.375" style="3002" customWidth="1"/>
    <col min="7172" max="7172" width="19.875" style="3002" customWidth="1"/>
    <col min="7173" max="7173" width="18.125" style="3002" customWidth="1"/>
    <col min="7174" max="7174" width="10.5" style="3002" bestFit="1" customWidth="1"/>
    <col min="7175" max="7176" width="9" style="3002" customWidth="1"/>
    <col min="7177" max="7177" width="9" style="3002"/>
    <col min="7178" max="7178" width="9.125" style="3002" customWidth="1"/>
    <col min="7179" max="7424" width="9" style="3002"/>
    <col min="7425" max="7425" width="3.625" style="3002" customWidth="1"/>
    <col min="7426" max="7426" width="6.25" style="3002" customWidth="1"/>
    <col min="7427" max="7427" width="18.375" style="3002" customWidth="1"/>
    <col min="7428" max="7428" width="19.875" style="3002" customWidth="1"/>
    <col min="7429" max="7429" width="18.125" style="3002" customWidth="1"/>
    <col min="7430" max="7430" width="10.5" style="3002" bestFit="1" customWidth="1"/>
    <col min="7431" max="7432" width="9" style="3002" customWidth="1"/>
    <col min="7433" max="7433" width="9" style="3002"/>
    <col min="7434" max="7434" width="9.125" style="3002" customWidth="1"/>
    <col min="7435" max="7680" width="9" style="3002"/>
    <col min="7681" max="7681" width="3.625" style="3002" customWidth="1"/>
    <col min="7682" max="7682" width="6.25" style="3002" customWidth="1"/>
    <col min="7683" max="7683" width="18.375" style="3002" customWidth="1"/>
    <col min="7684" max="7684" width="19.875" style="3002" customWidth="1"/>
    <col min="7685" max="7685" width="18.125" style="3002" customWidth="1"/>
    <col min="7686" max="7686" width="10.5" style="3002" bestFit="1" customWidth="1"/>
    <col min="7687" max="7688" width="9" style="3002" customWidth="1"/>
    <col min="7689" max="7689" width="9" style="3002"/>
    <col min="7690" max="7690" width="9.125" style="3002" customWidth="1"/>
    <col min="7691" max="7936" width="9" style="3002"/>
    <col min="7937" max="7937" width="3.625" style="3002" customWidth="1"/>
    <col min="7938" max="7938" width="6.25" style="3002" customWidth="1"/>
    <col min="7939" max="7939" width="18.375" style="3002" customWidth="1"/>
    <col min="7940" max="7940" width="19.875" style="3002" customWidth="1"/>
    <col min="7941" max="7941" width="18.125" style="3002" customWidth="1"/>
    <col min="7942" max="7942" width="10.5" style="3002" bestFit="1" customWidth="1"/>
    <col min="7943" max="7944" width="9" style="3002" customWidth="1"/>
    <col min="7945" max="7945" width="9" style="3002"/>
    <col min="7946" max="7946" width="9.125" style="3002" customWidth="1"/>
    <col min="7947" max="8192" width="9" style="3002"/>
    <col min="8193" max="8193" width="3.625" style="3002" customWidth="1"/>
    <col min="8194" max="8194" width="6.25" style="3002" customWidth="1"/>
    <col min="8195" max="8195" width="18.375" style="3002" customWidth="1"/>
    <col min="8196" max="8196" width="19.875" style="3002" customWidth="1"/>
    <col min="8197" max="8197" width="18.125" style="3002" customWidth="1"/>
    <col min="8198" max="8198" width="10.5" style="3002" bestFit="1" customWidth="1"/>
    <col min="8199" max="8200" width="9" style="3002" customWidth="1"/>
    <col min="8201" max="8201" width="9" style="3002"/>
    <col min="8202" max="8202" width="9.125" style="3002" customWidth="1"/>
    <col min="8203" max="8448" width="9" style="3002"/>
    <col min="8449" max="8449" width="3.625" style="3002" customWidth="1"/>
    <col min="8450" max="8450" width="6.25" style="3002" customWidth="1"/>
    <col min="8451" max="8451" width="18.375" style="3002" customWidth="1"/>
    <col min="8452" max="8452" width="19.875" style="3002" customWidth="1"/>
    <col min="8453" max="8453" width="18.125" style="3002" customWidth="1"/>
    <col min="8454" max="8454" width="10.5" style="3002" bestFit="1" customWidth="1"/>
    <col min="8455" max="8456" width="9" style="3002" customWidth="1"/>
    <col min="8457" max="8457" width="9" style="3002"/>
    <col min="8458" max="8458" width="9.125" style="3002" customWidth="1"/>
    <col min="8459" max="8704" width="9" style="3002"/>
    <col min="8705" max="8705" width="3.625" style="3002" customWidth="1"/>
    <col min="8706" max="8706" width="6.25" style="3002" customWidth="1"/>
    <col min="8707" max="8707" width="18.375" style="3002" customWidth="1"/>
    <col min="8708" max="8708" width="19.875" style="3002" customWidth="1"/>
    <col min="8709" max="8709" width="18.125" style="3002" customWidth="1"/>
    <col min="8710" max="8710" width="10.5" style="3002" bestFit="1" customWidth="1"/>
    <col min="8711" max="8712" width="9" style="3002" customWidth="1"/>
    <col min="8713" max="8713" width="9" style="3002"/>
    <col min="8714" max="8714" width="9.125" style="3002" customWidth="1"/>
    <col min="8715" max="8960" width="9" style="3002"/>
    <col min="8961" max="8961" width="3.625" style="3002" customWidth="1"/>
    <col min="8962" max="8962" width="6.25" style="3002" customWidth="1"/>
    <col min="8963" max="8963" width="18.375" style="3002" customWidth="1"/>
    <col min="8964" max="8964" width="19.875" style="3002" customWidth="1"/>
    <col min="8965" max="8965" width="18.125" style="3002" customWidth="1"/>
    <col min="8966" max="8966" width="10.5" style="3002" bestFit="1" customWidth="1"/>
    <col min="8967" max="8968" width="9" style="3002" customWidth="1"/>
    <col min="8969" max="8969" width="9" style="3002"/>
    <col min="8970" max="8970" width="9.125" style="3002" customWidth="1"/>
    <col min="8971" max="9216" width="9" style="3002"/>
    <col min="9217" max="9217" width="3.625" style="3002" customWidth="1"/>
    <col min="9218" max="9218" width="6.25" style="3002" customWidth="1"/>
    <col min="9219" max="9219" width="18.375" style="3002" customWidth="1"/>
    <col min="9220" max="9220" width="19.875" style="3002" customWidth="1"/>
    <col min="9221" max="9221" width="18.125" style="3002" customWidth="1"/>
    <col min="9222" max="9222" width="10.5" style="3002" bestFit="1" customWidth="1"/>
    <col min="9223" max="9224" width="9" style="3002" customWidth="1"/>
    <col min="9225" max="9225" width="9" style="3002"/>
    <col min="9226" max="9226" width="9.125" style="3002" customWidth="1"/>
    <col min="9227" max="9472" width="9" style="3002"/>
    <col min="9473" max="9473" width="3.625" style="3002" customWidth="1"/>
    <col min="9474" max="9474" width="6.25" style="3002" customWidth="1"/>
    <col min="9475" max="9475" width="18.375" style="3002" customWidth="1"/>
    <col min="9476" max="9476" width="19.875" style="3002" customWidth="1"/>
    <col min="9477" max="9477" width="18.125" style="3002" customWidth="1"/>
    <col min="9478" max="9478" width="10.5" style="3002" bestFit="1" customWidth="1"/>
    <col min="9479" max="9480" width="9" style="3002" customWidth="1"/>
    <col min="9481" max="9481" width="9" style="3002"/>
    <col min="9482" max="9482" width="9.125" style="3002" customWidth="1"/>
    <col min="9483" max="9728" width="9" style="3002"/>
    <col min="9729" max="9729" width="3.625" style="3002" customWidth="1"/>
    <col min="9730" max="9730" width="6.25" style="3002" customWidth="1"/>
    <col min="9731" max="9731" width="18.375" style="3002" customWidth="1"/>
    <col min="9732" max="9732" width="19.875" style="3002" customWidth="1"/>
    <col min="9733" max="9733" width="18.125" style="3002" customWidth="1"/>
    <col min="9734" max="9734" width="10.5" style="3002" bestFit="1" customWidth="1"/>
    <col min="9735" max="9736" width="9" style="3002" customWidth="1"/>
    <col min="9737" max="9737" width="9" style="3002"/>
    <col min="9738" max="9738" width="9.125" style="3002" customWidth="1"/>
    <col min="9739" max="9984" width="9" style="3002"/>
    <col min="9985" max="9985" width="3.625" style="3002" customWidth="1"/>
    <col min="9986" max="9986" width="6.25" style="3002" customWidth="1"/>
    <col min="9987" max="9987" width="18.375" style="3002" customWidth="1"/>
    <col min="9988" max="9988" width="19.875" style="3002" customWidth="1"/>
    <col min="9989" max="9989" width="18.125" style="3002" customWidth="1"/>
    <col min="9990" max="9990" width="10.5" style="3002" bestFit="1" customWidth="1"/>
    <col min="9991" max="9992" width="9" style="3002" customWidth="1"/>
    <col min="9993" max="9993" width="9" style="3002"/>
    <col min="9994" max="9994" width="9.125" style="3002" customWidth="1"/>
    <col min="9995" max="10240" width="9" style="3002"/>
    <col min="10241" max="10241" width="3.625" style="3002" customWidth="1"/>
    <col min="10242" max="10242" width="6.25" style="3002" customWidth="1"/>
    <col min="10243" max="10243" width="18.375" style="3002" customWidth="1"/>
    <col min="10244" max="10244" width="19.875" style="3002" customWidth="1"/>
    <col min="10245" max="10245" width="18.125" style="3002" customWidth="1"/>
    <col min="10246" max="10246" width="10.5" style="3002" bestFit="1" customWidth="1"/>
    <col min="10247" max="10248" width="9" style="3002" customWidth="1"/>
    <col min="10249" max="10249" width="9" style="3002"/>
    <col min="10250" max="10250" width="9.125" style="3002" customWidth="1"/>
    <col min="10251" max="10496" width="9" style="3002"/>
    <col min="10497" max="10497" width="3.625" style="3002" customWidth="1"/>
    <col min="10498" max="10498" width="6.25" style="3002" customWidth="1"/>
    <col min="10499" max="10499" width="18.375" style="3002" customWidth="1"/>
    <col min="10500" max="10500" width="19.875" style="3002" customWidth="1"/>
    <col min="10501" max="10501" width="18.125" style="3002" customWidth="1"/>
    <col min="10502" max="10502" width="10.5" style="3002" bestFit="1" customWidth="1"/>
    <col min="10503" max="10504" width="9" style="3002" customWidth="1"/>
    <col min="10505" max="10505" width="9" style="3002"/>
    <col min="10506" max="10506" width="9.125" style="3002" customWidth="1"/>
    <col min="10507" max="10752" width="9" style="3002"/>
    <col min="10753" max="10753" width="3.625" style="3002" customWidth="1"/>
    <col min="10754" max="10754" width="6.25" style="3002" customWidth="1"/>
    <col min="10755" max="10755" width="18.375" style="3002" customWidth="1"/>
    <col min="10756" max="10756" width="19.875" style="3002" customWidth="1"/>
    <col min="10757" max="10757" width="18.125" style="3002" customWidth="1"/>
    <col min="10758" max="10758" width="10.5" style="3002" bestFit="1" customWidth="1"/>
    <col min="10759" max="10760" width="9" style="3002" customWidth="1"/>
    <col min="10761" max="10761" width="9" style="3002"/>
    <col min="10762" max="10762" width="9.125" style="3002" customWidth="1"/>
    <col min="10763" max="11008" width="9" style="3002"/>
    <col min="11009" max="11009" width="3.625" style="3002" customWidth="1"/>
    <col min="11010" max="11010" width="6.25" style="3002" customWidth="1"/>
    <col min="11011" max="11011" width="18.375" style="3002" customWidth="1"/>
    <col min="11012" max="11012" width="19.875" style="3002" customWidth="1"/>
    <col min="11013" max="11013" width="18.125" style="3002" customWidth="1"/>
    <col min="11014" max="11014" width="10.5" style="3002" bestFit="1" customWidth="1"/>
    <col min="11015" max="11016" width="9" style="3002" customWidth="1"/>
    <col min="11017" max="11017" width="9" style="3002"/>
    <col min="11018" max="11018" width="9.125" style="3002" customWidth="1"/>
    <col min="11019" max="11264" width="9" style="3002"/>
    <col min="11265" max="11265" width="3.625" style="3002" customWidth="1"/>
    <col min="11266" max="11266" width="6.25" style="3002" customWidth="1"/>
    <col min="11267" max="11267" width="18.375" style="3002" customWidth="1"/>
    <col min="11268" max="11268" width="19.875" style="3002" customWidth="1"/>
    <col min="11269" max="11269" width="18.125" style="3002" customWidth="1"/>
    <col min="11270" max="11270" width="10.5" style="3002" bestFit="1" customWidth="1"/>
    <col min="11271" max="11272" width="9" style="3002" customWidth="1"/>
    <col min="11273" max="11273" width="9" style="3002"/>
    <col min="11274" max="11274" width="9.125" style="3002" customWidth="1"/>
    <col min="11275" max="11520" width="9" style="3002"/>
    <col min="11521" max="11521" width="3.625" style="3002" customWidth="1"/>
    <col min="11522" max="11522" width="6.25" style="3002" customWidth="1"/>
    <col min="11523" max="11523" width="18.375" style="3002" customWidth="1"/>
    <col min="11524" max="11524" width="19.875" style="3002" customWidth="1"/>
    <col min="11525" max="11525" width="18.125" style="3002" customWidth="1"/>
    <col min="11526" max="11526" width="10.5" style="3002" bestFit="1" customWidth="1"/>
    <col min="11527" max="11528" width="9" style="3002" customWidth="1"/>
    <col min="11529" max="11529" width="9" style="3002"/>
    <col min="11530" max="11530" width="9.125" style="3002" customWidth="1"/>
    <col min="11531" max="11776" width="9" style="3002"/>
    <col min="11777" max="11777" width="3.625" style="3002" customWidth="1"/>
    <col min="11778" max="11778" width="6.25" style="3002" customWidth="1"/>
    <col min="11779" max="11779" width="18.375" style="3002" customWidth="1"/>
    <col min="11780" max="11780" width="19.875" style="3002" customWidth="1"/>
    <col min="11781" max="11781" width="18.125" style="3002" customWidth="1"/>
    <col min="11782" max="11782" width="10.5" style="3002" bestFit="1" customWidth="1"/>
    <col min="11783" max="11784" width="9" style="3002" customWidth="1"/>
    <col min="11785" max="11785" width="9" style="3002"/>
    <col min="11786" max="11786" width="9.125" style="3002" customWidth="1"/>
    <col min="11787" max="12032" width="9" style="3002"/>
    <col min="12033" max="12033" width="3.625" style="3002" customWidth="1"/>
    <col min="12034" max="12034" width="6.25" style="3002" customWidth="1"/>
    <col min="12035" max="12035" width="18.375" style="3002" customWidth="1"/>
    <col min="12036" max="12036" width="19.875" style="3002" customWidth="1"/>
    <col min="12037" max="12037" width="18.125" style="3002" customWidth="1"/>
    <col min="12038" max="12038" width="10.5" style="3002" bestFit="1" customWidth="1"/>
    <col min="12039" max="12040" width="9" style="3002" customWidth="1"/>
    <col min="12041" max="12041" width="9" style="3002"/>
    <col min="12042" max="12042" width="9.125" style="3002" customWidth="1"/>
    <col min="12043" max="12288" width="9" style="3002"/>
    <col min="12289" max="12289" width="3.625" style="3002" customWidth="1"/>
    <col min="12290" max="12290" width="6.25" style="3002" customWidth="1"/>
    <col min="12291" max="12291" width="18.375" style="3002" customWidth="1"/>
    <col min="12292" max="12292" width="19.875" style="3002" customWidth="1"/>
    <col min="12293" max="12293" width="18.125" style="3002" customWidth="1"/>
    <col min="12294" max="12294" width="10.5" style="3002" bestFit="1" customWidth="1"/>
    <col min="12295" max="12296" width="9" style="3002" customWidth="1"/>
    <col min="12297" max="12297" width="9" style="3002"/>
    <col min="12298" max="12298" width="9.125" style="3002" customWidth="1"/>
    <col min="12299" max="12544" width="9" style="3002"/>
    <col min="12545" max="12545" width="3.625" style="3002" customWidth="1"/>
    <col min="12546" max="12546" width="6.25" style="3002" customWidth="1"/>
    <col min="12547" max="12547" width="18.375" style="3002" customWidth="1"/>
    <col min="12548" max="12548" width="19.875" style="3002" customWidth="1"/>
    <col min="12549" max="12549" width="18.125" style="3002" customWidth="1"/>
    <col min="12550" max="12550" width="10.5" style="3002" bestFit="1" customWidth="1"/>
    <col min="12551" max="12552" width="9" style="3002" customWidth="1"/>
    <col min="12553" max="12553" width="9" style="3002"/>
    <col min="12554" max="12554" width="9.125" style="3002" customWidth="1"/>
    <col min="12555" max="12800" width="9" style="3002"/>
    <col min="12801" max="12801" width="3.625" style="3002" customWidth="1"/>
    <col min="12802" max="12802" width="6.25" style="3002" customWidth="1"/>
    <col min="12803" max="12803" width="18.375" style="3002" customWidth="1"/>
    <col min="12804" max="12804" width="19.875" style="3002" customWidth="1"/>
    <col min="12805" max="12805" width="18.125" style="3002" customWidth="1"/>
    <col min="12806" max="12806" width="10.5" style="3002" bestFit="1" customWidth="1"/>
    <col min="12807" max="12808" width="9" style="3002" customWidth="1"/>
    <col min="12809" max="12809" width="9" style="3002"/>
    <col min="12810" max="12810" width="9.125" style="3002" customWidth="1"/>
    <col min="12811" max="13056" width="9" style="3002"/>
    <col min="13057" max="13057" width="3.625" style="3002" customWidth="1"/>
    <col min="13058" max="13058" width="6.25" style="3002" customWidth="1"/>
    <col min="13059" max="13059" width="18.375" style="3002" customWidth="1"/>
    <col min="13060" max="13060" width="19.875" style="3002" customWidth="1"/>
    <col min="13061" max="13061" width="18.125" style="3002" customWidth="1"/>
    <col min="13062" max="13062" width="10.5" style="3002" bestFit="1" customWidth="1"/>
    <col min="13063" max="13064" width="9" style="3002" customWidth="1"/>
    <col min="13065" max="13065" width="9" style="3002"/>
    <col min="13066" max="13066" width="9.125" style="3002" customWidth="1"/>
    <col min="13067" max="13312" width="9" style="3002"/>
    <col min="13313" max="13313" width="3.625" style="3002" customWidth="1"/>
    <col min="13314" max="13314" width="6.25" style="3002" customWidth="1"/>
    <col min="13315" max="13315" width="18.375" style="3002" customWidth="1"/>
    <col min="13316" max="13316" width="19.875" style="3002" customWidth="1"/>
    <col min="13317" max="13317" width="18.125" style="3002" customWidth="1"/>
    <col min="13318" max="13318" width="10.5" style="3002" bestFit="1" customWidth="1"/>
    <col min="13319" max="13320" width="9" style="3002" customWidth="1"/>
    <col min="13321" max="13321" width="9" style="3002"/>
    <col min="13322" max="13322" width="9.125" style="3002" customWidth="1"/>
    <col min="13323" max="13568" width="9" style="3002"/>
    <col min="13569" max="13569" width="3.625" style="3002" customWidth="1"/>
    <col min="13570" max="13570" width="6.25" style="3002" customWidth="1"/>
    <col min="13571" max="13571" width="18.375" style="3002" customWidth="1"/>
    <col min="13572" max="13572" width="19.875" style="3002" customWidth="1"/>
    <col min="13573" max="13573" width="18.125" style="3002" customWidth="1"/>
    <col min="13574" max="13574" width="10.5" style="3002" bestFit="1" customWidth="1"/>
    <col min="13575" max="13576" width="9" style="3002" customWidth="1"/>
    <col min="13577" max="13577" width="9" style="3002"/>
    <col min="13578" max="13578" width="9.125" style="3002" customWidth="1"/>
    <col min="13579" max="13824" width="9" style="3002"/>
    <col min="13825" max="13825" width="3.625" style="3002" customWidth="1"/>
    <col min="13826" max="13826" width="6.25" style="3002" customWidth="1"/>
    <col min="13827" max="13827" width="18.375" style="3002" customWidth="1"/>
    <col min="13828" max="13828" width="19.875" style="3002" customWidth="1"/>
    <col min="13829" max="13829" width="18.125" style="3002" customWidth="1"/>
    <col min="13830" max="13830" width="10.5" style="3002" bestFit="1" customWidth="1"/>
    <col min="13831" max="13832" width="9" style="3002" customWidth="1"/>
    <col min="13833" max="13833" width="9" style="3002"/>
    <col min="13834" max="13834" width="9.125" style="3002" customWidth="1"/>
    <col min="13835" max="14080" width="9" style="3002"/>
    <col min="14081" max="14081" width="3.625" style="3002" customWidth="1"/>
    <col min="14082" max="14082" width="6.25" style="3002" customWidth="1"/>
    <col min="14083" max="14083" width="18.375" style="3002" customWidth="1"/>
    <col min="14084" max="14084" width="19.875" style="3002" customWidth="1"/>
    <col min="14085" max="14085" width="18.125" style="3002" customWidth="1"/>
    <col min="14086" max="14086" width="10.5" style="3002" bestFit="1" customWidth="1"/>
    <col min="14087" max="14088" width="9" style="3002" customWidth="1"/>
    <col min="14089" max="14089" width="9" style="3002"/>
    <col min="14090" max="14090" width="9.125" style="3002" customWidth="1"/>
    <col min="14091" max="14336" width="9" style="3002"/>
    <col min="14337" max="14337" width="3.625" style="3002" customWidth="1"/>
    <col min="14338" max="14338" width="6.25" style="3002" customWidth="1"/>
    <col min="14339" max="14339" width="18.375" style="3002" customWidth="1"/>
    <col min="14340" max="14340" width="19.875" style="3002" customWidth="1"/>
    <col min="14341" max="14341" width="18.125" style="3002" customWidth="1"/>
    <col min="14342" max="14342" width="10.5" style="3002" bestFit="1" customWidth="1"/>
    <col min="14343" max="14344" width="9" style="3002" customWidth="1"/>
    <col min="14345" max="14345" width="9" style="3002"/>
    <col min="14346" max="14346" width="9.125" style="3002" customWidth="1"/>
    <col min="14347" max="14592" width="9" style="3002"/>
    <col min="14593" max="14593" width="3.625" style="3002" customWidth="1"/>
    <col min="14594" max="14594" width="6.25" style="3002" customWidth="1"/>
    <col min="14595" max="14595" width="18.375" style="3002" customWidth="1"/>
    <col min="14596" max="14596" width="19.875" style="3002" customWidth="1"/>
    <col min="14597" max="14597" width="18.125" style="3002" customWidth="1"/>
    <col min="14598" max="14598" width="10.5" style="3002" bestFit="1" customWidth="1"/>
    <col min="14599" max="14600" width="9" style="3002" customWidth="1"/>
    <col min="14601" max="14601" width="9" style="3002"/>
    <col min="14602" max="14602" width="9.125" style="3002" customWidth="1"/>
    <col min="14603" max="14848" width="9" style="3002"/>
    <col min="14849" max="14849" width="3.625" style="3002" customWidth="1"/>
    <col min="14850" max="14850" width="6.25" style="3002" customWidth="1"/>
    <col min="14851" max="14851" width="18.375" style="3002" customWidth="1"/>
    <col min="14852" max="14852" width="19.875" style="3002" customWidth="1"/>
    <col min="14853" max="14853" width="18.125" style="3002" customWidth="1"/>
    <col min="14854" max="14854" width="10.5" style="3002" bestFit="1" customWidth="1"/>
    <col min="14855" max="14856" width="9" style="3002" customWidth="1"/>
    <col min="14857" max="14857" width="9" style="3002"/>
    <col min="14858" max="14858" width="9.125" style="3002" customWidth="1"/>
    <col min="14859" max="15104" width="9" style="3002"/>
    <col min="15105" max="15105" width="3.625" style="3002" customWidth="1"/>
    <col min="15106" max="15106" width="6.25" style="3002" customWidth="1"/>
    <col min="15107" max="15107" width="18.375" style="3002" customWidth="1"/>
    <col min="15108" max="15108" width="19.875" style="3002" customWidth="1"/>
    <col min="15109" max="15109" width="18.125" style="3002" customWidth="1"/>
    <col min="15110" max="15110" width="10.5" style="3002" bestFit="1" customWidth="1"/>
    <col min="15111" max="15112" width="9" style="3002" customWidth="1"/>
    <col min="15113" max="15113" width="9" style="3002"/>
    <col min="15114" max="15114" width="9.125" style="3002" customWidth="1"/>
    <col min="15115" max="15360" width="9" style="3002"/>
    <col min="15361" max="15361" width="3.625" style="3002" customWidth="1"/>
    <col min="15362" max="15362" width="6.25" style="3002" customWidth="1"/>
    <col min="15363" max="15363" width="18.375" style="3002" customWidth="1"/>
    <col min="15364" max="15364" width="19.875" style="3002" customWidth="1"/>
    <col min="15365" max="15365" width="18.125" style="3002" customWidth="1"/>
    <col min="15366" max="15366" width="10.5" style="3002" bestFit="1" customWidth="1"/>
    <col min="15367" max="15368" width="9" style="3002" customWidth="1"/>
    <col min="15369" max="15369" width="9" style="3002"/>
    <col min="15370" max="15370" width="9.125" style="3002" customWidth="1"/>
    <col min="15371" max="15616" width="9" style="3002"/>
    <col min="15617" max="15617" width="3.625" style="3002" customWidth="1"/>
    <col min="15618" max="15618" width="6.25" style="3002" customWidth="1"/>
    <col min="15619" max="15619" width="18.375" style="3002" customWidth="1"/>
    <col min="15620" max="15620" width="19.875" style="3002" customWidth="1"/>
    <col min="15621" max="15621" width="18.125" style="3002" customWidth="1"/>
    <col min="15622" max="15622" width="10.5" style="3002" bestFit="1" customWidth="1"/>
    <col min="15623" max="15624" width="9" style="3002" customWidth="1"/>
    <col min="15625" max="15625" width="9" style="3002"/>
    <col min="15626" max="15626" width="9.125" style="3002" customWidth="1"/>
    <col min="15627" max="15872" width="9" style="3002"/>
    <col min="15873" max="15873" width="3.625" style="3002" customWidth="1"/>
    <col min="15874" max="15874" width="6.25" style="3002" customWidth="1"/>
    <col min="15875" max="15875" width="18.375" style="3002" customWidth="1"/>
    <col min="15876" max="15876" width="19.875" style="3002" customWidth="1"/>
    <col min="15877" max="15877" width="18.125" style="3002" customWidth="1"/>
    <col min="15878" max="15878" width="10.5" style="3002" bestFit="1" customWidth="1"/>
    <col min="15879" max="15880" width="9" style="3002" customWidth="1"/>
    <col min="15881" max="15881" width="9" style="3002"/>
    <col min="15882" max="15882" width="9.125" style="3002" customWidth="1"/>
    <col min="15883" max="16128" width="9" style="3002"/>
    <col min="16129" max="16129" width="3.625" style="3002" customWidth="1"/>
    <col min="16130" max="16130" width="6.25" style="3002" customWidth="1"/>
    <col min="16131" max="16131" width="18.375" style="3002" customWidth="1"/>
    <col min="16132" max="16132" width="19.875" style="3002" customWidth="1"/>
    <col min="16133" max="16133" width="18.125" style="3002" customWidth="1"/>
    <col min="16134" max="16134" width="10.5" style="3002" bestFit="1" customWidth="1"/>
    <col min="16135" max="16136" width="9" style="3002" customWidth="1"/>
    <col min="16137" max="16137" width="9" style="3002"/>
    <col min="16138" max="16138" width="9.125" style="3002" customWidth="1"/>
    <col min="16139" max="16384" width="9" style="3002"/>
  </cols>
  <sheetData>
    <row r="1" spans="1:16" ht="18.75" customHeight="1">
      <c r="A1" s="3382" t="s">
        <v>4200</v>
      </c>
      <c r="B1" s="3382"/>
      <c r="C1" s="3382"/>
      <c r="D1" s="3382"/>
      <c r="E1" s="3382"/>
      <c r="F1" s="3382"/>
      <c r="G1" s="3382"/>
      <c r="H1" s="3382"/>
      <c r="I1" s="3382"/>
      <c r="J1" s="3382"/>
      <c r="K1" s="3382"/>
      <c r="L1" s="3382"/>
    </row>
    <row r="2" spans="1:16" ht="13.5" customHeight="1">
      <c r="A2" s="3383" t="s">
        <v>3418</v>
      </c>
      <c r="B2" s="3383"/>
      <c r="C2" s="3383"/>
      <c r="D2" s="3383"/>
      <c r="E2" s="3383"/>
      <c r="F2" s="3383"/>
      <c r="G2" s="3383"/>
      <c r="H2" s="3383"/>
      <c r="I2" s="3383"/>
      <c r="J2" s="3383"/>
      <c r="K2" s="3383"/>
      <c r="L2" s="3383"/>
    </row>
    <row r="3" spans="1:16" ht="24">
      <c r="A3" s="3003" t="s">
        <v>3419</v>
      </c>
      <c r="B3" s="3004" t="s">
        <v>3420</v>
      </c>
      <c r="C3" s="3004" t="s">
        <v>3421</v>
      </c>
      <c r="D3" s="3004" t="s">
        <v>3422</v>
      </c>
      <c r="E3" s="3005" t="s">
        <v>3423</v>
      </c>
      <c r="F3" s="3006" t="s">
        <v>3424</v>
      </c>
      <c r="G3" s="3006" t="s">
        <v>3425</v>
      </c>
      <c r="H3" s="3004" t="s">
        <v>3426</v>
      </c>
      <c r="I3" s="3004" t="s">
        <v>3427</v>
      </c>
      <c r="J3" s="3007" t="s">
        <v>3428</v>
      </c>
      <c r="K3" s="3007" t="s">
        <v>3429</v>
      </c>
      <c r="L3" s="3007" t="s">
        <v>3430</v>
      </c>
      <c r="M3" s="3002" t="s">
        <v>4492</v>
      </c>
      <c r="N3" s="3002" t="s">
        <v>4491</v>
      </c>
    </row>
    <row r="4" spans="1:16" ht="24">
      <c r="A4" s="3003">
        <v>1</v>
      </c>
      <c r="B4" s="3024" t="s">
        <v>3059</v>
      </c>
      <c r="C4" s="3004" t="s">
        <v>3431</v>
      </c>
      <c r="D4" s="3025" t="s">
        <v>4201</v>
      </c>
      <c r="E4" s="3008" t="s">
        <v>4202</v>
      </c>
      <c r="F4" s="3026">
        <v>70.040000000000006</v>
      </c>
      <c r="G4" s="3026">
        <v>8.9700000000000006</v>
      </c>
      <c r="H4" s="3004" t="s">
        <v>1373</v>
      </c>
      <c r="I4" s="3007" t="s">
        <v>3443</v>
      </c>
      <c r="J4" s="3010">
        <v>56156</v>
      </c>
      <c r="K4" s="3007" t="s">
        <v>4203</v>
      </c>
      <c r="L4" s="3007" t="s">
        <v>4204</v>
      </c>
      <c r="M4" s="3002">
        <f>[3]结果表!$G$20</f>
        <v>11052</v>
      </c>
      <c r="N4" s="3002">
        <f>ROUND(F4*$M$4,0)</f>
        <v>774082</v>
      </c>
      <c r="O4" s="3002">
        <f>ROUND(N4/10000,0)</f>
        <v>77</v>
      </c>
      <c r="P4" s="3002">
        <v>11052</v>
      </c>
    </row>
    <row r="5" spans="1:16" ht="24">
      <c r="A5" s="3003">
        <v>2</v>
      </c>
      <c r="B5" s="3024" t="s">
        <v>3060</v>
      </c>
      <c r="C5" s="3004" t="s">
        <v>3431</v>
      </c>
      <c r="D5" s="3025" t="s">
        <v>4205</v>
      </c>
      <c r="E5" s="3008" t="s">
        <v>4206</v>
      </c>
      <c r="F5" s="3026">
        <v>54.12</v>
      </c>
      <c r="G5" s="3026">
        <v>6.93</v>
      </c>
      <c r="H5" s="3004" t="s">
        <v>1373</v>
      </c>
      <c r="I5" s="3007" t="s">
        <v>3443</v>
      </c>
      <c r="J5" s="3010">
        <f>$J$4</f>
        <v>56156</v>
      </c>
      <c r="K5" s="3007" t="str">
        <f>$K$4</f>
        <v xml:space="preserve">10层 </v>
      </c>
      <c r="L5" s="3007" t="str">
        <f>L4</f>
        <v>1层</v>
      </c>
      <c r="N5" s="3002">
        <f t="shared" ref="N5:N68" si="0">ROUND(F5*$M$4,0)</f>
        <v>598134</v>
      </c>
      <c r="O5" s="3002">
        <f t="shared" ref="O5:O68" si="1">ROUND(N5/10000,0)</f>
        <v>60</v>
      </c>
      <c r="P5" s="3002">
        <v>11052</v>
      </c>
    </row>
    <row r="6" spans="1:16" ht="24">
      <c r="A6" s="3003">
        <v>3</v>
      </c>
      <c r="B6" s="3024" t="s">
        <v>3061</v>
      </c>
      <c r="C6" s="3004" t="s">
        <v>3431</v>
      </c>
      <c r="D6" s="3025" t="s">
        <v>4207</v>
      </c>
      <c r="E6" s="3008" t="s">
        <v>4208</v>
      </c>
      <c r="F6" s="3026">
        <v>54</v>
      </c>
      <c r="G6" s="3026">
        <v>6.92</v>
      </c>
      <c r="H6" s="3004" t="s">
        <v>1373</v>
      </c>
      <c r="I6" s="3007" t="s">
        <v>3443</v>
      </c>
      <c r="J6" s="3010">
        <f t="shared" ref="J6:J69" si="2">$J$4</f>
        <v>56156</v>
      </c>
      <c r="K6" s="3007" t="str">
        <f t="shared" ref="K6:K69" si="3">$K$4</f>
        <v xml:space="preserve">10层 </v>
      </c>
      <c r="L6" s="3007" t="str">
        <f>L5</f>
        <v>1层</v>
      </c>
      <c r="N6" s="3002">
        <f t="shared" si="0"/>
        <v>596808</v>
      </c>
      <c r="O6" s="3002">
        <f t="shared" si="1"/>
        <v>60</v>
      </c>
      <c r="P6" s="3002">
        <v>11052</v>
      </c>
    </row>
    <row r="7" spans="1:16" ht="24">
      <c r="A7" s="3003">
        <v>4</v>
      </c>
      <c r="B7" s="3024" t="s">
        <v>3062</v>
      </c>
      <c r="C7" s="3004" t="s">
        <v>4209</v>
      </c>
      <c r="D7" s="3025" t="s">
        <v>4210</v>
      </c>
      <c r="E7" s="3008" t="s">
        <v>4211</v>
      </c>
      <c r="F7" s="3027">
        <v>54.37</v>
      </c>
      <c r="G7" s="3027">
        <v>6.96</v>
      </c>
      <c r="H7" s="3004" t="s">
        <v>1373</v>
      </c>
      <c r="I7" s="3007" t="s">
        <v>4212</v>
      </c>
      <c r="J7" s="3010">
        <f t="shared" si="2"/>
        <v>56156</v>
      </c>
      <c r="K7" s="3007" t="str">
        <f t="shared" si="3"/>
        <v xml:space="preserve">10层 </v>
      </c>
      <c r="L7" s="3007" t="str">
        <f t="shared" ref="L7:L15" si="4">L6</f>
        <v>1层</v>
      </c>
      <c r="N7" s="3002">
        <f t="shared" si="0"/>
        <v>600897</v>
      </c>
      <c r="O7" s="3002">
        <f t="shared" si="1"/>
        <v>60</v>
      </c>
      <c r="P7" s="3002">
        <v>11052</v>
      </c>
    </row>
    <row r="8" spans="1:16" ht="24">
      <c r="A8" s="3003">
        <v>5</v>
      </c>
      <c r="B8" s="3003" t="s">
        <v>3063</v>
      </c>
      <c r="C8" s="3004" t="s">
        <v>3431</v>
      </c>
      <c r="D8" s="3025" t="s">
        <v>4213</v>
      </c>
      <c r="E8" s="3008" t="s">
        <v>4214</v>
      </c>
      <c r="F8" s="3028">
        <v>67.239999999999995</v>
      </c>
      <c r="G8" s="3028">
        <v>8.61</v>
      </c>
      <c r="H8" s="3004" t="s">
        <v>1373</v>
      </c>
      <c r="I8" s="3007" t="s">
        <v>3443</v>
      </c>
      <c r="J8" s="3010">
        <f t="shared" si="2"/>
        <v>56156</v>
      </c>
      <c r="K8" s="3007" t="str">
        <f t="shared" si="3"/>
        <v xml:space="preserve">10层 </v>
      </c>
      <c r="L8" s="3007" t="str">
        <f t="shared" si="4"/>
        <v>1层</v>
      </c>
      <c r="N8" s="3002">
        <f t="shared" si="0"/>
        <v>743136</v>
      </c>
      <c r="O8" s="3002">
        <f t="shared" si="1"/>
        <v>74</v>
      </c>
      <c r="P8" s="3002">
        <v>11052</v>
      </c>
    </row>
    <row r="9" spans="1:16" ht="24">
      <c r="A9" s="3003">
        <v>6</v>
      </c>
      <c r="B9" s="3003" t="s">
        <v>3064</v>
      </c>
      <c r="C9" s="3004" t="s">
        <v>3431</v>
      </c>
      <c r="D9" s="3025" t="s">
        <v>4215</v>
      </c>
      <c r="E9" s="3008" t="s">
        <v>4216</v>
      </c>
      <c r="F9" s="3028">
        <v>57.33</v>
      </c>
      <c r="G9" s="3028">
        <v>7.34</v>
      </c>
      <c r="H9" s="3004" t="s">
        <v>1373</v>
      </c>
      <c r="I9" s="3007" t="s">
        <v>3443</v>
      </c>
      <c r="J9" s="3010">
        <f t="shared" si="2"/>
        <v>56156</v>
      </c>
      <c r="K9" s="3007" t="str">
        <f t="shared" si="3"/>
        <v xml:space="preserve">10层 </v>
      </c>
      <c r="L9" s="3007" t="str">
        <f t="shared" si="4"/>
        <v>1层</v>
      </c>
      <c r="N9" s="3002">
        <f t="shared" si="0"/>
        <v>633611</v>
      </c>
      <c r="O9" s="3002">
        <f t="shared" si="1"/>
        <v>63</v>
      </c>
      <c r="P9" s="3002">
        <v>11052</v>
      </c>
    </row>
    <row r="10" spans="1:16" ht="24">
      <c r="A10" s="3003">
        <v>7</v>
      </c>
      <c r="B10" s="3003" t="s">
        <v>3065</v>
      </c>
      <c r="C10" s="3004" t="s">
        <v>3431</v>
      </c>
      <c r="D10" s="3025" t="s">
        <v>4217</v>
      </c>
      <c r="E10" s="3008" t="s">
        <v>4218</v>
      </c>
      <c r="F10" s="3028">
        <v>96.95</v>
      </c>
      <c r="G10" s="3028">
        <v>12.42</v>
      </c>
      <c r="H10" s="3004" t="s">
        <v>1373</v>
      </c>
      <c r="I10" s="3007" t="s">
        <v>3443</v>
      </c>
      <c r="J10" s="3010">
        <f t="shared" si="2"/>
        <v>56156</v>
      </c>
      <c r="K10" s="3007" t="str">
        <f t="shared" si="3"/>
        <v xml:space="preserve">10层 </v>
      </c>
      <c r="L10" s="3007" t="str">
        <f t="shared" si="4"/>
        <v>1层</v>
      </c>
      <c r="N10" s="3002">
        <f t="shared" si="0"/>
        <v>1071491</v>
      </c>
      <c r="O10" s="3002">
        <f t="shared" si="1"/>
        <v>107</v>
      </c>
      <c r="P10" s="3002">
        <v>11052</v>
      </c>
    </row>
    <row r="11" spans="1:16" ht="24">
      <c r="A11" s="3003">
        <v>8</v>
      </c>
      <c r="B11" s="3003" t="s">
        <v>3066</v>
      </c>
      <c r="C11" s="3004" t="s">
        <v>3431</v>
      </c>
      <c r="D11" s="3025" t="s">
        <v>4219</v>
      </c>
      <c r="E11" s="3008" t="s">
        <v>4220</v>
      </c>
      <c r="F11" s="3028">
        <v>96.95</v>
      </c>
      <c r="G11" s="3028">
        <v>12.42</v>
      </c>
      <c r="H11" s="3004" t="s">
        <v>1373</v>
      </c>
      <c r="I11" s="3007" t="s">
        <v>3443</v>
      </c>
      <c r="J11" s="3010">
        <f t="shared" si="2"/>
        <v>56156</v>
      </c>
      <c r="K11" s="3007" t="str">
        <f t="shared" si="3"/>
        <v xml:space="preserve">10层 </v>
      </c>
      <c r="L11" s="3007" t="str">
        <f t="shared" si="4"/>
        <v>1层</v>
      </c>
      <c r="N11" s="3002">
        <f t="shared" si="0"/>
        <v>1071491</v>
      </c>
      <c r="O11" s="3002">
        <f t="shared" si="1"/>
        <v>107</v>
      </c>
      <c r="P11" s="3002">
        <v>11052</v>
      </c>
    </row>
    <row r="12" spans="1:16" ht="24">
      <c r="A12" s="3003">
        <v>9</v>
      </c>
      <c r="B12" s="3003" t="s">
        <v>3067</v>
      </c>
      <c r="C12" s="3004" t="s">
        <v>3431</v>
      </c>
      <c r="D12" s="3025" t="s">
        <v>4221</v>
      </c>
      <c r="E12" s="3008" t="s">
        <v>4222</v>
      </c>
      <c r="F12" s="3028">
        <v>57.33</v>
      </c>
      <c r="G12" s="3028">
        <v>7.34</v>
      </c>
      <c r="H12" s="3004" t="s">
        <v>1373</v>
      </c>
      <c r="I12" s="3007" t="s">
        <v>3443</v>
      </c>
      <c r="J12" s="3010">
        <f t="shared" si="2"/>
        <v>56156</v>
      </c>
      <c r="K12" s="3007" t="str">
        <f t="shared" si="3"/>
        <v xml:space="preserve">10层 </v>
      </c>
      <c r="L12" s="3007" t="str">
        <f t="shared" si="4"/>
        <v>1层</v>
      </c>
      <c r="N12" s="3002">
        <f t="shared" si="0"/>
        <v>633611</v>
      </c>
      <c r="O12" s="3002">
        <f t="shared" si="1"/>
        <v>63</v>
      </c>
      <c r="P12" s="3002">
        <v>11052</v>
      </c>
    </row>
    <row r="13" spans="1:16" ht="24">
      <c r="A13" s="3003">
        <v>10</v>
      </c>
      <c r="B13" s="3003" t="s">
        <v>3068</v>
      </c>
      <c r="C13" s="3004" t="s">
        <v>3431</v>
      </c>
      <c r="D13" s="3025" t="s">
        <v>4223</v>
      </c>
      <c r="E13" s="3008" t="s">
        <v>4224</v>
      </c>
      <c r="F13" s="3028">
        <v>67.290000000000006</v>
      </c>
      <c r="G13" s="3028">
        <v>8.6199999999999992</v>
      </c>
      <c r="H13" s="3004" t="s">
        <v>1373</v>
      </c>
      <c r="I13" s="3007" t="s">
        <v>3443</v>
      </c>
      <c r="J13" s="3010">
        <f t="shared" si="2"/>
        <v>56156</v>
      </c>
      <c r="K13" s="3007" t="str">
        <f t="shared" si="3"/>
        <v xml:space="preserve">10层 </v>
      </c>
      <c r="L13" s="3007" t="str">
        <f t="shared" si="4"/>
        <v>1层</v>
      </c>
      <c r="N13" s="3002">
        <f t="shared" si="0"/>
        <v>743689</v>
      </c>
      <c r="O13" s="3002">
        <f t="shared" si="1"/>
        <v>74</v>
      </c>
      <c r="P13" s="3002">
        <v>11052</v>
      </c>
    </row>
    <row r="14" spans="1:16" ht="24">
      <c r="A14" s="3003">
        <v>11</v>
      </c>
      <c r="B14" s="3003" t="s">
        <v>3069</v>
      </c>
      <c r="C14" s="3004" t="s">
        <v>3431</v>
      </c>
      <c r="D14" s="3025" t="s">
        <v>4225</v>
      </c>
      <c r="E14" s="3008" t="s">
        <v>4226</v>
      </c>
      <c r="F14" s="3028">
        <v>54.12</v>
      </c>
      <c r="G14" s="3028">
        <v>6.93</v>
      </c>
      <c r="H14" s="3004" t="s">
        <v>1373</v>
      </c>
      <c r="I14" s="3007" t="s">
        <v>3443</v>
      </c>
      <c r="J14" s="3010">
        <f t="shared" si="2"/>
        <v>56156</v>
      </c>
      <c r="K14" s="3007" t="str">
        <f t="shared" si="3"/>
        <v xml:space="preserve">10层 </v>
      </c>
      <c r="L14" s="3007" t="str">
        <f t="shared" si="4"/>
        <v>1层</v>
      </c>
      <c r="N14" s="3002">
        <f t="shared" si="0"/>
        <v>598134</v>
      </c>
      <c r="O14" s="3002">
        <f t="shared" si="1"/>
        <v>60</v>
      </c>
      <c r="P14" s="3002">
        <v>11052</v>
      </c>
    </row>
    <row r="15" spans="1:16" ht="24">
      <c r="A15" s="3003">
        <v>12</v>
      </c>
      <c r="B15" s="3003" t="s">
        <v>3070</v>
      </c>
      <c r="C15" s="3004" t="s">
        <v>4209</v>
      </c>
      <c r="D15" s="3025" t="s">
        <v>4227</v>
      </c>
      <c r="E15" s="3008" t="s">
        <v>4228</v>
      </c>
      <c r="F15" s="3028">
        <v>74.06</v>
      </c>
      <c r="G15" s="3028">
        <v>9.49</v>
      </c>
      <c r="H15" s="3004" t="s">
        <v>1373</v>
      </c>
      <c r="I15" s="3007" t="s">
        <v>4212</v>
      </c>
      <c r="J15" s="3010">
        <f t="shared" si="2"/>
        <v>56156</v>
      </c>
      <c r="K15" s="3007" t="str">
        <f t="shared" si="3"/>
        <v xml:space="preserve">10层 </v>
      </c>
      <c r="L15" s="3007" t="str">
        <f t="shared" si="4"/>
        <v>1层</v>
      </c>
      <c r="N15" s="3002">
        <f t="shared" si="0"/>
        <v>818511</v>
      </c>
      <c r="O15" s="3002">
        <f t="shared" si="1"/>
        <v>82</v>
      </c>
      <c r="P15" s="3002">
        <v>11052</v>
      </c>
    </row>
    <row r="16" spans="1:16" ht="24">
      <c r="A16" s="3003">
        <v>13</v>
      </c>
      <c r="B16" s="3003" t="s">
        <v>3077</v>
      </c>
      <c r="C16" s="3004" t="s">
        <v>3431</v>
      </c>
      <c r="D16" s="3025" t="s">
        <v>4229</v>
      </c>
      <c r="E16" s="3008" t="s">
        <v>4230</v>
      </c>
      <c r="F16" s="3028">
        <v>68.27</v>
      </c>
      <c r="G16" s="3028">
        <v>8.74</v>
      </c>
      <c r="H16" s="3004" t="s">
        <v>1373</v>
      </c>
      <c r="I16" s="3007" t="s">
        <v>3443</v>
      </c>
      <c r="J16" s="3010">
        <f t="shared" si="2"/>
        <v>56156</v>
      </c>
      <c r="K16" s="3007" t="str">
        <f t="shared" si="3"/>
        <v xml:space="preserve">10层 </v>
      </c>
      <c r="L16" s="3007" t="s">
        <v>3956</v>
      </c>
      <c r="N16" s="3002">
        <f t="shared" si="0"/>
        <v>754520</v>
      </c>
      <c r="O16" s="3002">
        <f t="shared" si="1"/>
        <v>75</v>
      </c>
      <c r="P16" s="3002">
        <v>11052</v>
      </c>
    </row>
    <row r="17" spans="1:16" ht="24">
      <c r="A17" s="3003">
        <v>14</v>
      </c>
      <c r="B17" s="3003" t="s">
        <v>3078</v>
      </c>
      <c r="C17" s="3004" t="s">
        <v>3431</v>
      </c>
      <c r="D17" s="3025" t="s">
        <v>4231</v>
      </c>
      <c r="E17" s="3008" t="s">
        <v>4232</v>
      </c>
      <c r="F17" s="3028">
        <v>52.74</v>
      </c>
      <c r="G17" s="3028">
        <v>6.76</v>
      </c>
      <c r="H17" s="3004" t="s">
        <v>1373</v>
      </c>
      <c r="I17" s="3007" t="s">
        <v>3443</v>
      </c>
      <c r="J17" s="3010">
        <f t="shared" si="2"/>
        <v>56156</v>
      </c>
      <c r="K17" s="3007" t="str">
        <f t="shared" si="3"/>
        <v xml:space="preserve">10层 </v>
      </c>
      <c r="L17" s="3007" t="str">
        <f>L16</f>
        <v>2层</v>
      </c>
      <c r="N17" s="3002">
        <f t="shared" si="0"/>
        <v>582882</v>
      </c>
      <c r="O17" s="3002">
        <f t="shared" si="1"/>
        <v>58</v>
      </c>
      <c r="P17" s="3002">
        <v>11052</v>
      </c>
    </row>
    <row r="18" spans="1:16" ht="24">
      <c r="A18" s="3003">
        <v>15</v>
      </c>
      <c r="B18" s="3003" t="s">
        <v>3079</v>
      </c>
      <c r="C18" s="3004" t="s">
        <v>3431</v>
      </c>
      <c r="D18" s="3025" t="s">
        <v>4233</v>
      </c>
      <c r="E18" s="3008" t="s">
        <v>4234</v>
      </c>
      <c r="F18" s="3028">
        <v>52.63</v>
      </c>
      <c r="G18" s="3028">
        <v>6.74</v>
      </c>
      <c r="H18" s="3004" t="s">
        <v>1373</v>
      </c>
      <c r="I18" s="3007" t="s">
        <v>3443</v>
      </c>
      <c r="J18" s="3010">
        <f t="shared" si="2"/>
        <v>56156</v>
      </c>
      <c r="K18" s="3007" t="str">
        <f t="shared" si="3"/>
        <v xml:space="preserve">10层 </v>
      </c>
      <c r="L18" s="3007" t="str">
        <f t="shared" ref="L18:L29" si="5">L17</f>
        <v>2层</v>
      </c>
      <c r="N18" s="3002">
        <f t="shared" si="0"/>
        <v>581667</v>
      </c>
      <c r="O18" s="3002">
        <f t="shared" si="1"/>
        <v>58</v>
      </c>
      <c r="P18" s="3002">
        <v>11052</v>
      </c>
    </row>
    <row r="19" spans="1:16" ht="24">
      <c r="A19" s="3003">
        <v>16</v>
      </c>
      <c r="B19" s="3003" t="s">
        <v>3080</v>
      </c>
      <c r="C19" s="3004" t="s">
        <v>3431</v>
      </c>
      <c r="D19" s="3025" t="s">
        <v>4235</v>
      </c>
      <c r="E19" s="3008" t="s">
        <v>4236</v>
      </c>
      <c r="F19" s="3028">
        <v>53</v>
      </c>
      <c r="G19" s="3028">
        <v>6.79</v>
      </c>
      <c r="H19" s="3004" t="s">
        <v>1373</v>
      </c>
      <c r="I19" s="3007" t="s">
        <v>3443</v>
      </c>
      <c r="J19" s="3010">
        <f t="shared" si="2"/>
        <v>56156</v>
      </c>
      <c r="K19" s="3007" t="str">
        <f t="shared" si="3"/>
        <v xml:space="preserve">10层 </v>
      </c>
      <c r="L19" s="3007" t="str">
        <f t="shared" si="5"/>
        <v>2层</v>
      </c>
      <c r="N19" s="3002">
        <f t="shared" si="0"/>
        <v>585756</v>
      </c>
      <c r="O19" s="3002">
        <f t="shared" si="1"/>
        <v>59</v>
      </c>
      <c r="P19" s="3002">
        <v>11052</v>
      </c>
    </row>
    <row r="20" spans="1:16" ht="24">
      <c r="A20" s="3003">
        <v>17</v>
      </c>
      <c r="B20" s="3003" t="s">
        <v>3081</v>
      </c>
      <c r="C20" s="3004" t="s">
        <v>3431</v>
      </c>
      <c r="D20" s="3025" t="s">
        <v>4237</v>
      </c>
      <c r="E20" s="3008" t="s">
        <v>4238</v>
      </c>
      <c r="F20" s="3028">
        <v>65.540000000000006</v>
      </c>
      <c r="G20" s="3028">
        <v>8.39</v>
      </c>
      <c r="H20" s="3004" t="s">
        <v>1373</v>
      </c>
      <c r="I20" s="3007" t="s">
        <v>3443</v>
      </c>
      <c r="J20" s="3010">
        <f t="shared" si="2"/>
        <v>56156</v>
      </c>
      <c r="K20" s="3007" t="str">
        <f t="shared" si="3"/>
        <v xml:space="preserve">10层 </v>
      </c>
      <c r="L20" s="3007" t="str">
        <f t="shared" si="5"/>
        <v>2层</v>
      </c>
      <c r="N20" s="3002">
        <f t="shared" si="0"/>
        <v>724348</v>
      </c>
      <c r="O20" s="3002">
        <f t="shared" si="1"/>
        <v>72</v>
      </c>
      <c r="P20" s="3002">
        <v>11052</v>
      </c>
    </row>
    <row r="21" spans="1:16" ht="24">
      <c r="A21" s="3003">
        <v>18</v>
      </c>
      <c r="B21" s="3003" t="s">
        <v>3082</v>
      </c>
      <c r="C21" s="3004" t="s">
        <v>3431</v>
      </c>
      <c r="D21" s="3025" t="s">
        <v>4239</v>
      </c>
      <c r="E21" s="3008" t="s">
        <v>4240</v>
      </c>
      <c r="F21" s="3028">
        <v>55.88</v>
      </c>
      <c r="G21" s="3028">
        <v>7.16</v>
      </c>
      <c r="H21" s="3004" t="s">
        <v>1373</v>
      </c>
      <c r="I21" s="3007" t="s">
        <v>3443</v>
      </c>
      <c r="J21" s="3010">
        <f t="shared" si="2"/>
        <v>56156</v>
      </c>
      <c r="K21" s="3007" t="str">
        <f t="shared" si="3"/>
        <v xml:space="preserve">10层 </v>
      </c>
      <c r="L21" s="3007" t="str">
        <f t="shared" si="5"/>
        <v>2层</v>
      </c>
      <c r="N21" s="3002">
        <f t="shared" si="0"/>
        <v>617586</v>
      </c>
      <c r="O21" s="3002">
        <f t="shared" si="1"/>
        <v>62</v>
      </c>
      <c r="P21" s="3002">
        <v>11052</v>
      </c>
    </row>
    <row r="22" spans="1:16" ht="24">
      <c r="A22" s="3003">
        <v>19</v>
      </c>
      <c r="B22" s="3003" t="s">
        <v>3083</v>
      </c>
      <c r="C22" s="3004" t="s">
        <v>3431</v>
      </c>
      <c r="D22" s="3025" t="s">
        <v>4241</v>
      </c>
      <c r="E22" s="3008" t="s">
        <v>4242</v>
      </c>
      <c r="F22" s="3028">
        <v>94.49</v>
      </c>
      <c r="G22" s="3028">
        <v>12.1</v>
      </c>
      <c r="H22" s="3004" t="s">
        <v>1373</v>
      </c>
      <c r="I22" s="3007" t="s">
        <v>3443</v>
      </c>
      <c r="J22" s="3010">
        <f t="shared" si="2"/>
        <v>56156</v>
      </c>
      <c r="K22" s="3007" t="str">
        <f t="shared" si="3"/>
        <v xml:space="preserve">10层 </v>
      </c>
      <c r="L22" s="3007" t="str">
        <f t="shared" si="5"/>
        <v>2层</v>
      </c>
      <c r="N22" s="3002">
        <f t="shared" si="0"/>
        <v>1044303</v>
      </c>
      <c r="O22" s="3002">
        <f t="shared" si="1"/>
        <v>104</v>
      </c>
      <c r="P22" s="3002">
        <v>11052</v>
      </c>
    </row>
    <row r="23" spans="1:16" ht="24">
      <c r="A23" s="3003">
        <v>20</v>
      </c>
      <c r="B23" s="3003" t="s">
        <v>3084</v>
      </c>
      <c r="C23" s="3004" t="s">
        <v>3431</v>
      </c>
      <c r="D23" s="3025" t="s">
        <v>4243</v>
      </c>
      <c r="E23" s="3008" t="s">
        <v>4244</v>
      </c>
      <c r="F23" s="3028">
        <v>94.49</v>
      </c>
      <c r="G23" s="3028">
        <v>12.1</v>
      </c>
      <c r="H23" s="3004" t="s">
        <v>1373</v>
      </c>
      <c r="I23" s="3007" t="s">
        <v>3443</v>
      </c>
      <c r="J23" s="3010">
        <f t="shared" si="2"/>
        <v>56156</v>
      </c>
      <c r="K23" s="3007" t="str">
        <f t="shared" si="3"/>
        <v xml:space="preserve">10层 </v>
      </c>
      <c r="L23" s="3007" t="str">
        <f t="shared" si="5"/>
        <v>2层</v>
      </c>
      <c r="N23" s="3002">
        <f t="shared" si="0"/>
        <v>1044303</v>
      </c>
      <c r="O23" s="3002">
        <f t="shared" si="1"/>
        <v>104</v>
      </c>
      <c r="P23" s="3002">
        <v>11052</v>
      </c>
    </row>
    <row r="24" spans="1:16" ht="24">
      <c r="A24" s="3003">
        <v>21</v>
      </c>
      <c r="B24" s="3003" t="s">
        <v>3085</v>
      </c>
      <c r="C24" s="3004" t="s">
        <v>3431</v>
      </c>
      <c r="D24" s="3025" t="s">
        <v>4245</v>
      </c>
      <c r="E24" s="3008" t="s">
        <v>4246</v>
      </c>
      <c r="F24" s="3028">
        <v>55.88</v>
      </c>
      <c r="G24" s="3028">
        <v>7.16</v>
      </c>
      <c r="H24" s="3004" t="s">
        <v>1373</v>
      </c>
      <c r="I24" s="3007" t="s">
        <v>3443</v>
      </c>
      <c r="J24" s="3010">
        <f t="shared" si="2"/>
        <v>56156</v>
      </c>
      <c r="K24" s="3007" t="str">
        <f t="shared" si="3"/>
        <v xml:space="preserve">10层 </v>
      </c>
      <c r="L24" s="3007" t="str">
        <f t="shared" si="5"/>
        <v>2层</v>
      </c>
      <c r="N24" s="3002">
        <f t="shared" si="0"/>
        <v>617586</v>
      </c>
      <c r="O24" s="3002">
        <f t="shared" si="1"/>
        <v>62</v>
      </c>
      <c r="P24" s="3002">
        <v>11052</v>
      </c>
    </row>
    <row r="25" spans="1:16" ht="24">
      <c r="A25" s="3003">
        <v>22</v>
      </c>
      <c r="B25" s="3003" t="s">
        <v>3086</v>
      </c>
      <c r="C25" s="3004" t="s">
        <v>4209</v>
      </c>
      <c r="D25" s="3025" t="s">
        <v>4247</v>
      </c>
      <c r="E25" s="3008" t="s">
        <v>4248</v>
      </c>
      <c r="F25" s="3028">
        <v>65.540000000000006</v>
      </c>
      <c r="G25" s="3028">
        <v>8.39</v>
      </c>
      <c r="H25" s="3004" t="s">
        <v>1373</v>
      </c>
      <c r="I25" s="3007" t="s">
        <v>4212</v>
      </c>
      <c r="J25" s="3010">
        <f t="shared" si="2"/>
        <v>56156</v>
      </c>
      <c r="K25" s="3007" t="str">
        <f t="shared" si="3"/>
        <v xml:space="preserve">10层 </v>
      </c>
      <c r="L25" s="3007" t="str">
        <f t="shared" si="5"/>
        <v>2层</v>
      </c>
      <c r="N25" s="3002">
        <f t="shared" si="0"/>
        <v>724348</v>
      </c>
      <c r="O25" s="3002">
        <f t="shared" si="1"/>
        <v>72</v>
      </c>
      <c r="P25" s="3002">
        <v>11052</v>
      </c>
    </row>
    <row r="26" spans="1:16" ht="24">
      <c r="A26" s="3003">
        <v>23</v>
      </c>
      <c r="B26" s="3003" t="s">
        <v>3087</v>
      </c>
      <c r="C26" s="3004" t="s">
        <v>3431</v>
      </c>
      <c r="D26" s="3025" t="s">
        <v>4249</v>
      </c>
      <c r="E26" s="3008" t="s">
        <v>4250</v>
      </c>
      <c r="F26" s="3028">
        <v>53</v>
      </c>
      <c r="G26" s="3028">
        <v>6.79</v>
      </c>
      <c r="H26" s="3004" t="s">
        <v>1373</v>
      </c>
      <c r="I26" s="3007" t="s">
        <v>3443</v>
      </c>
      <c r="J26" s="3010">
        <f t="shared" si="2"/>
        <v>56156</v>
      </c>
      <c r="K26" s="3007" t="str">
        <f t="shared" si="3"/>
        <v xml:space="preserve">10层 </v>
      </c>
      <c r="L26" s="3007" t="str">
        <f t="shared" si="5"/>
        <v>2层</v>
      </c>
      <c r="N26" s="3002">
        <f t="shared" si="0"/>
        <v>585756</v>
      </c>
      <c r="O26" s="3002">
        <f t="shared" si="1"/>
        <v>59</v>
      </c>
      <c r="P26" s="3002">
        <v>11052</v>
      </c>
    </row>
    <row r="27" spans="1:16" ht="24">
      <c r="A27" s="3003">
        <v>24</v>
      </c>
      <c r="B27" s="3003" t="s">
        <v>3088</v>
      </c>
      <c r="C27" s="3004" t="s">
        <v>3431</v>
      </c>
      <c r="D27" s="3025" t="s">
        <v>4251</v>
      </c>
      <c r="E27" s="3008" t="s">
        <v>4252</v>
      </c>
      <c r="F27" s="3028">
        <v>52.63</v>
      </c>
      <c r="G27" s="3028">
        <v>6.74</v>
      </c>
      <c r="H27" s="3004" t="s">
        <v>1373</v>
      </c>
      <c r="I27" s="3007" t="s">
        <v>3443</v>
      </c>
      <c r="J27" s="3010">
        <f t="shared" si="2"/>
        <v>56156</v>
      </c>
      <c r="K27" s="3007" t="str">
        <f t="shared" si="3"/>
        <v xml:space="preserve">10层 </v>
      </c>
      <c r="L27" s="3007" t="str">
        <f t="shared" si="5"/>
        <v>2层</v>
      </c>
      <c r="N27" s="3002">
        <f t="shared" si="0"/>
        <v>581667</v>
      </c>
      <c r="O27" s="3002">
        <f t="shared" si="1"/>
        <v>58</v>
      </c>
      <c r="P27" s="3002">
        <v>11052</v>
      </c>
    </row>
    <row r="28" spans="1:16" ht="24">
      <c r="A28" s="3003">
        <v>25</v>
      </c>
      <c r="B28" s="3003" t="s">
        <v>3089</v>
      </c>
      <c r="C28" s="3004" t="s">
        <v>3431</v>
      </c>
      <c r="D28" s="3025" t="s">
        <v>4253</v>
      </c>
      <c r="E28" s="3008" t="s">
        <v>4254</v>
      </c>
      <c r="F28" s="3028">
        <v>52.74</v>
      </c>
      <c r="G28" s="3028">
        <v>6.76</v>
      </c>
      <c r="H28" s="3004" t="s">
        <v>1373</v>
      </c>
      <c r="I28" s="3007" t="s">
        <v>3443</v>
      </c>
      <c r="J28" s="3010">
        <f t="shared" si="2"/>
        <v>56156</v>
      </c>
      <c r="K28" s="3007" t="str">
        <f t="shared" si="3"/>
        <v xml:space="preserve">10层 </v>
      </c>
      <c r="L28" s="3007" t="str">
        <f t="shared" si="5"/>
        <v>2层</v>
      </c>
      <c r="N28" s="3002">
        <f t="shared" si="0"/>
        <v>582882</v>
      </c>
      <c r="O28" s="3002">
        <f t="shared" si="1"/>
        <v>58</v>
      </c>
      <c r="P28" s="3002">
        <v>11052</v>
      </c>
    </row>
    <row r="29" spans="1:16" ht="24">
      <c r="A29" s="3003">
        <v>26</v>
      </c>
      <c r="B29" s="3003" t="s">
        <v>3090</v>
      </c>
      <c r="C29" s="3004" t="s">
        <v>3934</v>
      </c>
      <c r="D29" s="3025" t="s">
        <v>4255</v>
      </c>
      <c r="E29" s="3008" t="s">
        <v>4256</v>
      </c>
      <c r="F29" s="3028">
        <v>72.180000000000007</v>
      </c>
      <c r="G29" s="3028">
        <v>9.25</v>
      </c>
      <c r="H29" s="3004" t="s">
        <v>1373</v>
      </c>
      <c r="I29" s="3007" t="s">
        <v>4257</v>
      </c>
      <c r="J29" s="3010">
        <f t="shared" si="2"/>
        <v>56156</v>
      </c>
      <c r="K29" s="3007" t="str">
        <f t="shared" si="3"/>
        <v xml:space="preserve">10层 </v>
      </c>
      <c r="L29" s="3007" t="str">
        <f t="shared" si="5"/>
        <v>2层</v>
      </c>
      <c r="N29" s="3002">
        <f t="shared" si="0"/>
        <v>797733</v>
      </c>
      <c r="O29" s="3002">
        <f t="shared" si="1"/>
        <v>80</v>
      </c>
      <c r="P29" s="3002">
        <v>11052</v>
      </c>
    </row>
    <row r="30" spans="1:16" ht="24">
      <c r="A30" s="3003">
        <v>27</v>
      </c>
      <c r="B30" s="3003" t="s">
        <v>3099</v>
      </c>
      <c r="C30" s="3004" t="s">
        <v>3431</v>
      </c>
      <c r="D30" s="3025" t="s">
        <v>4258</v>
      </c>
      <c r="E30" s="3008" t="s">
        <v>4259</v>
      </c>
      <c r="F30" s="3028">
        <v>68.27</v>
      </c>
      <c r="G30" s="3028">
        <v>8.74</v>
      </c>
      <c r="H30" s="3004" t="s">
        <v>1373</v>
      </c>
      <c r="I30" s="3007" t="s">
        <v>3443</v>
      </c>
      <c r="J30" s="3010">
        <f t="shared" si="2"/>
        <v>56156</v>
      </c>
      <c r="K30" s="3007" t="str">
        <f t="shared" si="3"/>
        <v xml:space="preserve">10层 </v>
      </c>
      <c r="L30" s="3007" t="s">
        <v>3522</v>
      </c>
      <c r="N30" s="3002">
        <f t="shared" si="0"/>
        <v>754520</v>
      </c>
      <c r="O30" s="3002">
        <f t="shared" si="1"/>
        <v>75</v>
      </c>
      <c r="P30" s="3002">
        <v>11052</v>
      </c>
    </row>
    <row r="31" spans="1:16" ht="24">
      <c r="A31" s="3003">
        <v>28</v>
      </c>
      <c r="B31" s="3003" t="s">
        <v>3100</v>
      </c>
      <c r="C31" s="3004" t="s">
        <v>3431</v>
      </c>
      <c r="D31" s="3025" t="s">
        <v>4260</v>
      </c>
      <c r="E31" s="3008" t="s">
        <v>4261</v>
      </c>
      <c r="F31" s="3028">
        <v>52.74</v>
      </c>
      <c r="G31" s="3028">
        <v>6.76</v>
      </c>
      <c r="H31" s="3004" t="s">
        <v>1373</v>
      </c>
      <c r="I31" s="3007" t="s">
        <v>3443</v>
      </c>
      <c r="J31" s="3010">
        <f t="shared" si="2"/>
        <v>56156</v>
      </c>
      <c r="K31" s="3007" t="str">
        <f t="shared" si="3"/>
        <v xml:space="preserve">10层 </v>
      </c>
      <c r="L31" s="3007" t="str">
        <f>L30</f>
        <v>3层</v>
      </c>
      <c r="N31" s="3002">
        <f t="shared" si="0"/>
        <v>582882</v>
      </c>
      <c r="O31" s="3002">
        <f t="shared" si="1"/>
        <v>58</v>
      </c>
      <c r="P31" s="3002">
        <v>11052</v>
      </c>
    </row>
    <row r="32" spans="1:16" ht="24">
      <c r="A32" s="3003">
        <v>29</v>
      </c>
      <c r="B32" s="3003" t="s">
        <v>3101</v>
      </c>
      <c r="C32" s="3004" t="s">
        <v>3431</v>
      </c>
      <c r="D32" s="3025" t="s">
        <v>4262</v>
      </c>
      <c r="E32" s="3008" t="s">
        <v>4263</v>
      </c>
      <c r="F32" s="3028">
        <v>52.63</v>
      </c>
      <c r="G32" s="3028">
        <v>6.74</v>
      </c>
      <c r="H32" s="3004" t="s">
        <v>1373</v>
      </c>
      <c r="I32" s="3007" t="s">
        <v>3443</v>
      </c>
      <c r="J32" s="3010">
        <f t="shared" si="2"/>
        <v>56156</v>
      </c>
      <c r="K32" s="3007" t="str">
        <f t="shared" si="3"/>
        <v xml:space="preserve">10层 </v>
      </c>
      <c r="L32" s="3007" t="str">
        <f t="shared" ref="L32:L43" si="6">L31</f>
        <v>3层</v>
      </c>
      <c r="N32" s="3002">
        <f t="shared" si="0"/>
        <v>581667</v>
      </c>
      <c r="O32" s="3002">
        <f t="shared" si="1"/>
        <v>58</v>
      </c>
      <c r="P32" s="3002">
        <v>11052</v>
      </c>
    </row>
    <row r="33" spans="1:16" ht="24">
      <c r="A33" s="3003">
        <v>30</v>
      </c>
      <c r="B33" s="3003" t="s">
        <v>3102</v>
      </c>
      <c r="C33" s="3004" t="s">
        <v>4264</v>
      </c>
      <c r="D33" s="3025" t="s">
        <v>4265</v>
      </c>
      <c r="E33" s="3008" t="s">
        <v>4266</v>
      </c>
      <c r="F33" s="3028">
        <v>53</v>
      </c>
      <c r="G33" s="3028">
        <v>6.79</v>
      </c>
      <c r="H33" s="3004" t="s">
        <v>1373</v>
      </c>
      <c r="I33" s="3007" t="s">
        <v>4267</v>
      </c>
      <c r="J33" s="3010">
        <f t="shared" si="2"/>
        <v>56156</v>
      </c>
      <c r="K33" s="3007" t="str">
        <f t="shared" si="3"/>
        <v xml:space="preserve">10层 </v>
      </c>
      <c r="L33" s="3007" t="str">
        <f t="shared" si="6"/>
        <v>3层</v>
      </c>
      <c r="N33" s="3002">
        <f t="shared" si="0"/>
        <v>585756</v>
      </c>
      <c r="O33" s="3002">
        <f t="shared" si="1"/>
        <v>59</v>
      </c>
      <c r="P33" s="3002">
        <v>11052</v>
      </c>
    </row>
    <row r="34" spans="1:16" ht="24">
      <c r="A34" s="3003">
        <v>31</v>
      </c>
      <c r="B34" s="3003" t="s">
        <v>3103</v>
      </c>
      <c r="C34" s="3004" t="s">
        <v>3527</v>
      </c>
      <c r="D34" s="3025" t="s">
        <v>4268</v>
      </c>
      <c r="E34" s="3008" t="s">
        <v>4269</v>
      </c>
      <c r="F34" s="3028">
        <v>65.540000000000006</v>
      </c>
      <c r="G34" s="3028">
        <v>8.39</v>
      </c>
      <c r="H34" s="3004" t="s">
        <v>1373</v>
      </c>
      <c r="I34" s="3007" t="s">
        <v>3530</v>
      </c>
      <c r="J34" s="3010">
        <f t="shared" si="2"/>
        <v>56156</v>
      </c>
      <c r="K34" s="3007" t="str">
        <f t="shared" si="3"/>
        <v xml:space="preserve">10层 </v>
      </c>
      <c r="L34" s="3007" t="str">
        <f t="shared" si="6"/>
        <v>3层</v>
      </c>
      <c r="N34" s="3002">
        <f t="shared" si="0"/>
        <v>724348</v>
      </c>
      <c r="O34" s="3002">
        <f t="shared" si="1"/>
        <v>72</v>
      </c>
      <c r="P34" s="3002">
        <v>11052</v>
      </c>
    </row>
    <row r="35" spans="1:16" ht="24">
      <c r="A35" s="3003">
        <v>32</v>
      </c>
      <c r="B35" s="3003" t="s">
        <v>3104</v>
      </c>
      <c r="C35" s="3004" t="s">
        <v>4270</v>
      </c>
      <c r="D35" s="3025" t="s">
        <v>4271</v>
      </c>
      <c r="E35" s="3008" t="s">
        <v>4272</v>
      </c>
      <c r="F35" s="3028">
        <v>55.88</v>
      </c>
      <c r="G35" s="3028">
        <v>7.16</v>
      </c>
      <c r="H35" s="3004" t="s">
        <v>1373</v>
      </c>
      <c r="I35" s="3007" t="s">
        <v>4273</v>
      </c>
      <c r="J35" s="3010">
        <f t="shared" si="2"/>
        <v>56156</v>
      </c>
      <c r="K35" s="3007" t="str">
        <f t="shared" si="3"/>
        <v xml:space="preserve">10层 </v>
      </c>
      <c r="L35" s="3007" t="str">
        <f t="shared" si="6"/>
        <v>3层</v>
      </c>
      <c r="N35" s="3002">
        <f t="shared" si="0"/>
        <v>617586</v>
      </c>
      <c r="O35" s="3002">
        <f t="shared" si="1"/>
        <v>62</v>
      </c>
      <c r="P35" s="3002">
        <v>11052</v>
      </c>
    </row>
    <row r="36" spans="1:16" ht="24">
      <c r="A36" s="3003">
        <v>33</v>
      </c>
      <c r="B36" s="3003" t="s">
        <v>3105</v>
      </c>
      <c r="C36" s="3004" t="s">
        <v>4274</v>
      </c>
      <c r="D36" s="3025" t="s">
        <v>4275</v>
      </c>
      <c r="E36" s="3008" t="s">
        <v>4276</v>
      </c>
      <c r="F36" s="3028">
        <v>94.49</v>
      </c>
      <c r="G36" s="3028">
        <v>12.1</v>
      </c>
      <c r="H36" s="3004" t="s">
        <v>1373</v>
      </c>
      <c r="I36" s="3007" t="s">
        <v>4277</v>
      </c>
      <c r="J36" s="3010">
        <f t="shared" si="2"/>
        <v>56156</v>
      </c>
      <c r="K36" s="3007" t="str">
        <f t="shared" si="3"/>
        <v xml:space="preserve">10层 </v>
      </c>
      <c r="L36" s="3007" t="str">
        <f t="shared" si="6"/>
        <v>3层</v>
      </c>
      <c r="N36" s="3002">
        <f t="shared" si="0"/>
        <v>1044303</v>
      </c>
      <c r="O36" s="3002">
        <f t="shared" si="1"/>
        <v>104</v>
      </c>
      <c r="P36" s="3002">
        <v>11052</v>
      </c>
    </row>
    <row r="37" spans="1:16" ht="24">
      <c r="A37" s="3003">
        <v>34</v>
      </c>
      <c r="B37" s="3003" t="s">
        <v>3106</v>
      </c>
      <c r="C37" s="3004" t="s">
        <v>3527</v>
      </c>
      <c r="D37" s="3025" t="s">
        <v>4278</v>
      </c>
      <c r="E37" s="3008" t="s">
        <v>4279</v>
      </c>
      <c r="F37" s="3028">
        <v>94.49</v>
      </c>
      <c r="G37" s="3028">
        <v>12.1</v>
      </c>
      <c r="H37" s="3004" t="s">
        <v>1373</v>
      </c>
      <c r="I37" s="3007" t="s">
        <v>3530</v>
      </c>
      <c r="J37" s="3010">
        <f t="shared" si="2"/>
        <v>56156</v>
      </c>
      <c r="K37" s="3007" t="str">
        <f t="shared" si="3"/>
        <v xml:space="preserve">10层 </v>
      </c>
      <c r="L37" s="3007" t="str">
        <f t="shared" si="6"/>
        <v>3层</v>
      </c>
      <c r="N37" s="3002">
        <f t="shared" si="0"/>
        <v>1044303</v>
      </c>
      <c r="O37" s="3002">
        <f t="shared" si="1"/>
        <v>104</v>
      </c>
      <c r="P37" s="3002">
        <v>11052</v>
      </c>
    </row>
    <row r="38" spans="1:16" ht="24">
      <c r="A38" s="3003">
        <v>35</v>
      </c>
      <c r="B38" s="3003" t="s">
        <v>3107</v>
      </c>
      <c r="C38" s="3004" t="s">
        <v>4280</v>
      </c>
      <c r="D38" s="3025" t="s">
        <v>4281</v>
      </c>
      <c r="E38" s="3008" t="s">
        <v>4282</v>
      </c>
      <c r="F38" s="3028">
        <v>55.88</v>
      </c>
      <c r="G38" s="3028">
        <v>7.16</v>
      </c>
      <c r="H38" s="3004" t="s">
        <v>1373</v>
      </c>
      <c r="I38" s="3007" t="s">
        <v>4283</v>
      </c>
      <c r="J38" s="3010">
        <f t="shared" si="2"/>
        <v>56156</v>
      </c>
      <c r="K38" s="3007" t="str">
        <f t="shared" si="3"/>
        <v xml:space="preserve">10层 </v>
      </c>
      <c r="L38" s="3007" t="str">
        <f t="shared" si="6"/>
        <v>3层</v>
      </c>
      <c r="N38" s="3002">
        <f t="shared" si="0"/>
        <v>617586</v>
      </c>
      <c r="O38" s="3002">
        <f t="shared" si="1"/>
        <v>62</v>
      </c>
      <c r="P38" s="3002">
        <v>11052</v>
      </c>
    </row>
    <row r="39" spans="1:16" ht="24">
      <c r="A39" s="3003">
        <v>36</v>
      </c>
      <c r="B39" s="3003" t="s">
        <v>3108</v>
      </c>
      <c r="C39" s="3004" t="s">
        <v>4186</v>
      </c>
      <c r="D39" s="3025" t="s">
        <v>4284</v>
      </c>
      <c r="E39" s="3008" t="s">
        <v>4285</v>
      </c>
      <c r="F39" s="3028">
        <v>65.540000000000006</v>
      </c>
      <c r="G39" s="3028">
        <v>8.39</v>
      </c>
      <c r="H39" s="3004" t="s">
        <v>1373</v>
      </c>
      <c r="I39" s="3007" t="s">
        <v>4286</v>
      </c>
      <c r="J39" s="3010">
        <f t="shared" si="2"/>
        <v>56156</v>
      </c>
      <c r="K39" s="3007" t="str">
        <f t="shared" si="3"/>
        <v xml:space="preserve">10层 </v>
      </c>
      <c r="L39" s="3007" t="str">
        <f t="shared" si="6"/>
        <v>3层</v>
      </c>
      <c r="N39" s="3002">
        <f t="shared" si="0"/>
        <v>724348</v>
      </c>
      <c r="O39" s="3002">
        <f t="shared" si="1"/>
        <v>72</v>
      </c>
      <c r="P39" s="3002">
        <v>11052</v>
      </c>
    </row>
    <row r="40" spans="1:16" ht="24">
      <c r="A40" s="3003">
        <v>37</v>
      </c>
      <c r="B40" s="3003" t="s">
        <v>3109</v>
      </c>
      <c r="C40" s="3004" t="s">
        <v>3527</v>
      </c>
      <c r="D40" s="3025" t="s">
        <v>4287</v>
      </c>
      <c r="E40" s="3008" t="s">
        <v>4288</v>
      </c>
      <c r="F40" s="3028">
        <v>53</v>
      </c>
      <c r="G40" s="3028">
        <v>6.79</v>
      </c>
      <c r="H40" s="3004" t="s">
        <v>1373</v>
      </c>
      <c r="I40" s="3007" t="s">
        <v>3530</v>
      </c>
      <c r="J40" s="3010">
        <f t="shared" si="2"/>
        <v>56156</v>
      </c>
      <c r="K40" s="3007" t="str">
        <f t="shared" si="3"/>
        <v xml:space="preserve">10层 </v>
      </c>
      <c r="L40" s="3007" t="str">
        <f t="shared" si="6"/>
        <v>3层</v>
      </c>
      <c r="N40" s="3002">
        <f t="shared" si="0"/>
        <v>585756</v>
      </c>
      <c r="O40" s="3002">
        <f t="shared" si="1"/>
        <v>59</v>
      </c>
      <c r="P40" s="3002">
        <v>11052</v>
      </c>
    </row>
    <row r="41" spans="1:16" ht="24">
      <c r="A41" s="3003">
        <v>38</v>
      </c>
      <c r="B41" s="3003" t="s">
        <v>3110</v>
      </c>
      <c r="C41" s="3004" t="s">
        <v>3993</v>
      </c>
      <c r="D41" s="3025" t="s">
        <v>4289</v>
      </c>
      <c r="E41" s="3008" t="s">
        <v>4290</v>
      </c>
      <c r="F41" s="3028">
        <v>52.63</v>
      </c>
      <c r="G41" s="3028">
        <v>6.74</v>
      </c>
      <c r="H41" s="3004" t="s">
        <v>1373</v>
      </c>
      <c r="I41" s="3007" t="s">
        <v>4291</v>
      </c>
      <c r="J41" s="3010">
        <f t="shared" si="2"/>
        <v>56156</v>
      </c>
      <c r="K41" s="3007" t="str">
        <f t="shared" si="3"/>
        <v xml:space="preserve">10层 </v>
      </c>
      <c r="L41" s="3007" t="str">
        <f t="shared" si="6"/>
        <v>3层</v>
      </c>
      <c r="N41" s="3002">
        <f t="shared" si="0"/>
        <v>581667</v>
      </c>
      <c r="O41" s="3002">
        <f t="shared" si="1"/>
        <v>58</v>
      </c>
      <c r="P41" s="3002">
        <v>11052</v>
      </c>
    </row>
    <row r="42" spans="1:16" ht="24">
      <c r="A42" s="3003">
        <v>39</v>
      </c>
      <c r="B42" s="3003" t="s">
        <v>3111</v>
      </c>
      <c r="C42" s="3004" t="s">
        <v>3527</v>
      </c>
      <c r="D42" s="3025" t="s">
        <v>4292</v>
      </c>
      <c r="E42" s="3008" t="s">
        <v>4293</v>
      </c>
      <c r="F42" s="3028">
        <v>52.74</v>
      </c>
      <c r="G42" s="3028">
        <v>6.76</v>
      </c>
      <c r="H42" s="3004" t="s">
        <v>1373</v>
      </c>
      <c r="I42" s="3007" t="s">
        <v>3530</v>
      </c>
      <c r="J42" s="3010">
        <f t="shared" si="2"/>
        <v>56156</v>
      </c>
      <c r="K42" s="3007" t="str">
        <f t="shared" si="3"/>
        <v xml:space="preserve">10层 </v>
      </c>
      <c r="L42" s="3007" t="str">
        <f t="shared" si="6"/>
        <v>3层</v>
      </c>
      <c r="N42" s="3002">
        <f t="shared" si="0"/>
        <v>582882</v>
      </c>
      <c r="O42" s="3002">
        <f t="shared" si="1"/>
        <v>58</v>
      </c>
      <c r="P42" s="3002">
        <v>11052</v>
      </c>
    </row>
    <row r="43" spans="1:16" ht="24">
      <c r="A43" s="3003">
        <v>40</v>
      </c>
      <c r="B43" s="3003" t="s">
        <v>3112</v>
      </c>
      <c r="C43" s="3004" t="s">
        <v>3993</v>
      </c>
      <c r="D43" s="3025" t="s">
        <v>4294</v>
      </c>
      <c r="E43" s="3008" t="s">
        <v>4295</v>
      </c>
      <c r="F43" s="3028">
        <v>72.180000000000007</v>
      </c>
      <c r="G43" s="3028">
        <v>9.25</v>
      </c>
      <c r="H43" s="3004" t="s">
        <v>1373</v>
      </c>
      <c r="I43" s="3007" t="s">
        <v>4291</v>
      </c>
      <c r="J43" s="3010">
        <f t="shared" si="2"/>
        <v>56156</v>
      </c>
      <c r="K43" s="3007" t="str">
        <f t="shared" si="3"/>
        <v xml:space="preserve">10层 </v>
      </c>
      <c r="L43" s="3007" t="str">
        <f t="shared" si="6"/>
        <v>3层</v>
      </c>
      <c r="N43" s="3002">
        <f t="shared" si="0"/>
        <v>797733</v>
      </c>
      <c r="O43" s="3002">
        <f t="shared" si="1"/>
        <v>80</v>
      </c>
      <c r="P43" s="3002">
        <v>11052</v>
      </c>
    </row>
    <row r="44" spans="1:16" ht="24">
      <c r="A44" s="3003">
        <v>41</v>
      </c>
      <c r="B44" s="3003" t="s">
        <v>3121</v>
      </c>
      <c r="C44" s="3004" t="s">
        <v>3621</v>
      </c>
      <c r="D44" s="3025" t="s">
        <v>4296</v>
      </c>
      <c r="E44" s="3008" t="s">
        <v>4297</v>
      </c>
      <c r="F44" s="3028">
        <v>68.27</v>
      </c>
      <c r="G44" s="3028">
        <v>8.74</v>
      </c>
      <c r="H44" s="3004" t="s">
        <v>1373</v>
      </c>
      <c r="I44" s="3007" t="s">
        <v>3665</v>
      </c>
      <c r="J44" s="3010">
        <f t="shared" si="2"/>
        <v>56156</v>
      </c>
      <c r="K44" s="3007" t="str">
        <f t="shared" si="3"/>
        <v xml:space="preserve">10层 </v>
      </c>
      <c r="L44" s="3007" t="s">
        <v>4298</v>
      </c>
      <c r="N44" s="3002">
        <f t="shared" si="0"/>
        <v>754520</v>
      </c>
      <c r="O44" s="3002">
        <f t="shared" si="1"/>
        <v>75</v>
      </c>
      <c r="P44" s="3002">
        <v>11052</v>
      </c>
    </row>
    <row r="45" spans="1:16" ht="24">
      <c r="A45" s="3003">
        <v>42</v>
      </c>
      <c r="B45" s="3003" t="s">
        <v>3122</v>
      </c>
      <c r="C45" s="3004" t="s">
        <v>4186</v>
      </c>
      <c r="D45" s="3025" t="s">
        <v>4299</v>
      </c>
      <c r="E45" s="3008" t="s">
        <v>4300</v>
      </c>
      <c r="F45" s="3028">
        <v>52.74</v>
      </c>
      <c r="G45" s="3028">
        <v>6.76</v>
      </c>
      <c r="H45" s="3004" t="s">
        <v>1373</v>
      </c>
      <c r="I45" s="3007" t="s">
        <v>3665</v>
      </c>
      <c r="J45" s="3010">
        <f t="shared" si="2"/>
        <v>56156</v>
      </c>
      <c r="K45" s="3007" t="str">
        <f t="shared" si="3"/>
        <v xml:space="preserve">10层 </v>
      </c>
      <c r="L45" s="3007" t="str">
        <f>L44</f>
        <v>4层</v>
      </c>
      <c r="N45" s="3002">
        <f t="shared" si="0"/>
        <v>582882</v>
      </c>
      <c r="O45" s="3002">
        <f t="shared" si="1"/>
        <v>58</v>
      </c>
      <c r="P45" s="3002">
        <v>11052</v>
      </c>
    </row>
    <row r="46" spans="1:16" ht="24">
      <c r="A46" s="3003">
        <v>43</v>
      </c>
      <c r="B46" s="3003" t="s">
        <v>3123</v>
      </c>
      <c r="C46" s="3004" t="s">
        <v>3527</v>
      </c>
      <c r="D46" s="3025" t="s">
        <v>4301</v>
      </c>
      <c r="E46" s="3008" t="s">
        <v>4302</v>
      </c>
      <c r="F46" s="3028">
        <v>52.63</v>
      </c>
      <c r="G46" s="3028">
        <v>6.74</v>
      </c>
      <c r="H46" s="3004" t="s">
        <v>1373</v>
      </c>
      <c r="I46" s="3007" t="s">
        <v>3530</v>
      </c>
      <c r="J46" s="3010">
        <f t="shared" si="2"/>
        <v>56156</v>
      </c>
      <c r="K46" s="3007" t="str">
        <f t="shared" si="3"/>
        <v xml:space="preserve">10层 </v>
      </c>
      <c r="L46" s="3007" t="str">
        <f t="shared" ref="L46:L57" si="7">L45</f>
        <v>4层</v>
      </c>
      <c r="N46" s="3002">
        <f t="shared" si="0"/>
        <v>581667</v>
      </c>
      <c r="O46" s="3002">
        <f t="shared" si="1"/>
        <v>58</v>
      </c>
      <c r="P46" s="3002">
        <v>11052</v>
      </c>
    </row>
    <row r="47" spans="1:16" ht="24">
      <c r="A47" s="3003">
        <v>44</v>
      </c>
      <c r="B47" s="3003" t="s">
        <v>3124</v>
      </c>
      <c r="C47" s="3004" t="s">
        <v>3527</v>
      </c>
      <c r="D47" s="3025" t="s">
        <v>4303</v>
      </c>
      <c r="E47" s="3008" t="s">
        <v>4304</v>
      </c>
      <c r="F47" s="3028">
        <v>53</v>
      </c>
      <c r="G47" s="3028">
        <v>6.79</v>
      </c>
      <c r="H47" s="3004" t="s">
        <v>1373</v>
      </c>
      <c r="I47" s="3007" t="s">
        <v>3530</v>
      </c>
      <c r="J47" s="3010">
        <f t="shared" si="2"/>
        <v>56156</v>
      </c>
      <c r="K47" s="3007" t="str">
        <f t="shared" si="3"/>
        <v xml:space="preserve">10层 </v>
      </c>
      <c r="L47" s="3007" t="str">
        <f t="shared" si="7"/>
        <v>4层</v>
      </c>
      <c r="N47" s="3002">
        <f t="shared" si="0"/>
        <v>585756</v>
      </c>
      <c r="O47" s="3002">
        <f t="shared" si="1"/>
        <v>59</v>
      </c>
      <c r="P47" s="3002">
        <v>11052</v>
      </c>
    </row>
    <row r="48" spans="1:16" ht="24">
      <c r="A48" s="3003">
        <v>45</v>
      </c>
      <c r="B48" s="3003" t="s">
        <v>3125</v>
      </c>
      <c r="C48" s="3004" t="s">
        <v>4280</v>
      </c>
      <c r="D48" s="3025" t="s">
        <v>4305</v>
      </c>
      <c r="E48" s="3008" t="s">
        <v>4306</v>
      </c>
      <c r="F48" s="3028">
        <v>65.540000000000006</v>
      </c>
      <c r="G48" s="3028">
        <v>8.39</v>
      </c>
      <c r="H48" s="3004" t="s">
        <v>1373</v>
      </c>
      <c r="I48" s="3007" t="s">
        <v>4283</v>
      </c>
      <c r="J48" s="3010">
        <f t="shared" si="2"/>
        <v>56156</v>
      </c>
      <c r="K48" s="3007" t="str">
        <f t="shared" si="3"/>
        <v xml:space="preserve">10层 </v>
      </c>
      <c r="L48" s="3007" t="str">
        <f t="shared" si="7"/>
        <v>4层</v>
      </c>
      <c r="N48" s="3002">
        <f t="shared" si="0"/>
        <v>724348</v>
      </c>
      <c r="O48" s="3002">
        <f t="shared" si="1"/>
        <v>72</v>
      </c>
      <c r="P48" s="3002">
        <v>11052</v>
      </c>
    </row>
    <row r="49" spans="1:16" ht="24">
      <c r="A49" s="3003">
        <v>46</v>
      </c>
      <c r="B49" s="3003" t="s">
        <v>3126</v>
      </c>
      <c r="C49" s="3004" t="s">
        <v>3993</v>
      </c>
      <c r="D49" s="3025" t="s">
        <v>4307</v>
      </c>
      <c r="E49" s="3008" t="s">
        <v>4308</v>
      </c>
      <c r="F49" s="3028">
        <v>55.88</v>
      </c>
      <c r="G49" s="3028">
        <v>7.16</v>
      </c>
      <c r="H49" s="3004" t="s">
        <v>1373</v>
      </c>
      <c r="I49" s="3007" t="s">
        <v>4291</v>
      </c>
      <c r="J49" s="3010">
        <f t="shared" si="2"/>
        <v>56156</v>
      </c>
      <c r="K49" s="3007" t="str">
        <f t="shared" si="3"/>
        <v xml:space="preserve">10层 </v>
      </c>
      <c r="L49" s="3007" t="str">
        <f t="shared" si="7"/>
        <v>4层</v>
      </c>
      <c r="N49" s="3002">
        <f t="shared" si="0"/>
        <v>617586</v>
      </c>
      <c r="O49" s="3002">
        <f t="shared" si="1"/>
        <v>62</v>
      </c>
      <c r="P49" s="3002">
        <v>11052</v>
      </c>
    </row>
    <row r="50" spans="1:16" ht="24">
      <c r="A50" s="3003">
        <v>47</v>
      </c>
      <c r="B50" s="3003" t="s">
        <v>3127</v>
      </c>
      <c r="C50" s="3004" t="s">
        <v>3527</v>
      </c>
      <c r="D50" s="3025" t="s">
        <v>4309</v>
      </c>
      <c r="E50" s="3008" t="s">
        <v>4310</v>
      </c>
      <c r="F50" s="3028">
        <v>94.49</v>
      </c>
      <c r="G50" s="3028">
        <v>12.1</v>
      </c>
      <c r="H50" s="3004" t="s">
        <v>1373</v>
      </c>
      <c r="I50" s="3007" t="s">
        <v>3530</v>
      </c>
      <c r="J50" s="3010">
        <f t="shared" si="2"/>
        <v>56156</v>
      </c>
      <c r="K50" s="3007" t="str">
        <f t="shared" si="3"/>
        <v xml:space="preserve">10层 </v>
      </c>
      <c r="L50" s="3007" t="str">
        <f t="shared" si="7"/>
        <v>4层</v>
      </c>
      <c r="N50" s="3002">
        <f t="shared" si="0"/>
        <v>1044303</v>
      </c>
      <c r="O50" s="3002">
        <f t="shared" si="1"/>
        <v>104</v>
      </c>
      <c r="P50" s="3002">
        <v>11052</v>
      </c>
    </row>
    <row r="51" spans="1:16" ht="24">
      <c r="A51" s="3003">
        <v>48</v>
      </c>
      <c r="B51" s="3003" t="s">
        <v>3128</v>
      </c>
      <c r="C51" s="3004" t="s">
        <v>3840</v>
      </c>
      <c r="D51" s="3025" t="s">
        <v>4311</v>
      </c>
      <c r="E51" s="3008" t="s">
        <v>4312</v>
      </c>
      <c r="F51" s="3028">
        <v>94.49</v>
      </c>
      <c r="G51" s="3028">
        <v>12.1</v>
      </c>
      <c r="H51" s="3004" t="s">
        <v>1373</v>
      </c>
      <c r="I51" s="3007" t="s">
        <v>3843</v>
      </c>
      <c r="J51" s="3010">
        <f t="shared" si="2"/>
        <v>56156</v>
      </c>
      <c r="K51" s="3007" t="str">
        <f t="shared" si="3"/>
        <v xml:space="preserve">10层 </v>
      </c>
      <c r="L51" s="3007" t="str">
        <f t="shared" si="7"/>
        <v>4层</v>
      </c>
      <c r="N51" s="3002">
        <f t="shared" si="0"/>
        <v>1044303</v>
      </c>
      <c r="O51" s="3002">
        <f t="shared" si="1"/>
        <v>104</v>
      </c>
      <c r="P51" s="3002">
        <v>11052</v>
      </c>
    </row>
    <row r="52" spans="1:16" ht="24">
      <c r="A52" s="3003">
        <v>49</v>
      </c>
      <c r="B52" s="3003" t="s">
        <v>3129</v>
      </c>
      <c r="C52" s="3004" t="s">
        <v>3527</v>
      </c>
      <c r="D52" s="3025" t="s">
        <v>4313</v>
      </c>
      <c r="E52" s="3008" t="s">
        <v>4314</v>
      </c>
      <c r="F52" s="3028">
        <v>55.88</v>
      </c>
      <c r="G52" s="3028">
        <v>7.16</v>
      </c>
      <c r="H52" s="3004" t="s">
        <v>1373</v>
      </c>
      <c r="I52" s="3007" t="s">
        <v>3530</v>
      </c>
      <c r="J52" s="3010">
        <f t="shared" si="2"/>
        <v>56156</v>
      </c>
      <c r="K52" s="3007" t="str">
        <f t="shared" si="3"/>
        <v xml:space="preserve">10层 </v>
      </c>
      <c r="L52" s="3007" t="str">
        <f t="shared" si="7"/>
        <v>4层</v>
      </c>
      <c r="N52" s="3002">
        <f t="shared" si="0"/>
        <v>617586</v>
      </c>
      <c r="O52" s="3002">
        <f t="shared" si="1"/>
        <v>62</v>
      </c>
      <c r="P52" s="3002">
        <v>11052</v>
      </c>
    </row>
    <row r="53" spans="1:16" ht="24">
      <c r="A53" s="3003">
        <v>50</v>
      </c>
      <c r="B53" s="3003" t="s">
        <v>3130</v>
      </c>
      <c r="C53" s="3004" t="s">
        <v>4280</v>
      </c>
      <c r="D53" s="3025" t="s">
        <v>4315</v>
      </c>
      <c r="E53" s="3008" t="s">
        <v>4316</v>
      </c>
      <c r="F53" s="3028">
        <v>65.540000000000006</v>
      </c>
      <c r="G53" s="3028">
        <v>8.39</v>
      </c>
      <c r="H53" s="3004" t="s">
        <v>1373</v>
      </c>
      <c r="I53" s="3007" t="s">
        <v>4283</v>
      </c>
      <c r="J53" s="3010">
        <f t="shared" si="2"/>
        <v>56156</v>
      </c>
      <c r="K53" s="3007" t="str">
        <f t="shared" si="3"/>
        <v xml:space="preserve">10层 </v>
      </c>
      <c r="L53" s="3007" t="str">
        <f t="shared" si="7"/>
        <v>4层</v>
      </c>
      <c r="N53" s="3002">
        <f t="shared" si="0"/>
        <v>724348</v>
      </c>
      <c r="O53" s="3002">
        <f t="shared" si="1"/>
        <v>72</v>
      </c>
      <c r="P53" s="3002">
        <v>11052</v>
      </c>
    </row>
    <row r="54" spans="1:16" ht="24">
      <c r="A54" s="3003">
        <v>51</v>
      </c>
      <c r="B54" s="3003" t="s">
        <v>3131</v>
      </c>
      <c r="C54" s="3004" t="s">
        <v>4317</v>
      </c>
      <c r="D54" s="3025" t="s">
        <v>4318</v>
      </c>
      <c r="E54" s="3008" t="s">
        <v>4319</v>
      </c>
      <c r="F54" s="3028">
        <v>53</v>
      </c>
      <c r="G54" s="3028">
        <v>6.79</v>
      </c>
      <c r="H54" s="3004" t="s">
        <v>1373</v>
      </c>
      <c r="I54" s="3007" t="s">
        <v>4320</v>
      </c>
      <c r="J54" s="3010">
        <f t="shared" si="2"/>
        <v>56156</v>
      </c>
      <c r="K54" s="3007" t="str">
        <f t="shared" si="3"/>
        <v xml:space="preserve">10层 </v>
      </c>
      <c r="L54" s="3007" t="str">
        <f t="shared" si="7"/>
        <v>4层</v>
      </c>
      <c r="N54" s="3002">
        <f t="shared" si="0"/>
        <v>585756</v>
      </c>
      <c r="O54" s="3002">
        <f t="shared" si="1"/>
        <v>59</v>
      </c>
      <c r="P54" s="3002">
        <v>11052</v>
      </c>
    </row>
    <row r="55" spans="1:16" ht="24">
      <c r="A55" s="3003">
        <v>52</v>
      </c>
      <c r="B55" s="3003" t="s">
        <v>3132</v>
      </c>
      <c r="C55" s="3004" t="s">
        <v>3527</v>
      </c>
      <c r="D55" s="3025" t="s">
        <v>4321</v>
      </c>
      <c r="E55" s="3008" t="s">
        <v>4322</v>
      </c>
      <c r="F55" s="3028">
        <v>52.63</v>
      </c>
      <c r="G55" s="3028">
        <v>6.74</v>
      </c>
      <c r="H55" s="3004" t="s">
        <v>1373</v>
      </c>
      <c r="I55" s="3007" t="s">
        <v>3530</v>
      </c>
      <c r="J55" s="3010">
        <f t="shared" si="2"/>
        <v>56156</v>
      </c>
      <c r="K55" s="3007" t="str">
        <f t="shared" si="3"/>
        <v xml:space="preserve">10层 </v>
      </c>
      <c r="L55" s="3007" t="str">
        <f t="shared" si="7"/>
        <v>4层</v>
      </c>
      <c r="N55" s="3002">
        <f t="shared" si="0"/>
        <v>581667</v>
      </c>
      <c r="O55" s="3002">
        <f t="shared" si="1"/>
        <v>58</v>
      </c>
      <c r="P55" s="3002">
        <v>11052</v>
      </c>
    </row>
    <row r="56" spans="1:16" ht="24">
      <c r="A56" s="3003">
        <v>53</v>
      </c>
      <c r="B56" s="3003" t="s">
        <v>3133</v>
      </c>
      <c r="C56" s="3004" t="s">
        <v>4280</v>
      </c>
      <c r="D56" s="3025" t="s">
        <v>4323</v>
      </c>
      <c r="E56" s="3008" t="s">
        <v>4324</v>
      </c>
      <c r="F56" s="3028">
        <v>52.74</v>
      </c>
      <c r="G56" s="3028">
        <v>6.76</v>
      </c>
      <c r="H56" s="3004" t="s">
        <v>1373</v>
      </c>
      <c r="I56" s="3007" t="s">
        <v>4283</v>
      </c>
      <c r="J56" s="3010">
        <f t="shared" si="2"/>
        <v>56156</v>
      </c>
      <c r="K56" s="3007" t="str">
        <f t="shared" si="3"/>
        <v xml:space="preserve">10层 </v>
      </c>
      <c r="L56" s="3007" t="str">
        <f t="shared" si="7"/>
        <v>4层</v>
      </c>
      <c r="N56" s="3002">
        <f t="shared" si="0"/>
        <v>582882</v>
      </c>
      <c r="O56" s="3002">
        <f t="shared" si="1"/>
        <v>58</v>
      </c>
      <c r="P56" s="3002">
        <v>11052</v>
      </c>
    </row>
    <row r="57" spans="1:16" ht="24">
      <c r="A57" s="3003">
        <v>54</v>
      </c>
      <c r="B57" s="3003" t="s">
        <v>3134</v>
      </c>
      <c r="C57" s="3004" t="s">
        <v>3527</v>
      </c>
      <c r="D57" s="3025" t="s">
        <v>4325</v>
      </c>
      <c r="E57" s="3008" t="s">
        <v>4326</v>
      </c>
      <c r="F57" s="3028">
        <v>72.180000000000007</v>
      </c>
      <c r="G57" s="3028">
        <v>9.25</v>
      </c>
      <c r="H57" s="3004" t="s">
        <v>1373</v>
      </c>
      <c r="I57" s="3007" t="s">
        <v>3530</v>
      </c>
      <c r="J57" s="3010">
        <f t="shared" si="2"/>
        <v>56156</v>
      </c>
      <c r="K57" s="3007" t="str">
        <f t="shared" si="3"/>
        <v xml:space="preserve">10层 </v>
      </c>
      <c r="L57" s="3007" t="str">
        <f t="shared" si="7"/>
        <v>4层</v>
      </c>
      <c r="N57" s="3002">
        <f t="shared" si="0"/>
        <v>797733</v>
      </c>
      <c r="O57" s="3002">
        <f t="shared" si="1"/>
        <v>80</v>
      </c>
      <c r="P57" s="3002">
        <v>11052</v>
      </c>
    </row>
    <row r="58" spans="1:16" ht="24">
      <c r="A58" s="3003">
        <v>55</v>
      </c>
      <c r="B58" s="3003" t="s">
        <v>3143</v>
      </c>
      <c r="C58" s="3004" t="s">
        <v>3621</v>
      </c>
      <c r="D58" s="3025" t="s">
        <v>4327</v>
      </c>
      <c r="E58" s="3008" t="s">
        <v>4328</v>
      </c>
      <c r="F58" s="3028">
        <v>68.27</v>
      </c>
      <c r="G58" s="3028">
        <v>8.74</v>
      </c>
      <c r="H58" s="3004" t="s">
        <v>1373</v>
      </c>
      <c r="I58" s="3007" t="s">
        <v>3665</v>
      </c>
      <c r="J58" s="3010">
        <f t="shared" si="2"/>
        <v>56156</v>
      </c>
      <c r="K58" s="3007" t="str">
        <f t="shared" si="3"/>
        <v xml:space="preserve">10层 </v>
      </c>
      <c r="L58" s="3007" t="s">
        <v>4329</v>
      </c>
      <c r="N58" s="3002">
        <f t="shared" si="0"/>
        <v>754520</v>
      </c>
      <c r="O58" s="3002">
        <f t="shared" si="1"/>
        <v>75</v>
      </c>
      <c r="P58" s="3002">
        <v>11052</v>
      </c>
    </row>
    <row r="59" spans="1:16" ht="24">
      <c r="A59" s="3003">
        <v>56</v>
      </c>
      <c r="B59" s="3003" t="s">
        <v>3144</v>
      </c>
      <c r="C59" s="3004" t="s">
        <v>3993</v>
      </c>
      <c r="D59" s="3025" t="s">
        <v>4330</v>
      </c>
      <c r="E59" s="3008" t="s">
        <v>4331</v>
      </c>
      <c r="F59" s="3028">
        <v>52.74</v>
      </c>
      <c r="G59" s="3028">
        <v>6.76</v>
      </c>
      <c r="H59" s="3004" t="s">
        <v>1373</v>
      </c>
      <c r="I59" s="3007" t="s">
        <v>4291</v>
      </c>
      <c r="J59" s="3010">
        <f t="shared" si="2"/>
        <v>56156</v>
      </c>
      <c r="K59" s="3007" t="str">
        <f t="shared" si="3"/>
        <v xml:space="preserve">10层 </v>
      </c>
      <c r="L59" s="3007" t="str">
        <f>L58</f>
        <v>5层</v>
      </c>
      <c r="N59" s="3002">
        <f t="shared" si="0"/>
        <v>582882</v>
      </c>
      <c r="O59" s="3002">
        <f t="shared" si="1"/>
        <v>58</v>
      </c>
      <c r="P59" s="3002">
        <v>11052</v>
      </c>
    </row>
    <row r="60" spans="1:16" ht="24">
      <c r="A60" s="3003">
        <v>57</v>
      </c>
      <c r="B60" s="3003" t="s">
        <v>3145</v>
      </c>
      <c r="C60" s="3004" t="s">
        <v>3527</v>
      </c>
      <c r="D60" s="3025" t="s">
        <v>4332</v>
      </c>
      <c r="E60" s="3008" t="s">
        <v>4333</v>
      </c>
      <c r="F60" s="3028">
        <v>52.63</v>
      </c>
      <c r="G60" s="3028">
        <v>6.74</v>
      </c>
      <c r="H60" s="3004" t="s">
        <v>1373</v>
      </c>
      <c r="I60" s="3007" t="s">
        <v>3530</v>
      </c>
      <c r="J60" s="3010">
        <f t="shared" si="2"/>
        <v>56156</v>
      </c>
      <c r="K60" s="3007" t="str">
        <f t="shared" si="3"/>
        <v xml:space="preserve">10层 </v>
      </c>
      <c r="L60" s="3007" t="str">
        <f t="shared" ref="L60:L71" si="8">L59</f>
        <v>5层</v>
      </c>
      <c r="N60" s="3002">
        <f t="shared" si="0"/>
        <v>581667</v>
      </c>
      <c r="O60" s="3002">
        <f t="shared" si="1"/>
        <v>58</v>
      </c>
      <c r="P60" s="3002">
        <v>11052</v>
      </c>
    </row>
    <row r="61" spans="1:16" ht="24">
      <c r="A61" s="3003">
        <v>58</v>
      </c>
      <c r="B61" s="3003" t="s">
        <v>3146</v>
      </c>
      <c r="C61" s="3004" t="s">
        <v>4047</v>
      </c>
      <c r="D61" s="3025" t="s">
        <v>4334</v>
      </c>
      <c r="E61" s="3008" t="s">
        <v>4335</v>
      </c>
      <c r="F61" s="3028">
        <v>53</v>
      </c>
      <c r="G61" s="3028">
        <v>6.79</v>
      </c>
      <c r="H61" s="3004" t="s">
        <v>1373</v>
      </c>
      <c r="I61" s="3007" t="s">
        <v>4336</v>
      </c>
      <c r="J61" s="3010">
        <f t="shared" si="2"/>
        <v>56156</v>
      </c>
      <c r="K61" s="3007" t="str">
        <f t="shared" si="3"/>
        <v xml:space="preserve">10层 </v>
      </c>
      <c r="L61" s="3007" t="str">
        <f t="shared" si="8"/>
        <v>5层</v>
      </c>
      <c r="N61" s="3002">
        <f t="shared" si="0"/>
        <v>585756</v>
      </c>
      <c r="O61" s="3002">
        <f t="shared" si="1"/>
        <v>59</v>
      </c>
      <c r="P61" s="3002">
        <v>11052</v>
      </c>
    </row>
    <row r="62" spans="1:16" ht="24">
      <c r="A62" s="3003">
        <v>59</v>
      </c>
      <c r="B62" s="3003" t="s">
        <v>3147</v>
      </c>
      <c r="C62" s="3004" t="s">
        <v>3840</v>
      </c>
      <c r="D62" s="3025" t="s">
        <v>4337</v>
      </c>
      <c r="E62" s="3008" t="s">
        <v>4338</v>
      </c>
      <c r="F62" s="3028">
        <v>65.540000000000006</v>
      </c>
      <c r="G62" s="3028">
        <v>8.39</v>
      </c>
      <c r="H62" s="3004" t="s">
        <v>1373</v>
      </c>
      <c r="I62" s="3007" t="s">
        <v>4336</v>
      </c>
      <c r="J62" s="3010">
        <f t="shared" si="2"/>
        <v>56156</v>
      </c>
      <c r="K62" s="3007" t="str">
        <f t="shared" si="3"/>
        <v xml:space="preserve">10层 </v>
      </c>
      <c r="L62" s="3007" t="str">
        <f t="shared" si="8"/>
        <v>5层</v>
      </c>
      <c r="N62" s="3002">
        <f t="shared" si="0"/>
        <v>724348</v>
      </c>
      <c r="O62" s="3002">
        <f t="shared" si="1"/>
        <v>72</v>
      </c>
      <c r="P62" s="3002">
        <v>11052</v>
      </c>
    </row>
    <row r="63" spans="1:16" ht="24">
      <c r="A63" s="3003">
        <v>60</v>
      </c>
      <c r="B63" s="3003" t="s">
        <v>3148</v>
      </c>
      <c r="C63" s="3004" t="s">
        <v>3840</v>
      </c>
      <c r="D63" s="3025" t="s">
        <v>4339</v>
      </c>
      <c r="E63" s="3008" t="s">
        <v>4340</v>
      </c>
      <c r="F63" s="3028">
        <v>55.88</v>
      </c>
      <c r="G63" s="3028">
        <v>7.16</v>
      </c>
      <c r="H63" s="3004" t="s">
        <v>1373</v>
      </c>
      <c r="I63" s="3007" t="s">
        <v>3843</v>
      </c>
      <c r="J63" s="3010">
        <f t="shared" si="2"/>
        <v>56156</v>
      </c>
      <c r="K63" s="3007" t="str">
        <f t="shared" si="3"/>
        <v xml:space="preserve">10层 </v>
      </c>
      <c r="L63" s="3007" t="str">
        <f t="shared" si="8"/>
        <v>5层</v>
      </c>
      <c r="N63" s="3002">
        <f t="shared" si="0"/>
        <v>617586</v>
      </c>
      <c r="O63" s="3002">
        <f t="shared" si="1"/>
        <v>62</v>
      </c>
      <c r="P63" s="3002">
        <v>11052</v>
      </c>
    </row>
    <row r="64" spans="1:16" ht="24">
      <c r="A64" s="3003">
        <v>61</v>
      </c>
      <c r="B64" s="3003" t="s">
        <v>3149</v>
      </c>
      <c r="C64" s="3004" t="s">
        <v>3527</v>
      </c>
      <c r="D64" s="3025" t="s">
        <v>4341</v>
      </c>
      <c r="E64" s="3008" t="s">
        <v>4342</v>
      </c>
      <c r="F64" s="3028">
        <v>94.49</v>
      </c>
      <c r="G64" s="3028">
        <v>12.1</v>
      </c>
      <c r="H64" s="3004" t="s">
        <v>1373</v>
      </c>
      <c r="I64" s="3007" t="s">
        <v>3530</v>
      </c>
      <c r="J64" s="3010">
        <f t="shared" si="2"/>
        <v>56156</v>
      </c>
      <c r="K64" s="3007" t="str">
        <f t="shared" si="3"/>
        <v xml:space="preserve">10层 </v>
      </c>
      <c r="L64" s="3007" t="str">
        <f t="shared" si="8"/>
        <v>5层</v>
      </c>
      <c r="N64" s="3002">
        <f t="shared" si="0"/>
        <v>1044303</v>
      </c>
      <c r="O64" s="3002">
        <f t="shared" si="1"/>
        <v>104</v>
      </c>
      <c r="P64" s="3002">
        <v>11052</v>
      </c>
    </row>
    <row r="65" spans="1:16" ht="24">
      <c r="A65" s="3003">
        <v>62</v>
      </c>
      <c r="B65" s="3003" t="s">
        <v>3150</v>
      </c>
      <c r="C65" s="3004" t="s">
        <v>3999</v>
      </c>
      <c r="D65" s="3025" t="s">
        <v>4343</v>
      </c>
      <c r="E65" s="3008" t="s">
        <v>4344</v>
      </c>
      <c r="F65" s="3028">
        <v>94.49</v>
      </c>
      <c r="G65" s="3028">
        <v>12.1</v>
      </c>
      <c r="H65" s="3004" t="s">
        <v>1373</v>
      </c>
      <c r="I65" s="3007" t="s">
        <v>4345</v>
      </c>
      <c r="J65" s="3010">
        <f t="shared" si="2"/>
        <v>56156</v>
      </c>
      <c r="K65" s="3007" t="str">
        <f t="shared" si="3"/>
        <v xml:space="preserve">10层 </v>
      </c>
      <c r="L65" s="3007" t="str">
        <f t="shared" si="8"/>
        <v>5层</v>
      </c>
      <c r="N65" s="3002">
        <f t="shared" si="0"/>
        <v>1044303</v>
      </c>
      <c r="O65" s="3002">
        <f t="shared" si="1"/>
        <v>104</v>
      </c>
      <c r="P65" s="3002">
        <v>11052</v>
      </c>
    </row>
    <row r="66" spans="1:16" ht="24">
      <c r="A66" s="3003">
        <v>63</v>
      </c>
      <c r="B66" s="3003" t="s">
        <v>3151</v>
      </c>
      <c r="C66" s="3004" t="s">
        <v>3621</v>
      </c>
      <c r="D66" s="3025" t="s">
        <v>4346</v>
      </c>
      <c r="E66" s="3008" t="s">
        <v>4347</v>
      </c>
      <c r="F66" s="3028">
        <v>55.88</v>
      </c>
      <c r="G66" s="3028">
        <v>7.16</v>
      </c>
      <c r="H66" s="3004" t="s">
        <v>1373</v>
      </c>
      <c r="I66" s="3007" t="s">
        <v>3665</v>
      </c>
      <c r="J66" s="3010">
        <f t="shared" si="2"/>
        <v>56156</v>
      </c>
      <c r="K66" s="3007" t="str">
        <f t="shared" si="3"/>
        <v xml:space="preserve">10层 </v>
      </c>
      <c r="L66" s="3007" t="str">
        <f t="shared" si="8"/>
        <v>5层</v>
      </c>
      <c r="N66" s="3002">
        <f t="shared" si="0"/>
        <v>617586</v>
      </c>
      <c r="O66" s="3002">
        <f t="shared" si="1"/>
        <v>62</v>
      </c>
      <c r="P66" s="3002">
        <v>11052</v>
      </c>
    </row>
    <row r="67" spans="1:16" ht="24">
      <c r="A67" s="3003">
        <v>64</v>
      </c>
      <c r="B67" s="3003" t="s">
        <v>3152</v>
      </c>
      <c r="C67" s="3004" t="s">
        <v>3993</v>
      </c>
      <c r="D67" s="3025" t="s">
        <v>4348</v>
      </c>
      <c r="E67" s="3008" t="s">
        <v>4349</v>
      </c>
      <c r="F67" s="3028">
        <v>65.540000000000006</v>
      </c>
      <c r="G67" s="3028">
        <v>8.39</v>
      </c>
      <c r="H67" s="3004" t="s">
        <v>1373</v>
      </c>
      <c r="I67" s="3007" t="s">
        <v>4291</v>
      </c>
      <c r="J67" s="3010">
        <f t="shared" si="2"/>
        <v>56156</v>
      </c>
      <c r="K67" s="3007" t="str">
        <f t="shared" si="3"/>
        <v xml:space="preserve">10层 </v>
      </c>
      <c r="L67" s="3007" t="str">
        <f t="shared" si="8"/>
        <v>5层</v>
      </c>
      <c r="N67" s="3002">
        <f t="shared" si="0"/>
        <v>724348</v>
      </c>
      <c r="O67" s="3002">
        <f t="shared" si="1"/>
        <v>72</v>
      </c>
      <c r="P67" s="3002">
        <v>11052</v>
      </c>
    </row>
    <row r="68" spans="1:16" ht="24">
      <c r="A68" s="3003">
        <v>65</v>
      </c>
      <c r="B68" s="3003" t="s">
        <v>3153</v>
      </c>
      <c r="C68" s="3004" t="s">
        <v>3527</v>
      </c>
      <c r="D68" s="3025" t="s">
        <v>4350</v>
      </c>
      <c r="E68" s="3008" t="s">
        <v>4351</v>
      </c>
      <c r="F68" s="3028">
        <v>53</v>
      </c>
      <c r="G68" s="3028">
        <v>6.79</v>
      </c>
      <c r="H68" s="3004" t="s">
        <v>1373</v>
      </c>
      <c r="I68" s="3007" t="s">
        <v>3530</v>
      </c>
      <c r="J68" s="3010">
        <f t="shared" si="2"/>
        <v>56156</v>
      </c>
      <c r="K68" s="3007" t="str">
        <f t="shared" si="3"/>
        <v xml:space="preserve">10层 </v>
      </c>
      <c r="L68" s="3007" t="str">
        <f t="shared" si="8"/>
        <v>5层</v>
      </c>
      <c r="N68" s="3002">
        <f t="shared" si="0"/>
        <v>585756</v>
      </c>
      <c r="O68" s="3002">
        <f t="shared" si="1"/>
        <v>59</v>
      </c>
      <c r="P68" s="3002">
        <v>11052</v>
      </c>
    </row>
    <row r="69" spans="1:16" ht="24">
      <c r="A69" s="3003">
        <v>66</v>
      </c>
      <c r="B69" s="3003" t="s">
        <v>3154</v>
      </c>
      <c r="C69" s="3004" t="s">
        <v>4280</v>
      </c>
      <c r="D69" s="3025" t="s">
        <v>4352</v>
      </c>
      <c r="E69" s="3008" t="s">
        <v>4353</v>
      </c>
      <c r="F69" s="3028">
        <v>52.63</v>
      </c>
      <c r="G69" s="3028">
        <v>6.74</v>
      </c>
      <c r="H69" s="3004" t="s">
        <v>1373</v>
      </c>
      <c r="I69" s="3007" t="s">
        <v>4283</v>
      </c>
      <c r="J69" s="3010">
        <f t="shared" si="2"/>
        <v>56156</v>
      </c>
      <c r="K69" s="3007" t="str">
        <f t="shared" si="3"/>
        <v xml:space="preserve">10层 </v>
      </c>
      <c r="L69" s="3007" t="str">
        <f t="shared" si="8"/>
        <v>5层</v>
      </c>
      <c r="N69" s="3002">
        <f t="shared" ref="N69:N126" si="9">ROUND(F69*$M$4,0)</f>
        <v>581667</v>
      </c>
      <c r="O69" s="3002">
        <f t="shared" ref="O69:O126" si="10">ROUND(N69/10000,0)</f>
        <v>58</v>
      </c>
      <c r="P69" s="3002">
        <v>11052</v>
      </c>
    </row>
    <row r="70" spans="1:16" ht="24">
      <c r="A70" s="3003">
        <v>67</v>
      </c>
      <c r="B70" s="3003" t="s">
        <v>3155</v>
      </c>
      <c r="C70" s="3004" t="s">
        <v>4354</v>
      </c>
      <c r="D70" s="3025" t="s">
        <v>4355</v>
      </c>
      <c r="E70" s="3008" t="s">
        <v>4356</v>
      </c>
      <c r="F70" s="3028">
        <v>52.74</v>
      </c>
      <c r="G70" s="3028">
        <v>6.76</v>
      </c>
      <c r="H70" s="3004" t="s">
        <v>1373</v>
      </c>
      <c r="I70" s="3007" t="s">
        <v>4357</v>
      </c>
      <c r="J70" s="3010">
        <f t="shared" ref="J70:J126" si="11">$J$4</f>
        <v>56156</v>
      </c>
      <c r="K70" s="3007" t="str">
        <f t="shared" ref="K70:K126" si="12">$K$4</f>
        <v xml:space="preserve">10层 </v>
      </c>
      <c r="L70" s="3007" t="str">
        <f t="shared" si="8"/>
        <v>5层</v>
      </c>
      <c r="N70" s="3002">
        <f t="shared" si="9"/>
        <v>582882</v>
      </c>
      <c r="O70" s="3002">
        <f t="shared" si="10"/>
        <v>58</v>
      </c>
      <c r="P70" s="3002">
        <v>11052</v>
      </c>
    </row>
    <row r="71" spans="1:16" ht="24">
      <c r="A71" s="3003">
        <v>68</v>
      </c>
      <c r="B71" s="3003" t="s">
        <v>3156</v>
      </c>
      <c r="C71" s="3004" t="s">
        <v>3993</v>
      </c>
      <c r="D71" s="3025" t="s">
        <v>4358</v>
      </c>
      <c r="E71" s="3008" t="s">
        <v>4359</v>
      </c>
      <c r="F71" s="3028">
        <v>72.180000000000007</v>
      </c>
      <c r="G71" s="3028">
        <v>9.25</v>
      </c>
      <c r="H71" s="3004" t="s">
        <v>1373</v>
      </c>
      <c r="I71" s="3007" t="s">
        <v>4291</v>
      </c>
      <c r="J71" s="3010">
        <f t="shared" si="11"/>
        <v>56156</v>
      </c>
      <c r="K71" s="3007" t="str">
        <f t="shared" si="12"/>
        <v xml:space="preserve">10层 </v>
      </c>
      <c r="L71" s="3007" t="str">
        <f t="shared" si="8"/>
        <v>5层</v>
      </c>
      <c r="N71" s="3002">
        <f t="shared" si="9"/>
        <v>797733</v>
      </c>
      <c r="O71" s="3002">
        <f t="shared" si="10"/>
        <v>80</v>
      </c>
      <c r="P71" s="3002">
        <v>11052</v>
      </c>
    </row>
    <row r="72" spans="1:16" ht="24">
      <c r="A72" s="3003">
        <v>69</v>
      </c>
      <c r="B72" s="3003" t="s">
        <v>3164</v>
      </c>
      <c r="C72" s="3004" t="s">
        <v>4274</v>
      </c>
      <c r="D72" s="3025" t="s">
        <v>4360</v>
      </c>
      <c r="E72" s="3008" t="s">
        <v>4361</v>
      </c>
      <c r="F72" s="3028">
        <v>68.27</v>
      </c>
      <c r="G72" s="3028">
        <v>8.74</v>
      </c>
      <c r="H72" s="3004" t="s">
        <v>1373</v>
      </c>
      <c r="I72" s="3007" t="s">
        <v>4277</v>
      </c>
      <c r="J72" s="3010">
        <f t="shared" si="11"/>
        <v>56156</v>
      </c>
      <c r="K72" s="3007" t="str">
        <f t="shared" si="12"/>
        <v xml:space="preserve">10层 </v>
      </c>
      <c r="L72" s="3007" t="s">
        <v>3660</v>
      </c>
      <c r="N72" s="3002">
        <f t="shared" si="9"/>
        <v>754520</v>
      </c>
      <c r="O72" s="3002">
        <f t="shared" si="10"/>
        <v>75</v>
      </c>
      <c r="P72" s="3002">
        <v>11052</v>
      </c>
    </row>
    <row r="73" spans="1:16" ht="24">
      <c r="A73" s="3003">
        <v>70</v>
      </c>
      <c r="B73" s="3003" t="s">
        <v>3165</v>
      </c>
      <c r="C73" s="3004" t="s">
        <v>3527</v>
      </c>
      <c r="D73" s="3025" t="s">
        <v>4362</v>
      </c>
      <c r="E73" s="3008" t="s">
        <v>4363</v>
      </c>
      <c r="F73" s="3028">
        <v>52.74</v>
      </c>
      <c r="G73" s="3028">
        <v>6.76</v>
      </c>
      <c r="H73" s="3004" t="s">
        <v>1373</v>
      </c>
      <c r="I73" s="3007" t="s">
        <v>3530</v>
      </c>
      <c r="J73" s="3010">
        <f t="shared" si="11"/>
        <v>56156</v>
      </c>
      <c r="K73" s="3007" t="str">
        <f t="shared" si="12"/>
        <v xml:space="preserve">10层 </v>
      </c>
      <c r="L73" s="3007" t="str">
        <f>L72</f>
        <v>6层</v>
      </c>
      <c r="N73" s="3002">
        <f t="shared" si="9"/>
        <v>582882</v>
      </c>
      <c r="O73" s="3002">
        <f t="shared" si="10"/>
        <v>58</v>
      </c>
      <c r="P73" s="3002">
        <v>11052</v>
      </c>
    </row>
    <row r="74" spans="1:16" ht="24">
      <c r="A74" s="3003">
        <v>71</v>
      </c>
      <c r="B74" s="3003" t="s">
        <v>3166</v>
      </c>
      <c r="C74" s="3004" t="s">
        <v>3527</v>
      </c>
      <c r="D74" s="3025" t="s">
        <v>4364</v>
      </c>
      <c r="E74" s="3008" t="s">
        <v>4365</v>
      </c>
      <c r="F74" s="3028">
        <v>52.63</v>
      </c>
      <c r="G74" s="3028">
        <v>6.74</v>
      </c>
      <c r="H74" s="3004" t="s">
        <v>1373</v>
      </c>
      <c r="I74" s="3007" t="s">
        <v>3530</v>
      </c>
      <c r="J74" s="3010">
        <f t="shared" si="11"/>
        <v>56156</v>
      </c>
      <c r="K74" s="3007" t="str">
        <f t="shared" si="12"/>
        <v xml:space="preserve">10层 </v>
      </c>
      <c r="L74" s="3007" t="str">
        <f t="shared" ref="L74:L85" si="13">L73</f>
        <v>6层</v>
      </c>
      <c r="N74" s="3002">
        <f t="shared" si="9"/>
        <v>581667</v>
      </c>
      <c r="O74" s="3002">
        <f t="shared" si="10"/>
        <v>58</v>
      </c>
      <c r="P74" s="3002">
        <v>11052</v>
      </c>
    </row>
    <row r="75" spans="1:16" ht="24">
      <c r="A75" s="3003">
        <v>72</v>
      </c>
      <c r="B75" s="3003" t="s">
        <v>3167</v>
      </c>
      <c r="C75" s="3004" t="s">
        <v>3527</v>
      </c>
      <c r="D75" s="3025" t="s">
        <v>4366</v>
      </c>
      <c r="E75" s="3008" t="s">
        <v>4367</v>
      </c>
      <c r="F75" s="3028">
        <v>53</v>
      </c>
      <c r="G75" s="3028">
        <v>6.79</v>
      </c>
      <c r="H75" s="3004" t="s">
        <v>1373</v>
      </c>
      <c r="I75" s="3007" t="s">
        <v>3530</v>
      </c>
      <c r="J75" s="3010">
        <f t="shared" si="11"/>
        <v>56156</v>
      </c>
      <c r="K75" s="3007" t="str">
        <f t="shared" si="12"/>
        <v xml:space="preserve">10层 </v>
      </c>
      <c r="L75" s="3007" t="str">
        <f t="shared" si="13"/>
        <v>6层</v>
      </c>
      <c r="N75" s="3002">
        <f t="shared" si="9"/>
        <v>585756</v>
      </c>
      <c r="O75" s="3002">
        <f t="shared" si="10"/>
        <v>59</v>
      </c>
      <c r="P75" s="3002">
        <v>11052</v>
      </c>
    </row>
    <row r="76" spans="1:16" ht="24">
      <c r="A76" s="3003">
        <v>73</v>
      </c>
      <c r="B76" s="3003" t="s">
        <v>3168</v>
      </c>
      <c r="C76" s="3004" t="s">
        <v>4280</v>
      </c>
      <c r="D76" s="3025" t="s">
        <v>4368</v>
      </c>
      <c r="E76" s="3008" t="s">
        <v>4369</v>
      </c>
      <c r="F76" s="3028">
        <v>65.540000000000006</v>
      </c>
      <c r="G76" s="3028">
        <v>8.39</v>
      </c>
      <c r="H76" s="3004" t="s">
        <v>1373</v>
      </c>
      <c r="I76" s="3007" t="s">
        <v>4283</v>
      </c>
      <c r="J76" s="3010">
        <f t="shared" si="11"/>
        <v>56156</v>
      </c>
      <c r="K76" s="3007" t="str">
        <f t="shared" si="12"/>
        <v xml:space="preserve">10层 </v>
      </c>
      <c r="L76" s="3007" t="str">
        <f t="shared" si="13"/>
        <v>6层</v>
      </c>
      <c r="N76" s="3002">
        <f t="shared" si="9"/>
        <v>724348</v>
      </c>
      <c r="O76" s="3002">
        <f t="shared" si="10"/>
        <v>72</v>
      </c>
      <c r="P76" s="3002">
        <v>11052</v>
      </c>
    </row>
    <row r="77" spans="1:16" ht="24">
      <c r="A77" s="3003">
        <v>74</v>
      </c>
      <c r="B77" s="3003" t="s">
        <v>3169</v>
      </c>
      <c r="C77" s="3004" t="s">
        <v>4370</v>
      </c>
      <c r="D77" s="3025" t="s">
        <v>4371</v>
      </c>
      <c r="E77" s="3008" t="s">
        <v>4372</v>
      </c>
      <c r="F77" s="3028">
        <v>55.88</v>
      </c>
      <c r="G77" s="3028">
        <v>7.16</v>
      </c>
      <c r="H77" s="3004" t="s">
        <v>1373</v>
      </c>
      <c r="I77" s="3007" t="s">
        <v>4373</v>
      </c>
      <c r="J77" s="3010">
        <f t="shared" si="11"/>
        <v>56156</v>
      </c>
      <c r="K77" s="3007" t="str">
        <f t="shared" si="12"/>
        <v xml:space="preserve">10层 </v>
      </c>
      <c r="L77" s="3007" t="str">
        <f t="shared" si="13"/>
        <v>6层</v>
      </c>
      <c r="N77" s="3002">
        <f t="shared" si="9"/>
        <v>617586</v>
      </c>
      <c r="O77" s="3002">
        <f t="shared" si="10"/>
        <v>62</v>
      </c>
      <c r="P77" s="3002">
        <v>11052</v>
      </c>
    </row>
    <row r="78" spans="1:16" ht="24">
      <c r="A78" s="3003">
        <v>75</v>
      </c>
      <c r="B78" s="3003" t="s">
        <v>3170</v>
      </c>
      <c r="C78" s="3004" t="s">
        <v>3840</v>
      </c>
      <c r="D78" s="3025" t="s">
        <v>4374</v>
      </c>
      <c r="E78" s="3008" t="s">
        <v>4375</v>
      </c>
      <c r="F78" s="3028">
        <v>94.49</v>
      </c>
      <c r="G78" s="3028">
        <v>12.1</v>
      </c>
      <c r="H78" s="3004" t="s">
        <v>1373</v>
      </c>
      <c r="I78" s="3007" t="s">
        <v>3843</v>
      </c>
      <c r="J78" s="3010">
        <f t="shared" si="11"/>
        <v>56156</v>
      </c>
      <c r="K78" s="3007" t="str">
        <f t="shared" si="12"/>
        <v xml:space="preserve">10层 </v>
      </c>
      <c r="L78" s="3007" t="str">
        <f t="shared" si="13"/>
        <v>6层</v>
      </c>
      <c r="N78" s="3002">
        <f t="shared" si="9"/>
        <v>1044303</v>
      </c>
      <c r="O78" s="3002">
        <f t="shared" si="10"/>
        <v>104</v>
      </c>
      <c r="P78" s="3002">
        <v>11052</v>
      </c>
    </row>
    <row r="79" spans="1:16" ht="24">
      <c r="A79" s="3003">
        <v>76</v>
      </c>
      <c r="B79" s="3003" t="s">
        <v>3171</v>
      </c>
      <c r="C79" s="3004" t="s">
        <v>3840</v>
      </c>
      <c r="D79" s="3025" t="s">
        <v>4376</v>
      </c>
      <c r="E79" s="3008" t="s">
        <v>4377</v>
      </c>
      <c r="F79" s="3028">
        <v>94.49</v>
      </c>
      <c r="G79" s="3028">
        <v>12.1</v>
      </c>
      <c r="H79" s="3004" t="s">
        <v>1373</v>
      </c>
      <c r="I79" s="3007" t="s">
        <v>3843</v>
      </c>
      <c r="J79" s="3010">
        <f t="shared" si="11"/>
        <v>56156</v>
      </c>
      <c r="K79" s="3007" t="str">
        <f t="shared" si="12"/>
        <v xml:space="preserve">10层 </v>
      </c>
      <c r="L79" s="3007" t="str">
        <f t="shared" si="13"/>
        <v>6层</v>
      </c>
      <c r="N79" s="3002">
        <f t="shared" si="9"/>
        <v>1044303</v>
      </c>
      <c r="O79" s="3002">
        <f t="shared" si="10"/>
        <v>104</v>
      </c>
      <c r="P79" s="3002">
        <v>11052</v>
      </c>
    </row>
    <row r="80" spans="1:16" ht="24">
      <c r="A80" s="3003">
        <v>77</v>
      </c>
      <c r="B80" s="3003" t="s">
        <v>3172</v>
      </c>
      <c r="C80" s="3004" t="s">
        <v>4073</v>
      </c>
      <c r="D80" s="3025" t="s">
        <v>4378</v>
      </c>
      <c r="E80" s="3008" t="s">
        <v>4379</v>
      </c>
      <c r="F80" s="3028">
        <v>55.88</v>
      </c>
      <c r="G80" s="3028">
        <v>7.16</v>
      </c>
      <c r="H80" s="3004" t="s">
        <v>1373</v>
      </c>
      <c r="I80" s="3007" t="s">
        <v>4380</v>
      </c>
      <c r="J80" s="3010">
        <f t="shared" si="11"/>
        <v>56156</v>
      </c>
      <c r="K80" s="3007" t="str">
        <f t="shared" si="12"/>
        <v xml:space="preserve">10层 </v>
      </c>
      <c r="L80" s="3007" t="str">
        <f t="shared" si="13"/>
        <v>6层</v>
      </c>
      <c r="N80" s="3002">
        <f t="shared" si="9"/>
        <v>617586</v>
      </c>
      <c r="O80" s="3002">
        <f t="shared" si="10"/>
        <v>62</v>
      </c>
      <c r="P80" s="3002">
        <v>11052</v>
      </c>
    </row>
    <row r="81" spans="1:16" ht="24">
      <c r="A81" s="3003">
        <v>78</v>
      </c>
      <c r="B81" s="3003" t="s">
        <v>3173</v>
      </c>
      <c r="C81" s="3004" t="s">
        <v>3449</v>
      </c>
      <c r="D81" s="3025" t="s">
        <v>4381</v>
      </c>
      <c r="E81" s="3008" t="s">
        <v>4382</v>
      </c>
      <c r="F81" s="3028">
        <v>65.540000000000006</v>
      </c>
      <c r="G81" s="3028">
        <v>8.39</v>
      </c>
      <c r="H81" s="3004" t="s">
        <v>1373</v>
      </c>
      <c r="I81" s="3007" t="s">
        <v>3448</v>
      </c>
      <c r="J81" s="3010">
        <f t="shared" si="11"/>
        <v>56156</v>
      </c>
      <c r="K81" s="3007" t="str">
        <f t="shared" si="12"/>
        <v xml:space="preserve">10层 </v>
      </c>
      <c r="L81" s="3007" t="str">
        <f t="shared" si="13"/>
        <v>6层</v>
      </c>
      <c r="N81" s="3002">
        <f t="shared" si="9"/>
        <v>724348</v>
      </c>
      <c r="O81" s="3002">
        <f t="shared" si="10"/>
        <v>72</v>
      </c>
      <c r="P81" s="3002">
        <v>11052</v>
      </c>
    </row>
    <row r="82" spans="1:16" ht="24">
      <c r="A82" s="3003">
        <v>79</v>
      </c>
      <c r="B82" s="3003" t="s">
        <v>3174</v>
      </c>
      <c r="C82" s="3004" t="s">
        <v>3621</v>
      </c>
      <c r="D82" s="3025" t="s">
        <v>4383</v>
      </c>
      <c r="E82" s="3008" t="s">
        <v>4384</v>
      </c>
      <c r="F82" s="3028">
        <v>53</v>
      </c>
      <c r="G82" s="3028">
        <v>6.79</v>
      </c>
      <c r="H82" s="3004" t="s">
        <v>1373</v>
      </c>
      <c r="I82" s="3007" t="s">
        <v>3665</v>
      </c>
      <c r="J82" s="3010">
        <f t="shared" si="11"/>
        <v>56156</v>
      </c>
      <c r="K82" s="3007" t="str">
        <f t="shared" si="12"/>
        <v xml:space="preserve">10层 </v>
      </c>
      <c r="L82" s="3007" t="str">
        <f t="shared" si="13"/>
        <v>6层</v>
      </c>
      <c r="N82" s="3002">
        <f t="shared" si="9"/>
        <v>585756</v>
      </c>
      <c r="O82" s="3002">
        <f t="shared" si="10"/>
        <v>59</v>
      </c>
      <c r="P82" s="3002">
        <v>11052</v>
      </c>
    </row>
    <row r="83" spans="1:16" ht="24">
      <c r="A83" s="3003">
        <v>80</v>
      </c>
      <c r="B83" s="3003" t="s">
        <v>3175</v>
      </c>
      <c r="C83" s="3004" t="s">
        <v>4370</v>
      </c>
      <c r="D83" s="3025" t="s">
        <v>4385</v>
      </c>
      <c r="E83" s="3008" t="s">
        <v>4386</v>
      </c>
      <c r="F83" s="3028">
        <v>0</v>
      </c>
      <c r="G83" s="3028">
        <v>0</v>
      </c>
      <c r="H83" s="3004" t="s">
        <v>1373</v>
      </c>
      <c r="I83" s="3007" t="s">
        <v>4373</v>
      </c>
      <c r="J83" s="3010">
        <f t="shared" si="11"/>
        <v>56156</v>
      </c>
      <c r="K83" s="3007" t="str">
        <f t="shared" si="12"/>
        <v xml:space="preserve">10层 </v>
      </c>
      <c r="L83" s="3007" t="str">
        <f t="shared" si="13"/>
        <v>6层</v>
      </c>
      <c r="N83" s="3002">
        <f t="shared" si="9"/>
        <v>0</v>
      </c>
      <c r="O83" s="3002">
        <f t="shared" si="10"/>
        <v>0</v>
      </c>
      <c r="P83" s="3002">
        <v>11052</v>
      </c>
    </row>
    <row r="84" spans="1:16" ht="24">
      <c r="A84" s="3003">
        <v>81</v>
      </c>
      <c r="B84" s="3003" t="s">
        <v>3176</v>
      </c>
      <c r="C84" s="3004" t="s">
        <v>3437</v>
      </c>
      <c r="D84" s="3025" t="s">
        <v>4387</v>
      </c>
      <c r="E84" s="3008" t="s">
        <v>4388</v>
      </c>
      <c r="F84" s="3028">
        <v>52.74</v>
      </c>
      <c r="G84" s="3028">
        <v>6.76</v>
      </c>
      <c r="H84" s="3004" t="s">
        <v>1373</v>
      </c>
      <c r="I84" s="3007" t="s">
        <v>4373</v>
      </c>
      <c r="J84" s="3010">
        <f t="shared" si="11"/>
        <v>56156</v>
      </c>
      <c r="K84" s="3007" t="str">
        <f t="shared" si="12"/>
        <v xml:space="preserve">10层 </v>
      </c>
      <c r="L84" s="3007" t="str">
        <f t="shared" si="13"/>
        <v>6层</v>
      </c>
      <c r="N84" s="3002">
        <f t="shared" si="9"/>
        <v>582882</v>
      </c>
      <c r="O84" s="3002">
        <f t="shared" si="10"/>
        <v>58</v>
      </c>
      <c r="P84" s="3002">
        <v>11052</v>
      </c>
    </row>
    <row r="85" spans="1:16" ht="24">
      <c r="A85" s="3003">
        <v>82</v>
      </c>
      <c r="B85" s="3003" t="s">
        <v>3177</v>
      </c>
      <c r="C85" s="3004" t="s">
        <v>3437</v>
      </c>
      <c r="D85" s="3025" t="s">
        <v>4389</v>
      </c>
      <c r="E85" s="3008" t="s">
        <v>4390</v>
      </c>
      <c r="F85" s="3028">
        <v>72.180000000000007</v>
      </c>
      <c r="G85" s="3028">
        <v>9.25</v>
      </c>
      <c r="H85" s="3004" t="s">
        <v>1373</v>
      </c>
      <c r="I85" s="3007" t="s">
        <v>3434</v>
      </c>
      <c r="J85" s="3010">
        <f t="shared" si="11"/>
        <v>56156</v>
      </c>
      <c r="K85" s="3007" t="str">
        <f t="shared" si="12"/>
        <v xml:space="preserve">10层 </v>
      </c>
      <c r="L85" s="3007" t="str">
        <f t="shared" si="13"/>
        <v>6层</v>
      </c>
      <c r="N85" s="3002">
        <f t="shared" si="9"/>
        <v>797733</v>
      </c>
      <c r="O85" s="3002">
        <f t="shared" si="10"/>
        <v>80</v>
      </c>
      <c r="P85" s="3002">
        <v>11052</v>
      </c>
    </row>
    <row r="86" spans="1:16" ht="24">
      <c r="A86" s="3003">
        <v>83</v>
      </c>
      <c r="B86" s="3003" t="s">
        <v>3185</v>
      </c>
      <c r="C86" s="3004" t="s">
        <v>3840</v>
      </c>
      <c r="D86" s="3025" t="s">
        <v>4391</v>
      </c>
      <c r="E86" s="3008" t="s">
        <v>4392</v>
      </c>
      <c r="F86" s="3028">
        <v>68.63</v>
      </c>
      <c r="G86" s="3028">
        <v>8.7899999999999991</v>
      </c>
      <c r="H86" s="3004" t="s">
        <v>1373</v>
      </c>
      <c r="I86" s="3007" t="s">
        <v>3843</v>
      </c>
      <c r="J86" s="3010">
        <f t="shared" si="11"/>
        <v>56156</v>
      </c>
      <c r="K86" s="3007" t="str">
        <f t="shared" si="12"/>
        <v xml:space="preserve">10层 </v>
      </c>
      <c r="L86" s="3007" t="s">
        <v>4393</v>
      </c>
      <c r="N86" s="3002">
        <f t="shared" si="9"/>
        <v>758499</v>
      </c>
      <c r="O86" s="3002">
        <f t="shared" si="10"/>
        <v>76</v>
      </c>
      <c r="P86" s="3002">
        <v>11052</v>
      </c>
    </row>
    <row r="87" spans="1:16" ht="24">
      <c r="A87" s="3003">
        <v>84</v>
      </c>
      <c r="B87" s="3003" t="s">
        <v>3186</v>
      </c>
      <c r="C87" s="3004" t="s">
        <v>4070</v>
      </c>
      <c r="D87" s="3025" t="s">
        <v>4394</v>
      </c>
      <c r="E87" s="3008" t="s">
        <v>4395</v>
      </c>
      <c r="F87" s="3028">
        <v>53.03</v>
      </c>
      <c r="G87" s="3028">
        <v>6.79</v>
      </c>
      <c r="H87" s="3004" t="s">
        <v>1373</v>
      </c>
      <c r="I87" s="3007" t="s">
        <v>4396</v>
      </c>
      <c r="J87" s="3010">
        <f t="shared" si="11"/>
        <v>56156</v>
      </c>
      <c r="K87" s="3007" t="str">
        <f t="shared" si="12"/>
        <v xml:space="preserve">10层 </v>
      </c>
      <c r="L87" s="3007" t="str">
        <f>L86</f>
        <v>7层</v>
      </c>
      <c r="N87" s="3002">
        <f t="shared" si="9"/>
        <v>586088</v>
      </c>
      <c r="O87" s="3002">
        <f t="shared" si="10"/>
        <v>59</v>
      </c>
      <c r="P87" s="3002">
        <v>11052</v>
      </c>
    </row>
    <row r="88" spans="1:16" ht="24">
      <c r="A88" s="3003">
        <v>85</v>
      </c>
      <c r="B88" s="3003" t="s">
        <v>3187</v>
      </c>
      <c r="C88" s="3004" t="s">
        <v>3621</v>
      </c>
      <c r="D88" s="3025" t="s">
        <v>4397</v>
      </c>
      <c r="E88" s="3008" t="s">
        <v>4398</v>
      </c>
      <c r="F88" s="3028">
        <v>52.91</v>
      </c>
      <c r="G88" s="3028">
        <v>6.78</v>
      </c>
      <c r="H88" s="3004" t="s">
        <v>1373</v>
      </c>
      <c r="I88" s="3007" t="s">
        <v>3665</v>
      </c>
      <c r="J88" s="3010">
        <f t="shared" si="11"/>
        <v>56156</v>
      </c>
      <c r="K88" s="3007" t="str">
        <f t="shared" si="12"/>
        <v xml:space="preserve">10层 </v>
      </c>
      <c r="L88" s="3007" t="str">
        <f t="shared" ref="L88:L99" si="14">L87</f>
        <v>7层</v>
      </c>
      <c r="N88" s="3002">
        <f t="shared" si="9"/>
        <v>584761</v>
      </c>
      <c r="O88" s="3002">
        <f t="shared" si="10"/>
        <v>58</v>
      </c>
      <c r="P88" s="3002">
        <v>11052</v>
      </c>
    </row>
    <row r="89" spans="1:16" ht="24">
      <c r="A89" s="3003">
        <v>86</v>
      </c>
      <c r="B89" s="3003" t="s">
        <v>3188</v>
      </c>
      <c r="C89" s="3004" t="s">
        <v>4399</v>
      </c>
      <c r="D89" s="3025" t="s">
        <v>4400</v>
      </c>
      <c r="E89" s="3008" t="s">
        <v>4401</v>
      </c>
      <c r="F89" s="3028">
        <v>53.28</v>
      </c>
      <c r="G89" s="3028">
        <v>6.82</v>
      </c>
      <c r="H89" s="3004" t="s">
        <v>1373</v>
      </c>
      <c r="I89" s="3007" t="s">
        <v>4402</v>
      </c>
      <c r="J89" s="3010">
        <f t="shared" si="11"/>
        <v>56156</v>
      </c>
      <c r="K89" s="3007" t="str">
        <f t="shared" si="12"/>
        <v xml:space="preserve">10层 </v>
      </c>
      <c r="L89" s="3007" t="str">
        <f t="shared" si="14"/>
        <v>7层</v>
      </c>
      <c r="N89" s="3002">
        <f t="shared" si="9"/>
        <v>588851</v>
      </c>
      <c r="O89" s="3002">
        <f t="shared" si="10"/>
        <v>59</v>
      </c>
      <c r="P89" s="3002">
        <v>11052</v>
      </c>
    </row>
    <row r="90" spans="1:16" ht="24">
      <c r="A90" s="3003">
        <v>87</v>
      </c>
      <c r="B90" s="3003" t="s">
        <v>3189</v>
      </c>
      <c r="C90" s="3004" t="s">
        <v>3993</v>
      </c>
      <c r="D90" s="3025" t="s">
        <v>4403</v>
      </c>
      <c r="E90" s="3008" t="s">
        <v>4404</v>
      </c>
      <c r="F90" s="3028">
        <v>65.89</v>
      </c>
      <c r="G90" s="3028">
        <v>8.44</v>
      </c>
      <c r="H90" s="3004" t="s">
        <v>1373</v>
      </c>
      <c r="I90" s="3007" t="s">
        <v>4291</v>
      </c>
      <c r="J90" s="3010">
        <f t="shared" si="11"/>
        <v>56156</v>
      </c>
      <c r="K90" s="3007" t="str">
        <f t="shared" si="12"/>
        <v xml:space="preserve">10层 </v>
      </c>
      <c r="L90" s="3007" t="str">
        <f t="shared" si="14"/>
        <v>7层</v>
      </c>
      <c r="N90" s="3002">
        <f t="shared" si="9"/>
        <v>728216</v>
      </c>
      <c r="O90" s="3002">
        <f t="shared" si="10"/>
        <v>73</v>
      </c>
      <c r="P90" s="3002">
        <v>11052</v>
      </c>
    </row>
    <row r="91" spans="1:16" ht="24">
      <c r="A91" s="3003">
        <v>88</v>
      </c>
      <c r="B91" s="3003" t="s">
        <v>3190</v>
      </c>
      <c r="C91" s="3004" t="s">
        <v>4047</v>
      </c>
      <c r="D91" s="3025" t="s">
        <v>4405</v>
      </c>
      <c r="E91" s="3008" t="s">
        <v>4406</v>
      </c>
      <c r="F91" s="3028">
        <v>52.1</v>
      </c>
      <c r="G91" s="3028">
        <v>6.67</v>
      </c>
      <c r="H91" s="3004" t="s">
        <v>1373</v>
      </c>
      <c r="I91" s="3007" t="s">
        <v>4336</v>
      </c>
      <c r="J91" s="3010">
        <f t="shared" si="11"/>
        <v>56156</v>
      </c>
      <c r="K91" s="3007" t="str">
        <f t="shared" si="12"/>
        <v xml:space="preserve">10层 </v>
      </c>
      <c r="L91" s="3007" t="str">
        <f t="shared" si="14"/>
        <v>7层</v>
      </c>
      <c r="N91" s="3002">
        <f t="shared" si="9"/>
        <v>575809</v>
      </c>
      <c r="O91" s="3002">
        <f t="shared" si="10"/>
        <v>58</v>
      </c>
      <c r="P91" s="3002">
        <v>11052</v>
      </c>
    </row>
    <row r="92" spans="1:16" ht="24">
      <c r="A92" s="3003">
        <v>89</v>
      </c>
      <c r="B92" s="3003" t="s">
        <v>3191</v>
      </c>
      <c r="C92" s="3004" t="s">
        <v>4186</v>
      </c>
      <c r="D92" s="3025" t="s">
        <v>4407</v>
      </c>
      <c r="E92" s="3008" t="s">
        <v>4408</v>
      </c>
      <c r="F92" s="3028">
        <v>82.84</v>
      </c>
      <c r="G92" s="3028">
        <v>10.61</v>
      </c>
      <c r="H92" s="3004" t="s">
        <v>1373</v>
      </c>
      <c r="I92" s="3007" t="s">
        <v>4336</v>
      </c>
      <c r="J92" s="3010">
        <f t="shared" si="11"/>
        <v>56156</v>
      </c>
      <c r="K92" s="3007" t="str">
        <f t="shared" si="12"/>
        <v xml:space="preserve">10层 </v>
      </c>
      <c r="L92" s="3007" t="str">
        <f t="shared" si="14"/>
        <v>7层</v>
      </c>
      <c r="N92" s="3002">
        <f t="shared" si="9"/>
        <v>915548</v>
      </c>
      <c r="O92" s="3002">
        <f t="shared" si="10"/>
        <v>92</v>
      </c>
      <c r="P92" s="3002">
        <v>11052</v>
      </c>
    </row>
    <row r="93" spans="1:16" ht="24">
      <c r="A93" s="3003">
        <v>90</v>
      </c>
      <c r="B93" s="3003" t="s">
        <v>3192</v>
      </c>
      <c r="C93" s="3004" t="s">
        <v>4186</v>
      </c>
      <c r="D93" s="3025" t="s">
        <v>4409</v>
      </c>
      <c r="E93" s="3008" t="s">
        <v>4410</v>
      </c>
      <c r="F93" s="3028">
        <v>82.84</v>
      </c>
      <c r="G93" s="3028">
        <v>10.61</v>
      </c>
      <c r="H93" s="3004" t="s">
        <v>1373</v>
      </c>
      <c r="I93" s="3007" t="s">
        <v>4286</v>
      </c>
      <c r="J93" s="3010">
        <f t="shared" si="11"/>
        <v>56156</v>
      </c>
      <c r="K93" s="3007" t="str">
        <f t="shared" si="12"/>
        <v xml:space="preserve">10层 </v>
      </c>
      <c r="L93" s="3007" t="str">
        <f t="shared" si="14"/>
        <v>7层</v>
      </c>
      <c r="N93" s="3002">
        <f t="shared" si="9"/>
        <v>915548</v>
      </c>
      <c r="O93" s="3002">
        <f t="shared" si="10"/>
        <v>92</v>
      </c>
      <c r="P93" s="3002">
        <v>11052</v>
      </c>
    </row>
    <row r="94" spans="1:16" ht="24">
      <c r="A94" s="3003">
        <v>91</v>
      </c>
      <c r="B94" s="3003" t="s">
        <v>3193</v>
      </c>
      <c r="C94" s="3004" t="s">
        <v>4186</v>
      </c>
      <c r="D94" s="3025" t="s">
        <v>4411</v>
      </c>
      <c r="E94" s="3008" t="s">
        <v>4412</v>
      </c>
      <c r="F94" s="3028">
        <v>52.1</v>
      </c>
      <c r="G94" s="3028">
        <v>6.67</v>
      </c>
      <c r="H94" s="3004" t="s">
        <v>1373</v>
      </c>
      <c r="I94" s="3007" t="s">
        <v>4286</v>
      </c>
      <c r="J94" s="3010">
        <f t="shared" si="11"/>
        <v>56156</v>
      </c>
      <c r="K94" s="3007" t="str">
        <f t="shared" si="12"/>
        <v xml:space="preserve">10层 </v>
      </c>
      <c r="L94" s="3007" t="str">
        <f t="shared" si="14"/>
        <v>7层</v>
      </c>
      <c r="N94" s="3002">
        <f t="shared" si="9"/>
        <v>575809</v>
      </c>
      <c r="O94" s="3002">
        <f t="shared" si="10"/>
        <v>58</v>
      </c>
      <c r="P94" s="3002">
        <v>11052</v>
      </c>
    </row>
    <row r="95" spans="1:16" ht="24">
      <c r="A95" s="3003">
        <v>92</v>
      </c>
      <c r="B95" s="3003" t="s">
        <v>3194</v>
      </c>
      <c r="C95" s="3004" t="s">
        <v>4047</v>
      </c>
      <c r="D95" s="3025" t="s">
        <v>4413</v>
      </c>
      <c r="E95" s="3008" t="s">
        <v>4414</v>
      </c>
      <c r="F95" s="3028">
        <v>65.89</v>
      </c>
      <c r="G95" s="3028">
        <v>8.44</v>
      </c>
      <c r="H95" s="3004" t="s">
        <v>1373</v>
      </c>
      <c r="I95" s="3007" t="s">
        <v>4336</v>
      </c>
      <c r="J95" s="3010">
        <f t="shared" si="11"/>
        <v>56156</v>
      </c>
      <c r="K95" s="3007" t="str">
        <f t="shared" si="12"/>
        <v xml:space="preserve">10层 </v>
      </c>
      <c r="L95" s="3007" t="str">
        <f t="shared" si="14"/>
        <v>7层</v>
      </c>
      <c r="N95" s="3002">
        <f t="shared" si="9"/>
        <v>728216</v>
      </c>
      <c r="O95" s="3002">
        <f t="shared" si="10"/>
        <v>73</v>
      </c>
      <c r="P95" s="3002">
        <v>11052</v>
      </c>
    </row>
    <row r="96" spans="1:16" ht="24">
      <c r="A96" s="3003">
        <v>93</v>
      </c>
      <c r="B96" s="3003" t="s">
        <v>3195</v>
      </c>
      <c r="C96" s="3004" t="s">
        <v>4280</v>
      </c>
      <c r="D96" s="3025" t="s">
        <v>4415</v>
      </c>
      <c r="E96" s="3008" t="s">
        <v>4416</v>
      </c>
      <c r="F96" s="3028">
        <v>53.28</v>
      </c>
      <c r="G96" s="3028">
        <v>6.82</v>
      </c>
      <c r="H96" s="3004" t="s">
        <v>1373</v>
      </c>
      <c r="I96" s="3007" t="s">
        <v>4283</v>
      </c>
      <c r="J96" s="3010">
        <f t="shared" si="11"/>
        <v>56156</v>
      </c>
      <c r="K96" s="3007" t="str">
        <f t="shared" si="12"/>
        <v xml:space="preserve">10层 </v>
      </c>
      <c r="L96" s="3007" t="str">
        <f t="shared" si="14"/>
        <v>7层</v>
      </c>
      <c r="N96" s="3002">
        <f t="shared" si="9"/>
        <v>588851</v>
      </c>
      <c r="O96" s="3002">
        <f t="shared" si="10"/>
        <v>59</v>
      </c>
      <c r="P96" s="3002">
        <v>11052</v>
      </c>
    </row>
    <row r="97" spans="1:16" ht="24">
      <c r="A97" s="3003">
        <v>94</v>
      </c>
      <c r="B97" s="3003" t="s">
        <v>3196</v>
      </c>
      <c r="C97" s="3004" t="s">
        <v>3999</v>
      </c>
      <c r="D97" s="3025" t="s">
        <v>4417</v>
      </c>
      <c r="E97" s="3008" t="s">
        <v>4418</v>
      </c>
      <c r="F97" s="3028">
        <v>0</v>
      </c>
      <c r="G97" s="3028">
        <v>0</v>
      </c>
      <c r="H97" s="3004" t="s">
        <v>1373</v>
      </c>
      <c r="I97" s="3007" t="s">
        <v>4345</v>
      </c>
      <c r="J97" s="3010">
        <f t="shared" si="11"/>
        <v>56156</v>
      </c>
      <c r="K97" s="3007" t="str">
        <f t="shared" si="12"/>
        <v xml:space="preserve">10层 </v>
      </c>
      <c r="L97" s="3007" t="str">
        <f t="shared" si="14"/>
        <v>7层</v>
      </c>
      <c r="N97" s="3002">
        <f t="shared" si="9"/>
        <v>0</v>
      </c>
      <c r="O97" s="3002">
        <f t="shared" si="10"/>
        <v>0</v>
      </c>
      <c r="P97" s="3002">
        <v>11052</v>
      </c>
    </row>
    <row r="98" spans="1:16" ht="24">
      <c r="A98" s="3003">
        <v>95</v>
      </c>
      <c r="B98" s="3003" t="s">
        <v>3197</v>
      </c>
      <c r="C98" s="3004" t="s">
        <v>3993</v>
      </c>
      <c r="D98" s="3025" t="s">
        <v>4419</v>
      </c>
      <c r="E98" s="3008" t="s">
        <v>4420</v>
      </c>
      <c r="F98" s="3028">
        <v>0</v>
      </c>
      <c r="G98" s="3028">
        <v>0</v>
      </c>
      <c r="H98" s="3004" t="s">
        <v>1373</v>
      </c>
      <c r="I98" s="3007" t="s">
        <v>4291</v>
      </c>
      <c r="J98" s="3010">
        <f t="shared" si="11"/>
        <v>56156</v>
      </c>
      <c r="K98" s="3007" t="str">
        <f t="shared" si="12"/>
        <v xml:space="preserve">10层 </v>
      </c>
      <c r="L98" s="3007" t="str">
        <f t="shared" si="14"/>
        <v>7层</v>
      </c>
      <c r="N98" s="3002">
        <f t="shared" si="9"/>
        <v>0</v>
      </c>
      <c r="O98" s="3002">
        <f t="shared" si="10"/>
        <v>0</v>
      </c>
      <c r="P98" s="3002">
        <v>11052</v>
      </c>
    </row>
    <row r="99" spans="1:16" ht="24">
      <c r="A99" s="3003">
        <v>96</v>
      </c>
      <c r="B99" s="3003" t="s">
        <v>3198</v>
      </c>
      <c r="C99" s="3004" t="s">
        <v>4280</v>
      </c>
      <c r="D99" s="3025" t="s">
        <v>4421</v>
      </c>
      <c r="E99" s="3008" t="s">
        <v>4422</v>
      </c>
      <c r="F99" s="3028">
        <v>72.569999999999993</v>
      </c>
      <c r="G99" s="3028">
        <v>9.3000000000000007</v>
      </c>
      <c r="H99" s="3004" t="s">
        <v>1373</v>
      </c>
      <c r="I99" s="3007" t="s">
        <v>4291</v>
      </c>
      <c r="J99" s="3010">
        <f t="shared" si="11"/>
        <v>56156</v>
      </c>
      <c r="K99" s="3007" t="str">
        <f t="shared" si="12"/>
        <v xml:space="preserve">10层 </v>
      </c>
      <c r="L99" s="3007" t="str">
        <f t="shared" si="14"/>
        <v>7层</v>
      </c>
      <c r="N99" s="3002">
        <f t="shared" si="9"/>
        <v>802044</v>
      </c>
      <c r="O99" s="3002">
        <f t="shared" si="10"/>
        <v>80</v>
      </c>
      <c r="P99" s="3002">
        <v>11052</v>
      </c>
    </row>
    <row r="100" spans="1:16" ht="24">
      <c r="A100" s="3003">
        <v>97</v>
      </c>
      <c r="B100" s="3003" t="s">
        <v>3206</v>
      </c>
      <c r="C100" s="3004" t="s">
        <v>4280</v>
      </c>
      <c r="D100" s="3025" t="s">
        <v>4423</v>
      </c>
      <c r="E100" s="3008" t="s">
        <v>4424</v>
      </c>
      <c r="F100" s="3028">
        <v>68.989999999999995</v>
      </c>
      <c r="G100" s="3028">
        <v>8.84</v>
      </c>
      <c r="H100" s="3004" t="s">
        <v>1373</v>
      </c>
      <c r="I100" s="3007" t="s">
        <v>4283</v>
      </c>
      <c r="J100" s="3010">
        <f t="shared" si="11"/>
        <v>56156</v>
      </c>
      <c r="K100" s="3007" t="str">
        <f t="shared" si="12"/>
        <v xml:space="preserve">10层 </v>
      </c>
      <c r="L100" s="3007" t="s">
        <v>4425</v>
      </c>
      <c r="N100" s="3002">
        <f t="shared" si="9"/>
        <v>762477</v>
      </c>
      <c r="O100" s="3002">
        <f t="shared" si="10"/>
        <v>76</v>
      </c>
      <c r="P100" s="3002">
        <v>11052</v>
      </c>
    </row>
    <row r="101" spans="1:16" ht="24">
      <c r="A101" s="3003">
        <v>98</v>
      </c>
      <c r="B101" s="3003" t="s">
        <v>3207</v>
      </c>
      <c r="C101" s="3004" t="s">
        <v>4186</v>
      </c>
      <c r="D101" s="3025" t="s">
        <v>4426</v>
      </c>
      <c r="E101" s="3008" t="s">
        <v>4427</v>
      </c>
      <c r="F101" s="3028">
        <v>53.3</v>
      </c>
      <c r="G101" s="3028">
        <v>6.83</v>
      </c>
      <c r="H101" s="3004" t="s">
        <v>1373</v>
      </c>
      <c r="I101" s="3007" t="s">
        <v>4286</v>
      </c>
      <c r="J101" s="3010">
        <f t="shared" si="11"/>
        <v>56156</v>
      </c>
      <c r="K101" s="3007" t="str">
        <f t="shared" si="12"/>
        <v xml:space="preserve">10层 </v>
      </c>
      <c r="L101" s="3007" t="str">
        <f>L100</f>
        <v>8层</v>
      </c>
      <c r="N101" s="3002">
        <f t="shared" si="9"/>
        <v>589072</v>
      </c>
      <c r="O101" s="3002">
        <f t="shared" si="10"/>
        <v>59</v>
      </c>
      <c r="P101" s="3002">
        <v>11052</v>
      </c>
    </row>
    <row r="102" spans="1:16" ht="24">
      <c r="A102" s="3003">
        <v>99</v>
      </c>
      <c r="B102" s="3003" t="s">
        <v>3208</v>
      </c>
      <c r="C102" s="3004" t="s">
        <v>3431</v>
      </c>
      <c r="D102" s="3025" t="s">
        <v>4428</v>
      </c>
      <c r="E102" s="3008" t="s">
        <v>4429</v>
      </c>
      <c r="F102" s="3028">
        <v>53.18</v>
      </c>
      <c r="G102" s="3028">
        <v>6.81</v>
      </c>
      <c r="H102" s="3004" t="s">
        <v>1373</v>
      </c>
      <c r="I102" s="3007" t="s">
        <v>3443</v>
      </c>
      <c r="J102" s="3010">
        <f t="shared" si="11"/>
        <v>56156</v>
      </c>
      <c r="K102" s="3007" t="str">
        <f t="shared" si="12"/>
        <v xml:space="preserve">10层 </v>
      </c>
      <c r="L102" s="3007" t="str">
        <f t="shared" ref="L102:L113" si="15">L101</f>
        <v>8层</v>
      </c>
      <c r="N102" s="3002">
        <f t="shared" si="9"/>
        <v>587745</v>
      </c>
      <c r="O102" s="3002">
        <f t="shared" si="10"/>
        <v>59</v>
      </c>
      <c r="P102" s="3002">
        <v>11052</v>
      </c>
    </row>
    <row r="103" spans="1:16" ht="24">
      <c r="A103" s="3003">
        <v>100</v>
      </c>
      <c r="B103" s="3003" t="s">
        <v>3209</v>
      </c>
      <c r="C103" s="3004" t="s">
        <v>4005</v>
      </c>
      <c r="D103" s="3025" t="s">
        <v>4430</v>
      </c>
      <c r="E103" s="3008" t="s">
        <v>4431</v>
      </c>
      <c r="F103" s="3028">
        <v>53.55</v>
      </c>
      <c r="G103" s="3028">
        <v>6.86</v>
      </c>
      <c r="H103" s="3004" t="s">
        <v>1373</v>
      </c>
      <c r="I103" s="3007" t="s">
        <v>4432</v>
      </c>
      <c r="J103" s="3010">
        <f t="shared" si="11"/>
        <v>56156</v>
      </c>
      <c r="K103" s="3007" t="str">
        <f t="shared" si="12"/>
        <v xml:space="preserve">10层 </v>
      </c>
      <c r="L103" s="3007" t="str">
        <f t="shared" si="15"/>
        <v>8层</v>
      </c>
      <c r="N103" s="3002">
        <f t="shared" si="9"/>
        <v>591835</v>
      </c>
      <c r="O103" s="3002">
        <f t="shared" si="10"/>
        <v>59</v>
      </c>
      <c r="P103" s="3002">
        <v>11052</v>
      </c>
    </row>
    <row r="104" spans="1:16" ht="24">
      <c r="A104" s="3003">
        <v>101</v>
      </c>
      <c r="B104" s="3003" t="s">
        <v>3210</v>
      </c>
      <c r="C104" s="3004" t="s">
        <v>4433</v>
      </c>
      <c r="D104" s="3025" t="s">
        <v>4434</v>
      </c>
      <c r="E104" s="3008" t="s">
        <v>4435</v>
      </c>
      <c r="F104" s="3028">
        <v>66.23</v>
      </c>
      <c r="G104" s="3028">
        <v>8.48</v>
      </c>
      <c r="H104" s="3004" t="s">
        <v>1373</v>
      </c>
      <c r="I104" s="3007" t="s">
        <v>4436</v>
      </c>
      <c r="J104" s="3010">
        <f t="shared" si="11"/>
        <v>56156</v>
      </c>
      <c r="K104" s="3007" t="str">
        <f t="shared" si="12"/>
        <v xml:space="preserve">10层 </v>
      </c>
      <c r="L104" s="3007" t="str">
        <f t="shared" si="15"/>
        <v>8层</v>
      </c>
      <c r="N104" s="3002">
        <f t="shared" si="9"/>
        <v>731974</v>
      </c>
      <c r="O104" s="3002">
        <f t="shared" si="10"/>
        <v>73</v>
      </c>
      <c r="P104" s="3002">
        <v>11052</v>
      </c>
    </row>
    <row r="105" spans="1:16" ht="24">
      <c r="A105" s="3003">
        <v>102</v>
      </c>
      <c r="B105" s="3003" t="s">
        <v>3211</v>
      </c>
      <c r="C105" s="3004" t="s">
        <v>4186</v>
      </c>
      <c r="D105" s="3025" t="s">
        <v>4437</v>
      </c>
      <c r="E105" s="3008" t="s">
        <v>4438</v>
      </c>
      <c r="F105" s="3028">
        <v>44.98</v>
      </c>
      <c r="G105" s="3028">
        <v>5.76</v>
      </c>
      <c r="H105" s="3004" t="s">
        <v>1373</v>
      </c>
      <c r="I105" s="3007" t="s">
        <v>4286</v>
      </c>
      <c r="J105" s="3010">
        <f t="shared" si="11"/>
        <v>56156</v>
      </c>
      <c r="K105" s="3007" t="str">
        <f t="shared" si="12"/>
        <v xml:space="preserve">10层 </v>
      </c>
      <c r="L105" s="3007" t="str">
        <f t="shared" si="15"/>
        <v>8层</v>
      </c>
      <c r="N105" s="3002">
        <f t="shared" si="9"/>
        <v>497119</v>
      </c>
      <c r="O105" s="3002">
        <f t="shared" si="10"/>
        <v>50</v>
      </c>
      <c r="P105" s="3002">
        <v>11052</v>
      </c>
    </row>
    <row r="106" spans="1:16" ht="24">
      <c r="A106" s="3003">
        <v>103</v>
      </c>
      <c r="B106" s="3003" t="s">
        <v>3212</v>
      </c>
      <c r="C106" s="3004" t="s">
        <v>4354</v>
      </c>
      <c r="D106" s="3025" t="s">
        <v>4439</v>
      </c>
      <c r="E106" s="3008" t="s">
        <v>4440</v>
      </c>
      <c r="F106" s="3028">
        <v>58.19</v>
      </c>
      <c r="G106" s="3028">
        <v>7.45</v>
      </c>
      <c r="H106" s="3004" t="s">
        <v>1373</v>
      </c>
      <c r="I106" s="3007" t="s">
        <v>4357</v>
      </c>
      <c r="J106" s="3010">
        <f t="shared" si="11"/>
        <v>56156</v>
      </c>
      <c r="K106" s="3007" t="str">
        <f t="shared" si="12"/>
        <v xml:space="preserve">10层 </v>
      </c>
      <c r="L106" s="3007" t="str">
        <f t="shared" si="15"/>
        <v>8层</v>
      </c>
      <c r="N106" s="3002">
        <f t="shared" si="9"/>
        <v>643116</v>
      </c>
      <c r="O106" s="3002">
        <f t="shared" si="10"/>
        <v>64</v>
      </c>
      <c r="P106" s="3002">
        <v>11052</v>
      </c>
    </row>
    <row r="107" spans="1:16" ht="24">
      <c r="A107" s="3003">
        <v>104</v>
      </c>
      <c r="B107" s="3003" t="s">
        <v>3213</v>
      </c>
      <c r="C107" s="3004" t="s">
        <v>4047</v>
      </c>
      <c r="D107" s="3025" t="s">
        <v>4441</v>
      </c>
      <c r="E107" s="3008" t="s">
        <v>4442</v>
      </c>
      <c r="F107" s="3028">
        <v>58.19</v>
      </c>
      <c r="G107" s="3028">
        <v>7.45</v>
      </c>
      <c r="H107" s="3004" t="s">
        <v>1373</v>
      </c>
      <c r="I107" s="3007" t="s">
        <v>4336</v>
      </c>
      <c r="J107" s="3010">
        <f t="shared" si="11"/>
        <v>56156</v>
      </c>
      <c r="K107" s="3007" t="str">
        <f t="shared" si="12"/>
        <v xml:space="preserve">10层 </v>
      </c>
      <c r="L107" s="3007" t="str">
        <f t="shared" si="15"/>
        <v>8层</v>
      </c>
      <c r="N107" s="3002">
        <f t="shared" si="9"/>
        <v>643116</v>
      </c>
      <c r="O107" s="3002">
        <f t="shared" si="10"/>
        <v>64</v>
      </c>
      <c r="P107" s="3002">
        <v>11052</v>
      </c>
    </row>
    <row r="108" spans="1:16" ht="24">
      <c r="A108" s="3003">
        <v>105</v>
      </c>
      <c r="B108" s="3003" t="s">
        <v>3214</v>
      </c>
      <c r="C108" s="3004" t="s">
        <v>4047</v>
      </c>
      <c r="D108" s="3025" t="s">
        <v>4443</v>
      </c>
      <c r="E108" s="3008" t="s">
        <v>4444</v>
      </c>
      <c r="F108" s="3028">
        <v>44.98</v>
      </c>
      <c r="G108" s="3028">
        <v>5.76</v>
      </c>
      <c r="H108" s="3004" t="s">
        <v>1373</v>
      </c>
      <c r="I108" s="3007" t="s">
        <v>4336</v>
      </c>
      <c r="J108" s="3010">
        <f t="shared" si="11"/>
        <v>56156</v>
      </c>
      <c r="K108" s="3007" t="str">
        <f t="shared" si="12"/>
        <v xml:space="preserve">10层 </v>
      </c>
      <c r="L108" s="3007" t="str">
        <f t="shared" si="15"/>
        <v>8层</v>
      </c>
      <c r="N108" s="3002">
        <f t="shared" si="9"/>
        <v>497119</v>
      </c>
      <c r="O108" s="3002">
        <f t="shared" si="10"/>
        <v>50</v>
      </c>
      <c r="P108" s="3002">
        <v>11052</v>
      </c>
    </row>
    <row r="109" spans="1:16" ht="24">
      <c r="A109" s="3003">
        <v>106</v>
      </c>
      <c r="B109" s="3003" t="s">
        <v>3215</v>
      </c>
      <c r="C109" s="3004" t="s">
        <v>4317</v>
      </c>
      <c r="D109" s="3025" t="s">
        <v>4445</v>
      </c>
      <c r="E109" s="3008" t="s">
        <v>4446</v>
      </c>
      <c r="F109" s="3028">
        <v>66.23</v>
      </c>
      <c r="G109" s="3028">
        <v>8.48</v>
      </c>
      <c r="H109" s="3004" t="s">
        <v>1373</v>
      </c>
      <c r="I109" s="3007" t="s">
        <v>4320</v>
      </c>
      <c r="J109" s="3010">
        <f t="shared" si="11"/>
        <v>56156</v>
      </c>
      <c r="K109" s="3007" t="str">
        <f t="shared" si="12"/>
        <v xml:space="preserve">10层 </v>
      </c>
      <c r="L109" s="3007" t="str">
        <f t="shared" si="15"/>
        <v>8层</v>
      </c>
      <c r="N109" s="3002">
        <f t="shared" si="9"/>
        <v>731974</v>
      </c>
      <c r="O109" s="3002">
        <f t="shared" si="10"/>
        <v>73</v>
      </c>
      <c r="P109" s="3002">
        <v>11052</v>
      </c>
    </row>
    <row r="110" spans="1:16" ht="24">
      <c r="A110" s="3003">
        <v>107</v>
      </c>
      <c r="B110" s="3003" t="s">
        <v>3216</v>
      </c>
      <c r="C110" s="3004" t="s">
        <v>4317</v>
      </c>
      <c r="D110" s="3025" t="s">
        <v>4447</v>
      </c>
      <c r="E110" s="3008" t="s">
        <v>4448</v>
      </c>
      <c r="F110" s="3028">
        <v>53.55</v>
      </c>
      <c r="G110" s="3028">
        <v>6.86</v>
      </c>
      <c r="H110" s="3004" t="s">
        <v>1373</v>
      </c>
      <c r="I110" s="3007" t="s">
        <v>4320</v>
      </c>
      <c r="J110" s="3010">
        <f t="shared" si="11"/>
        <v>56156</v>
      </c>
      <c r="K110" s="3007" t="str">
        <f t="shared" si="12"/>
        <v xml:space="preserve">10层 </v>
      </c>
      <c r="L110" s="3007" t="str">
        <f t="shared" si="15"/>
        <v>8层</v>
      </c>
      <c r="N110" s="3002">
        <f t="shared" si="9"/>
        <v>591835</v>
      </c>
      <c r="O110" s="3002">
        <f t="shared" si="10"/>
        <v>59</v>
      </c>
      <c r="P110" s="3002">
        <v>11052</v>
      </c>
    </row>
    <row r="111" spans="1:16" ht="24">
      <c r="A111" s="3003">
        <v>108</v>
      </c>
      <c r="B111" s="3003" t="s">
        <v>3217</v>
      </c>
      <c r="C111" s="3004" t="s">
        <v>4449</v>
      </c>
      <c r="D111" s="3025" t="s">
        <v>4450</v>
      </c>
      <c r="E111" s="3008" t="s">
        <v>4451</v>
      </c>
      <c r="F111" s="3028">
        <v>53.18</v>
      </c>
      <c r="G111" s="3028">
        <v>6.81</v>
      </c>
      <c r="H111" s="3004" t="s">
        <v>1373</v>
      </c>
      <c r="I111" s="3007" t="s">
        <v>4452</v>
      </c>
      <c r="J111" s="3010">
        <f t="shared" si="11"/>
        <v>56156</v>
      </c>
      <c r="K111" s="3007" t="str">
        <f t="shared" si="12"/>
        <v xml:space="preserve">10层 </v>
      </c>
      <c r="L111" s="3007" t="str">
        <f t="shared" si="15"/>
        <v>8层</v>
      </c>
      <c r="N111" s="3002">
        <f t="shared" si="9"/>
        <v>587745</v>
      </c>
      <c r="O111" s="3002">
        <f t="shared" si="10"/>
        <v>59</v>
      </c>
      <c r="P111" s="3002">
        <v>11052</v>
      </c>
    </row>
    <row r="112" spans="1:16" ht="24">
      <c r="A112" s="3003">
        <v>109</v>
      </c>
      <c r="B112" s="3003" t="s">
        <v>3218</v>
      </c>
      <c r="C112" s="3004" t="s">
        <v>4264</v>
      </c>
      <c r="D112" s="3025" t="s">
        <v>4453</v>
      </c>
      <c r="E112" s="3008" t="s">
        <v>4454</v>
      </c>
      <c r="F112" s="3028">
        <v>53.3</v>
      </c>
      <c r="G112" s="3028">
        <v>6.83</v>
      </c>
      <c r="H112" s="3004" t="s">
        <v>1373</v>
      </c>
      <c r="I112" s="3007" t="s">
        <v>4267</v>
      </c>
      <c r="J112" s="3010">
        <f t="shared" si="11"/>
        <v>56156</v>
      </c>
      <c r="K112" s="3007" t="str">
        <f t="shared" si="12"/>
        <v xml:space="preserve">10层 </v>
      </c>
      <c r="L112" s="3007" t="str">
        <f t="shared" si="15"/>
        <v>8层</v>
      </c>
      <c r="N112" s="3002">
        <f t="shared" si="9"/>
        <v>589072</v>
      </c>
      <c r="O112" s="3002">
        <f t="shared" si="10"/>
        <v>59</v>
      </c>
      <c r="P112" s="3002">
        <v>11052</v>
      </c>
    </row>
    <row r="113" spans="1:16" ht="24">
      <c r="A113" s="3003">
        <v>110</v>
      </c>
      <c r="B113" s="3003" t="s">
        <v>3219</v>
      </c>
      <c r="C113" s="3004" t="s">
        <v>3999</v>
      </c>
      <c r="D113" s="3025" t="s">
        <v>4455</v>
      </c>
      <c r="E113" s="3008" t="s">
        <v>4456</v>
      </c>
      <c r="F113" s="3028">
        <v>72.94</v>
      </c>
      <c r="G113" s="3028">
        <v>9.34</v>
      </c>
      <c r="H113" s="3004" t="s">
        <v>1373</v>
      </c>
      <c r="I113" s="3007" t="s">
        <v>4345</v>
      </c>
      <c r="J113" s="3010">
        <f t="shared" si="11"/>
        <v>56156</v>
      </c>
      <c r="K113" s="3007" t="str">
        <f t="shared" si="12"/>
        <v xml:space="preserve">10层 </v>
      </c>
      <c r="L113" s="3007" t="str">
        <f t="shared" si="15"/>
        <v>8层</v>
      </c>
      <c r="N113" s="3002">
        <f t="shared" si="9"/>
        <v>806133</v>
      </c>
      <c r="O113" s="3002">
        <f t="shared" si="10"/>
        <v>81</v>
      </c>
      <c r="P113" s="3002">
        <v>11052</v>
      </c>
    </row>
    <row r="114" spans="1:16" ht="24">
      <c r="A114" s="3003">
        <v>111</v>
      </c>
      <c r="B114" s="3003" t="s">
        <v>3227</v>
      </c>
      <c r="C114" s="3004" t="s">
        <v>4354</v>
      </c>
      <c r="D114" s="3025" t="s">
        <v>4457</v>
      </c>
      <c r="E114" s="3008" t="s">
        <v>4458</v>
      </c>
      <c r="F114" s="3028">
        <v>70.180000000000007</v>
      </c>
      <c r="G114" s="3028">
        <v>8.99</v>
      </c>
      <c r="H114" s="3004" t="s">
        <v>1373</v>
      </c>
      <c r="I114" s="3007" t="s">
        <v>4357</v>
      </c>
      <c r="J114" s="3010">
        <f t="shared" si="11"/>
        <v>56156</v>
      </c>
      <c r="K114" s="3007" t="str">
        <f t="shared" si="12"/>
        <v xml:space="preserve">10层 </v>
      </c>
      <c r="L114" s="3007" t="s">
        <v>4459</v>
      </c>
      <c r="N114" s="3002">
        <f t="shared" si="9"/>
        <v>775629</v>
      </c>
      <c r="O114" s="3002">
        <f t="shared" si="10"/>
        <v>78</v>
      </c>
      <c r="P114" s="3002">
        <v>11052</v>
      </c>
    </row>
    <row r="115" spans="1:16" ht="24">
      <c r="A115" s="3003">
        <v>112</v>
      </c>
      <c r="B115" s="3003" t="s">
        <v>3228</v>
      </c>
      <c r="C115" s="3004" t="s">
        <v>4460</v>
      </c>
      <c r="D115" s="3025" t="s">
        <v>4461</v>
      </c>
      <c r="E115" s="3008" t="s">
        <v>4462</v>
      </c>
      <c r="F115" s="3028">
        <v>54.22</v>
      </c>
      <c r="G115" s="3028">
        <v>6.94</v>
      </c>
      <c r="H115" s="3004" t="s">
        <v>1373</v>
      </c>
      <c r="I115" s="3007" t="s">
        <v>4463</v>
      </c>
      <c r="J115" s="3010">
        <f t="shared" si="11"/>
        <v>56156</v>
      </c>
      <c r="K115" s="3007" t="str">
        <f t="shared" si="12"/>
        <v xml:space="preserve">10层 </v>
      </c>
      <c r="L115" s="3007" t="str">
        <f>L114</f>
        <v>9层</v>
      </c>
      <c r="N115" s="3002">
        <f t="shared" si="9"/>
        <v>599239</v>
      </c>
      <c r="O115" s="3002">
        <f t="shared" si="10"/>
        <v>60</v>
      </c>
      <c r="P115" s="3002">
        <v>11052</v>
      </c>
    </row>
    <row r="116" spans="1:16" ht="24">
      <c r="A116" s="3003">
        <v>113</v>
      </c>
      <c r="B116" s="3003" t="s">
        <v>3229</v>
      </c>
      <c r="C116" s="3004" t="s">
        <v>3431</v>
      </c>
      <c r="D116" s="3025" t="s">
        <v>4464</v>
      </c>
      <c r="E116" s="3008" t="s">
        <v>4465</v>
      </c>
      <c r="F116" s="3028">
        <v>54.1</v>
      </c>
      <c r="G116" s="3028">
        <v>6.93</v>
      </c>
      <c r="H116" s="3004" t="s">
        <v>1373</v>
      </c>
      <c r="I116" s="3007" t="s">
        <v>3443</v>
      </c>
      <c r="J116" s="3010">
        <f t="shared" si="11"/>
        <v>56156</v>
      </c>
      <c r="K116" s="3007" t="str">
        <f t="shared" si="12"/>
        <v xml:space="preserve">10层 </v>
      </c>
      <c r="L116" s="3007" t="str">
        <f t="shared" ref="L116:L126" si="16">L115</f>
        <v>9层</v>
      </c>
      <c r="N116" s="3002">
        <f t="shared" si="9"/>
        <v>597913</v>
      </c>
      <c r="O116" s="3002">
        <f t="shared" si="10"/>
        <v>60</v>
      </c>
      <c r="P116" s="3002">
        <v>11052</v>
      </c>
    </row>
    <row r="117" spans="1:16" ht="24">
      <c r="A117" s="3003">
        <v>114</v>
      </c>
      <c r="B117" s="3003" t="s">
        <v>3230</v>
      </c>
      <c r="C117" s="3004" t="s">
        <v>4047</v>
      </c>
      <c r="D117" s="3025" t="s">
        <v>4466</v>
      </c>
      <c r="E117" s="3008" t="s">
        <v>4467</v>
      </c>
      <c r="F117" s="3028">
        <v>54.61</v>
      </c>
      <c r="G117" s="3028">
        <v>6.99</v>
      </c>
      <c r="H117" s="3004" t="s">
        <v>1373</v>
      </c>
      <c r="I117" s="3007" t="s">
        <v>4336</v>
      </c>
      <c r="J117" s="3010">
        <f t="shared" si="11"/>
        <v>56156</v>
      </c>
      <c r="K117" s="3007" t="str">
        <f t="shared" si="12"/>
        <v xml:space="preserve">10层 </v>
      </c>
      <c r="L117" s="3007" t="str">
        <f t="shared" si="16"/>
        <v>9层</v>
      </c>
      <c r="N117" s="3002">
        <f t="shared" si="9"/>
        <v>603550</v>
      </c>
      <c r="O117" s="3002">
        <f t="shared" si="10"/>
        <v>60</v>
      </c>
      <c r="P117" s="3002">
        <v>11052</v>
      </c>
    </row>
    <row r="118" spans="1:16" ht="24">
      <c r="A118" s="3003">
        <v>115</v>
      </c>
      <c r="B118" s="3003" t="s">
        <v>3231</v>
      </c>
      <c r="C118" s="3004" t="s">
        <v>3840</v>
      </c>
      <c r="D118" s="3025" t="s">
        <v>4468</v>
      </c>
      <c r="E118" s="3008" t="s">
        <v>4469</v>
      </c>
      <c r="F118" s="3028">
        <v>61.66</v>
      </c>
      <c r="G118" s="3028">
        <v>7.9</v>
      </c>
      <c r="H118" s="3004" t="s">
        <v>1373</v>
      </c>
      <c r="I118" s="3007" t="s">
        <v>3843</v>
      </c>
      <c r="J118" s="3010">
        <f t="shared" si="11"/>
        <v>56156</v>
      </c>
      <c r="K118" s="3007" t="str">
        <f t="shared" si="12"/>
        <v xml:space="preserve">10层 </v>
      </c>
      <c r="L118" s="3007" t="str">
        <f t="shared" si="16"/>
        <v>9层</v>
      </c>
      <c r="N118" s="3002">
        <f t="shared" si="9"/>
        <v>681466</v>
      </c>
      <c r="O118" s="3002">
        <f t="shared" si="10"/>
        <v>68</v>
      </c>
      <c r="P118" s="3002">
        <v>11052</v>
      </c>
    </row>
    <row r="119" spans="1:16" ht="24">
      <c r="A119" s="3003">
        <v>116</v>
      </c>
      <c r="B119" s="3003" t="s">
        <v>3232</v>
      </c>
      <c r="C119" s="3004" t="s">
        <v>3996</v>
      </c>
      <c r="D119" s="3025" t="s">
        <v>4470</v>
      </c>
      <c r="E119" s="3008" t="s">
        <v>4471</v>
      </c>
      <c r="F119" s="3028">
        <v>0</v>
      </c>
      <c r="G119" s="3028">
        <v>0</v>
      </c>
      <c r="H119" s="3004" t="s">
        <v>1373</v>
      </c>
      <c r="I119" s="3007" t="s">
        <v>4472</v>
      </c>
      <c r="J119" s="3010">
        <f t="shared" si="11"/>
        <v>56156</v>
      </c>
      <c r="K119" s="3007" t="str">
        <f t="shared" si="12"/>
        <v xml:space="preserve">10层 </v>
      </c>
      <c r="L119" s="3007" t="str">
        <f t="shared" si="16"/>
        <v>9层</v>
      </c>
      <c r="N119" s="3002">
        <f t="shared" si="9"/>
        <v>0</v>
      </c>
      <c r="O119" s="3002">
        <f t="shared" si="10"/>
        <v>0</v>
      </c>
      <c r="P119" s="3002">
        <v>11052</v>
      </c>
    </row>
    <row r="120" spans="1:16" ht="24">
      <c r="A120" s="3003">
        <v>117</v>
      </c>
      <c r="B120" s="3003" t="s">
        <v>3233</v>
      </c>
      <c r="C120" s="3004" t="s">
        <v>3621</v>
      </c>
      <c r="D120" s="3025" t="s">
        <v>4473</v>
      </c>
      <c r="E120" s="3008" t="s">
        <v>4474</v>
      </c>
      <c r="F120" s="3028">
        <v>56.09</v>
      </c>
      <c r="G120" s="3028">
        <v>7.18</v>
      </c>
      <c r="H120" s="3004" t="s">
        <v>1373</v>
      </c>
      <c r="I120" s="3007" t="s">
        <v>3665</v>
      </c>
      <c r="J120" s="3010">
        <f t="shared" si="11"/>
        <v>56156</v>
      </c>
      <c r="K120" s="3007" t="str">
        <f t="shared" si="12"/>
        <v xml:space="preserve">10层 </v>
      </c>
      <c r="L120" s="3007" t="str">
        <f t="shared" si="16"/>
        <v>9层</v>
      </c>
      <c r="N120" s="3002">
        <f t="shared" si="9"/>
        <v>619907</v>
      </c>
      <c r="O120" s="3002">
        <f t="shared" si="10"/>
        <v>62</v>
      </c>
      <c r="P120" s="3002">
        <v>11052</v>
      </c>
    </row>
    <row r="121" spans="1:16" ht="24">
      <c r="A121" s="3003">
        <v>118</v>
      </c>
      <c r="B121" s="3003" t="s">
        <v>3234</v>
      </c>
      <c r="C121" s="3004" t="s">
        <v>4460</v>
      </c>
      <c r="D121" s="3025" t="s">
        <v>4475</v>
      </c>
      <c r="E121" s="3008" t="s">
        <v>4476</v>
      </c>
      <c r="F121" s="3028">
        <v>0</v>
      </c>
      <c r="G121" s="3028">
        <v>0</v>
      </c>
      <c r="H121" s="3004" t="s">
        <v>1373</v>
      </c>
      <c r="I121" s="3007" t="s">
        <v>4463</v>
      </c>
      <c r="J121" s="3010">
        <f t="shared" si="11"/>
        <v>56156</v>
      </c>
      <c r="K121" s="3007" t="str">
        <f t="shared" si="12"/>
        <v xml:space="preserve">10层 </v>
      </c>
      <c r="L121" s="3007" t="str">
        <f t="shared" si="16"/>
        <v>9层</v>
      </c>
      <c r="N121" s="3002">
        <f t="shared" si="9"/>
        <v>0</v>
      </c>
      <c r="O121" s="3002">
        <f t="shared" si="10"/>
        <v>0</v>
      </c>
      <c r="P121" s="3002">
        <v>11052</v>
      </c>
    </row>
    <row r="122" spans="1:16" ht="24">
      <c r="A122" s="3003">
        <v>119</v>
      </c>
      <c r="B122" s="3003" t="s">
        <v>3235</v>
      </c>
      <c r="C122" s="3004" t="s">
        <v>4005</v>
      </c>
      <c r="D122" s="3025" t="s">
        <v>4477</v>
      </c>
      <c r="E122" s="3008" t="s">
        <v>4478</v>
      </c>
      <c r="F122" s="3028">
        <v>61.66</v>
      </c>
      <c r="G122" s="3028">
        <v>7.9</v>
      </c>
      <c r="H122" s="3004" t="s">
        <v>1373</v>
      </c>
      <c r="I122" s="3007" t="s">
        <v>4432</v>
      </c>
      <c r="J122" s="3010">
        <f t="shared" si="11"/>
        <v>56156</v>
      </c>
      <c r="K122" s="3007" t="str">
        <f t="shared" si="12"/>
        <v xml:space="preserve">10层 </v>
      </c>
      <c r="L122" s="3007" t="str">
        <f t="shared" si="16"/>
        <v>9层</v>
      </c>
      <c r="N122" s="3002">
        <f t="shared" si="9"/>
        <v>681466</v>
      </c>
      <c r="O122" s="3002">
        <f t="shared" si="10"/>
        <v>68</v>
      </c>
      <c r="P122" s="3002">
        <v>11052</v>
      </c>
    </row>
    <row r="123" spans="1:16" ht="24">
      <c r="A123" s="3003">
        <v>120</v>
      </c>
      <c r="B123" s="3003" t="s">
        <v>3236</v>
      </c>
      <c r="C123" s="3004" t="s">
        <v>3840</v>
      </c>
      <c r="D123" s="3025" t="s">
        <v>4479</v>
      </c>
      <c r="E123" s="3008" t="s">
        <v>4480</v>
      </c>
      <c r="F123" s="3028">
        <v>54.61</v>
      </c>
      <c r="G123" s="3028">
        <v>6.99</v>
      </c>
      <c r="H123" s="3004" t="s">
        <v>1373</v>
      </c>
      <c r="I123" s="3007" t="s">
        <v>3843</v>
      </c>
      <c r="J123" s="3010">
        <f t="shared" si="11"/>
        <v>56156</v>
      </c>
      <c r="K123" s="3007" t="str">
        <f t="shared" si="12"/>
        <v xml:space="preserve">10层 </v>
      </c>
      <c r="L123" s="3007" t="str">
        <f t="shared" si="16"/>
        <v>9层</v>
      </c>
      <c r="N123" s="3002">
        <f t="shared" si="9"/>
        <v>603550</v>
      </c>
      <c r="O123" s="3002">
        <f t="shared" si="10"/>
        <v>60</v>
      </c>
      <c r="P123" s="3002">
        <v>11052</v>
      </c>
    </row>
    <row r="124" spans="1:16" ht="24">
      <c r="A124" s="3003">
        <v>121</v>
      </c>
      <c r="B124" s="3003" t="s">
        <v>3237</v>
      </c>
      <c r="C124" s="3004" t="s">
        <v>3431</v>
      </c>
      <c r="D124" s="3025" t="s">
        <v>4481</v>
      </c>
      <c r="E124" s="3008" t="s">
        <v>4482</v>
      </c>
      <c r="F124" s="3028">
        <v>54.1</v>
      </c>
      <c r="G124" s="3028">
        <v>6.93</v>
      </c>
      <c r="H124" s="3004" t="s">
        <v>1373</v>
      </c>
      <c r="I124" s="3007" t="s">
        <v>3843</v>
      </c>
      <c r="J124" s="3010">
        <f t="shared" si="11"/>
        <v>56156</v>
      </c>
      <c r="K124" s="3007" t="str">
        <f t="shared" si="12"/>
        <v xml:space="preserve">10层 </v>
      </c>
      <c r="L124" s="3007" t="str">
        <f t="shared" si="16"/>
        <v>9层</v>
      </c>
      <c r="N124" s="3002">
        <f t="shared" si="9"/>
        <v>597913</v>
      </c>
      <c r="O124" s="3002">
        <f t="shared" si="10"/>
        <v>60</v>
      </c>
      <c r="P124" s="3002">
        <v>11052</v>
      </c>
    </row>
    <row r="125" spans="1:16" ht="24">
      <c r="A125" s="3003">
        <v>122</v>
      </c>
      <c r="B125" s="3003" t="s">
        <v>3238</v>
      </c>
      <c r="C125" s="3004" t="s">
        <v>3431</v>
      </c>
      <c r="D125" s="3025" t="s">
        <v>4483</v>
      </c>
      <c r="E125" s="3008" t="s">
        <v>4484</v>
      </c>
      <c r="F125" s="3028">
        <v>54.22</v>
      </c>
      <c r="G125" s="3028">
        <v>6.94</v>
      </c>
      <c r="H125" s="3004" t="s">
        <v>1373</v>
      </c>
      <c r="I125" s="3007" t="s">
        <v>3843</v>
      </c>
      <c r="J125" s="3010">
        <f t="shared" si="11"/>
        <v>56156</v>
      </c>
      <c r="K125" s="3007" t="str">
        <f t="shared" si="12"/>
        <v xml:space="preserve">10层 </v>
      </c>
      <c r="L125" s="3007" t="str">
        <f t="shared" si="16"/>
        <v>9层</v>
      </c>
      <c r="N125" s="3002">
        <f t="shared" si="9"/>
        <v>599239</v>
      </c>
      <c r="O125" s="3002">
        <f t="shared" si="10"/>
        <v>60</v>
      </c>
      <c r="P125" s="3002">
        <v>11052</v>
      </c>
    </row>
    <row r="126" spans="1:16" ht="24">
      <c r="A126" s="3003">
        <v>123</v>
      </c>
      <c r="B126" s="3003" t="s">
        <v>3239</v>
      </c>
      <c r="C126" s="3004" t="s">
        <v>3431</v>
      </c>
      <c r="D126" s="3025" t="s">
        <v>4485</v>
      </c>
      <c r="E126" s="3008" t="s">
        <v>4486</v>
      </c>
      <c r="F126" s="3028">
        <v>69.790000000000006</v>
      </c>
      <c r="G126" s="3028">
        <v>8.94</v>
      </c>
      <c r="H126" s="3004" t="s">
        <v>1373</v>
      </c>
      <c r="I126" s="3007" t="s">
        <v>3443</v>
      </c>
      <c r="J126" s="3010">
        <f t="shared" si="11"/>
        <v>56156</v>
      </c>
      <c r="K126" s="3007" t="str">
        <f t="shared" si="12"/>
        <v xml:space="preserve">10层 </v>
      </c>
      <c r="L126" s="3007" t="str">
        <f t="shared" si="16"/>
        <v>9层</v>
      </c>
      <c r="N126" s="3002">
        <f t="shared" si="9"/>
        <v>771319</v>
      </c>
      <c r="O126" s="3002">
        <f t="shared" si="10"/>
        <v>77</v>
      </c>
      <c r="P126" s="3002">
        <v>11052</v>
      </c>
    </row>
    <row r="127" spans="1:16" ht="12.75" customHeight="1">
      <c r="A127" s="3384" t="s">
        <v>37</v>
      </c>
      <c r="B127" s="3384"/>
      <c r="C127" s="3384"/>
      <c r="D127" s="3384"/>
      <c r="E127" s="3384"/>
      <c r="F127" s="3028">
        <f>SUM(F4:F126)</f>
        <v>7397.6099999999988</v>
      </c>
      <c r="G127" s="3028">
        <f>SUM(G4:G126)</f>
        <v>947.49000000000024</v>
      </c>
      <c r="H127" s="3028"/>
      <c r="I127" s="3003"/>
      <c r="J127" s="3010"/>
      <c r="K127" s="3007"/>
      <c r="L127" s="3007"/>
      <c r="N127" s="3002">
        <f>SUM(N4:N126)</f>
        <v>81758376</v>
      </c>
      <c r="O127" s="3002">
        <f>SUM(O4:O126)</f>
        <v>8169</v>
      </c>
    </row>
    <row r="129" spans="6:7">
      <c r="G129" s="3002">
        <v>967.69</v>
      </c>
    </row>
    <row r="130" spans="6:7">
      <c r="G130" s="3014"/>
    </row>
    <row r="131" spans="6:7">
      <c r="G131" s="3029">
        <f>G127-G129</f>
        <v>-20.199999999999818</v>
      </c>
    </row>
    <row r="132" spans="6:7">
      <c r="F132" s="3014"/>
      <c r="G132" s="3029"/>
    </row>
  </sheetData>
  <mergeCells count="3">
    <mergeCell ref="A1:L1"/>
    <mergeCell ref="A2:L2"/>
    <mergeCell ref="A127:E127"/>
  </mergeCells>
  <phoneticPr fontId="14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opLeftCell="C108" workbookViewId="0">
      <selection activeCell="N123" sqref="N123"/>
    </sheetView>
  </sheetViews>
  <sheetFormatPr defaultRowHeight="13.5"/>
  <cols>
    <col min="3" max="3" width="17.75" customWidth="1"/>
    <col min="4" max="4" width="23.625" customWidth="1"/>
    <col min="5" max="5" width="17.125" customWidth="1"/>
    <col min="14" max="14" width="9.5" bestFit="1" customWidth="1"/>
  </cols>
  <sheetData>
    <row r="1" spans="1:15" ht="14.25">
      <c r="A1" s="3382" t="s">
        <v>3912</v>
      </c>
      <c r="B1" s="3382"/>
      <c r="C1" s="3382"/>
      <c r="D1" s="3382"/>
      <c r="E1" s="3382"/>
      <c r="F1" s="3382"/>
      <c r="G1" s="3382"/>
      <c r="H1" s="3382"/>
      <c r="I1" s="3382"/>
      <c r="J1" s="3382"/>
      <c r="K1" s="3382"/>
      <c r="L1" s="3382"/>
    </row>
    <row r="2" spans="1:15">
      <c r="A2" s="3385" t="s">
        <v>3418</v>
      </c>
      <c r="B2" s="3385"/>
      <c r="C2" s="3385"/>
      <c r="D2" s="3385"/>
      <c r="E2" s="3385"/>
      <c r="F2" s="3385"/>
      <c r="G2" s="3385"/>
      <c r="H2" s="3385"/>
      <c r="I2" s="3385"/>
      <c r="J2" s="3385"/>
      <c r="K2" s="3385"/>
      <c r="L2" s="3385"/>
    </row>
    <row r="3" spans="1:15" ht="24">
      <c r="A3" s="3003" t="s">
        <v>3913</v>
      </c>
      <c r="B3" s="3004" t="s">
        <v>3914</v>
      </c>
      <c r="C3" s="3004" t="s">
        <v>3915</v>
      </c>
      <c r="D3" s="3004" t="s">
        <v>3916</v>
      </c>
      <c r="E3" s="3005" t="s">
        <v>3917</v>
      </c>
      <c r="F3" s="3006" t="s">
        <v>3918</v>
      </c>
      <c r="G3" s="3006" t="s">
        <v>3919</v>
      </c>
      <c r="H3" s="3004" t="s">
        <v>3426</v>
      </c>
      <c r="I3" s="3004" t="s">
        <v>3920</v>
      </c>
      <c r="J3" s="3007" t="s">
        <v>3921</v>
      </c>
      <c r="K3" s="3007" t="s">
        <v>3922</v>
      </c>
      <c r="L3" s="3007" t="s">
        <v>3923</v>
      </c>
      <c r="M3" s="3030" t="s">
        <v>4492</v>
      </c>
      <c r="N3" s="3030" t="s">
        <v>4491</v>
      </c>
    </row>
    <row r="4" spans="1:15" ht="24">
      <c r="A4" s="3015">
        <v>1</v>
      </c>
      <c r="B4" s="3016" t="s">
        <v>3059</v>
      </c>
      <c r="C4" s="3004" t="s">
        <v>3924</v>
      </c>
      <c r="D4" s="3007" t="s">
        <v>3925</v>
      </c>
      <c r="E4" s="3008" t="s">
        <v>3926</v>
      </c>
      <c r="F4" s="3017">
        <v>69.900000000000006</v>
      </c>
      <c r="G4" s="3017">
        <v>8.85</v>
      </c>
      <c r="H4" s="3016" t="s">
        <v>1373</v>
      </c>
      <c r="I4" s="3007" t="s">
        <v>3927</v>
      </c>
      <c r="J4" s="3010">
        <v>56156</v>
      </c>
      <c r="K4" s="3007" t="s">
        <v>3928</v>
      </c>
      <c r="L4" s="3007" t="s">
        <v>3929</v>
      </c>
      <c r="M4">
        <f ca="1">结果表!G20</f>
        <v>10474</v>
      </c>
      <c r="N4">
        <f ca="1">ROUND(F4*$M$4,0)</f>
        <v>732133</v>
      </c>
      <c r="O4">
        <f ca="1">ROUND(N4/10000,0)</f>
        <v>73</v>
      </c>
    </row>
    <row r="5" spans="1:15" ht="24">
      <c r="A5" s="3015">
        <v>2</v>
      </c>
      <c r="B5" s="3016">
        <v>102</v>
      </c>
      <c r="C5" s="3004" t="s">
        <v>3924</v>
      </c>
      <c r="D5" s="3007" t="s">
        <v>3930</v>
      </c>
      <c r="E5" s="3008" t="s">
        <v>3931</v>
      </c>
      <c r="F5" s="3017">
        <v>54.01</v>
      </c>
      <c r="G5" s="3017">
        <v>6.84</v>
      </c>
      <c r="H5" s="3016" t="s">
        <v>1373</v>
      </c>
      <c r="I5" s="3015" t="str">
        <f>I4</f>
        <v>旅游用地</v>
      </c>
      <c r="J5" s="3010">
        <f>$J$4</f>
        <v>56156</v>
      </c>
      <c r="K5" s="3007" t="str">
        <f>K4</f>
        <v xml:space="preserve">10层 </v>
      </c>
      <c r="L5" s="3007" t="str">
        <f>$L$4</f>
        <v>1层</v>
      </c>
      <c r="N5">
        <f t="shared" ref="N5:N68" ca="1" si="0">ROUND(F5*$M$4,0)</f>
        <v>565701</v>
      </c>
      <c r="O5">
        <f t="shared" ref="O5:O68" ca="1" si="1">ROUND(N5/10000,0)</f>
        <v>57</v>
      </c>
    </row>
    <row r="6" spans="1:15" ht="24">
      <c r="A6" s="3015">
        <v>3</v>
      </c>
      <c r="B6" s="3016" t="s">
        <v>3061</v>
      </c>
      <c r="C6" s="3004" t="s">
        <v>3431</v>
      </c>
      <c r="D6" s="3007" t="s">
        <v>3932</v>
      </c>
      <c r="E6" s="3008" t="s">
        <v>3933</v>
      </c>
      <c r="F6" s="3017">
        <v>53.89</v>
      </c>
      <c r="G6" s="3017">
        <v>6.82</v>
      </c>
      <c r="H6" s="3016" t="s">
        <v>1373</v>
      </c>
      <c r="I6" s="3015" t="str">
        <f t="shared" ref="I6:I69" si="2">I5</f>
        <v>旅游用地</v>
      </c>
      <c r="J6" s="3010">
        <f t="shared" ref="J6:J69" si="3">$J$4</f>
        <v>56156</v>
      </c>
      <c r="K6" s="3007" t="str">
        <f t="shared" ref="K6:L60" si="4">K5</f>
        <v xml:space="preserve">10层 </v>
      </c>
      <c r="L6" s="3007" t="str">
        <f t="shared" ref="L6:L15" si="5">$L$4</f>
        <v>1层</v>
      </c>
      <c r="N6">
        <f t="shared" ca="1" si="0"/>
        <v>564444</v>
      </c>
      <c r="O6">
        <f t="shared" ca="1" si="1"/>
        <v>56</v>
      </c>
    </row>
    <row r="7" spans="1:15" ht="24">
      <c r="A7" s="3015">
        <v>4</v>
      </c>
      <c r="B7" s="3016" t="s">
        <v>3062</v>
      </c>
      <c r="C7" s="3004" t="s">
        <v>3934</v>
      </c>
      <c r="D7" s="3007" t="s">
        <v>3935</v>
      </c>
      <c r="E7" s="3008" t="s">
        <v>3936</v>
      </c>
      <c r="F7" s="3018">
        <v>54.27</v>
      </c>
      <c r="G7" s="3018">
        <v>6.87</v>
      </c>
      <c r="H7" s="3016" t="s">
        <v>1373</v>
      </c>
      <c r="I7" s="3015" t="str">
        <f t="shared" si="2"/>
        <v>旅游用地</v>
      </c>
      <c r="J7" s="3010">
        <f t="shared" si="3"/>
        <v>56156</v>
      </c>
      <c r="K7" s="3007" t="str">
        <f t="shared" si="4"/>
        <v xml:space="preserve">10层 </v>
      </c>
      <c r="L7" s="3007" t="str">
        <f t="shared" si="5"/>
        <v>1层</v>
      </c>
      <c r="N7">
        <f t="shared" ca="1" si="0"/>
        <v>568424</v>
      </c>
      <c r="O7">
        <f t="shared" ca="1" si="1"/>
        <v>57</v>
      </c>
    </row>
    <row r="8" spans="1:15" ht="24">
      <c r="A8" s="3015">
        <v>5</v>
      </c>
      <c r="B8" s="3015" t="s">
        <v>3063</v>
      </c>
      <c r="C8" s="3004" t="s">
        <v>3431</v>
      </c>
      <c r="D8" s="3007" t="s">
        <v>3937</v>
      </c>
      <c r="E8" s="3008" t="s">
        <v>3938</v>
      </c>
      <c r="F8" s="3019">
        <v>67.11</v>
      </c>
      <c r="G8" s="3019">
        <v>8.5</v>
      </c>
      <c r="H8" s="3016" t="s">
        <v>1373</v>
      </c>
      <c r="I8" s="3015" t="str">
        <f t="shared" si="2"/>
        <v>旅游用地</v>
      </c>
      <c r="J8" s="3010">
        <f t="shared" si="3"/>
        <v>56156</v>
      </c>
      <c r="K8" s="3007" t="str">
        <f t="shared" si="4"/>
        <v xml:space="preserve">10层 </v>
      </c>
      <c r="L8" s="3007" t="str">
        <f t="shared" si="5"/>
        <v>1层</v>
      </c>
      <c r="N8">
        <f t="shared" ca="1" si="0"/>
        <v>702910</v>
      </c>
      <c r="O8">
        <f t="shared" ca="1" si="1"/>
        <v>70</v>
      </c>
    </row>
    <row r="9" spans="1:15" ht="24">
      <c r="A9" s="3015">
        <v>6</v>
      </c>
      <c r="B9" s="3015" t="s">
        <v>3064</v>
      </c>
      <c r="C9" s="3004" t="s">
        <v>3431</v>
      </c>
      <c r="D9" s="3007" t="s">
        <v>3939</v>
      </c>
      <c r="E9" s="3008" t="s">
        <v>3940</v>
      </c>
      <c r="F9" s="3019">
        <v>57.22</v>
      </c>
      <c r="G9" s="3019">
        <v>7.25</v>
      </c>
      <c r="H9" s="3016" t="s">
        <v>1373</v>
      </c>
      <c r="I9" s="3015" t="str">
        <f t="shared" si="2"/>
        <v>旅游用地</v>
      </c>
      <c r="J9" s="3010">
        <f t="shared" si="3"/>
        <v>56156</v>
      </c>
      <c r="K9" s="3007" t="str">
        <f t="shared" si="4"/>
        <v xml:space="preserve">10层 </v>
      </c>
      <c r="L9" s="3007" t="str">
        <f t="shared" si="5"/>
        <v>1层</v>
      </c>
      <c r="N9">
        <f t="shared" ca="1" si="0"/>
        <v>599322</v>
      </c>
      <c r="O9">
        <f t="shared" ca="1" si="1"/>
        <v>60</v>
      </c>
    </row>
    <row r="10" spans="1:15" ht="24">
      <c r="A10" s="3015">
        <v>7</v>
      </c>
      <c r="B10" s="3015" t="s">
        <v>3065</v>
      </c>
      <c r="C10" s="3004" t="s">
        <v>3431</v>
      </c>
      <c r="D10" s="3007" t="s">
        <v>3941</v>
      </c>
      <c r="E10" s="3008" t="s">
        <v>3942</v>
      </c>
      <c r="F10" s="3019">
        <v>96.76</v>
      </c>
      <c r="G10" s="3019">
        <v>12.25</v>
      </c>
      <c r="H10" s="3016" t="s">
        <v>1373</v>
      </c>
      <c r="I10" s="3015" t="str">
        <f t="shared" si="2"/>
        <v>旅游用地</v>
      </c>
      <c r="J10" s="3010">
        <f t="shared" si="3"/>
        <v>56156</v>
      </c>
      <c r="K10" s="3007" t="str">
        <f t="shared" si="4"/>
        <v xml:space="preserve">10层 </v>
      </c>
      <c r="L10" s="3007" t="str">
        <f t="shared" si="5"/>
        <v>1层</v>
      </c>
      <c r="N10">
        <f t="shared" ca="1" si="0"/>
        <v>1013464</v>
      </c>
      <c r="O10">
        <f t="shared" ca="1" si="1"/>
        <v>101</v>
      </c>
    </row>
    <row r="11" spans="1:15" ht="24">
      <c r="A11" s="3015">
        <v>8</v>
      </c>
      <c r="B11" s="3015" t="s">
        <v>3066</v>
      </c>
      <c r="C11" s="3004" t="s">
        <v>3943</v>
      </c>
      <c r="D11" s="3007" t="s">
        <v>3944</v>
      </c>
      <c r="E11" s="3008" t="s">
        <v>3945</v>
      </c>
      <c r="F11" s="3019">
        <v>96.76</v>
      </c>
      <c r="G11" s="3019">
        <v>12.25</v>
      </c>
      <c r="H11" s="3016" t="s">
        <v>1373</v>
      </c>
      <c r="I11" s="3015" t="str">
        <f t="shared" si="2"/>
        <v>旅游用地</v>
      </c>
      <c r="J11" s="3010">
        <f t="shared" si="3"/>
        <v>56156</v>
      </c>
      <c r="K11" s="3007" t="str">
        <f t="shared" si="4"/>
        <v xml:space="preserve">10层 </v>
      </c>
      <c r="L11" s="3007" t="str">
        <f t="shared" si="5"/>
        <v>1层</v>
      </c>
      <c r="N11">
        <f t="shared" ca="1" si="0"/>
        <v>1013464</v>
      </c>
      <c r="O11">
        <f t="shared" ca="1" si="1"/>
        <v>101</v>
      </c>
    </row>
    <row r="12" spans="1:15" ht="24">
      <c r="A12" s="3015">
        <v>9</v>
      </c>
      <c r="B12" s="3015" t="s">
        <v>3067</v>
      </c>
      <c r="C12" s="3004" t="s">
        <v>3431</v>
      </c>
      <c r="D12" s="3007" t="s">
        <v>3946</v>
      </c>
      <c r="E12" s="3008" t="s">
        <v>3947</v>
      </c>
      <c r="F12" s="3019">
        <v>57.22</v>
      </c>
      <c r="G12" s="3019">
        <v>7.25</v>
      </c>
      <c r="H12" s="3016" t="s">
        <v>1373</v>
      </c>
      <c r="I12" s="3015" t="str">
        <f t="shared" si="2"/>
        <v>旅游用地</v>
      </c>
      <c r="J12" s="3010">
        <f t="shared" si="3"/>
        <v>56156</v>
      </c>
      <c r="K12" s="3007" t="str">
        <f t="shared" si="4"/>
        <v xml:space="preserve">10层 </v>
      </c>
      <c r="L12" s="3007" t="str">
        <f t="shared" si="5"/>
        <v>1层</v>
      </c>
      <c r="N12">
        <f t="shared" ca="1" si="0"/>
        <v>599322</v>
      </c>
      <c r="O12">
        <f t="shared" ca="1" si="1"/>
        <v>60</v>
      </c>
    </row>
    <row r="13" spans="1:15" ht="24">
      <c r="A13" s="3015">
        <v>10</v>
      </c>
      <c r="B13" s="3015" t="s">
        <v>3068</v>
      </c>
      <c r="C13" s="3004" t="s">
        <v>3431</v>
      </c>
      <c r="D13" s="3007" t="s">
        <v>3948</v>
      </c>
      <c r="E13" s="3008" t="s">
        <v>3949</v>
      </c>
      <c r="F13" s="3019">
        <v>67.150000000000006</v>
      </c>
      <c r="G13" s="3019">
        <v>8.5</v>
      </c>
      <c r="H13" s="3016" t="s">
        <v>1373</v>
      </c>
      <c r="I13" s="3015" t="str">
        <f t="shared" si="2"/>
        <v>旅游用地</v>
      </c>
      <c r="J13" s="3010">
        <f t="shared" si="3"/>
        <v>56156</v>
      </c>
      <c r="K13" s="3007" t="str">
        <f t="shared" si="4"/>
        <v xml:space="preserve">10层 </v>
      </c>
      <c r="L13" s="3007" t="str">
        <f t="shared" si="5"/>
        <v>1层</v>
      </c>
      <c r="N13">
        <f t="shared" ca="1" si="0"/>
        <v>703329</v>
      </c>
      <c r="O13">
        <f t="shared" ca="1" si="1"/>
        <v>70</v>
      </c>
    </row>
    <row r="14" spans="1:15" ht="24">
      <c r="A14" s="3015">
        <v>11</v>
      </c>
      <c r="B14" s="3015" t="s">
        <v>3069</v>
      </c>
      <c r="C14" s="3004" t="s">
        <v>3431</v>
      </c>
      <c r="D14" s="3007" t="s">
        <v>3950</v>
      </c>
      <c r="E14" s="3008" t="s">
        <v>3951</v>
      </c>
      <c r="F14" s="3019">
        <v>54.01</v>
      </c>
      <c r="G14" s="3019">
        <v>6.84</v>
      </c>
      <c r="H14" s="3016" t="s">
        <v>1373</v>
      </c>
      <c r="I14" s="3015" t="str">
        <f t="shared" si="2"/>
        <v>旅游用地</v>
      </c>
      <c r="J14" s="3010">
        <f t="shared" si="3"/>
        <v>56156</v>
      </c>
      <c r="K14" s="3007" t="str">
        <f t="shared" si="4"/>
        <v xml:space="preserve">10层 </v>
      </c>
      <c r="L14" s="3007" t="str">
        <f t="shared" si="5"/>
        <v>1层</v>
      </c>
      <c r="N14">
        <f t="shared" ca="1" si="0"/>
        <v>565701</v>
      </c>
      <c r="O14">
        <f t="shared" ca="1" si="1"/>
        <v>57</v>
      </c>
    </row>
    <row r="15" spans="1:15" ht="24">
      <c r="A15" s="3015">
        <v>12</v>
      </c>
      <c r="B15" s="3015" t="s">
        <v>3070</v>
      </c>
      <c r="C15" s="3004" t="s">
        <v>3431</v>
      </c>
      <c r="D15" s="3007" t="s">
        <v>3952</v>
      </c>
      <c r="E15" s="3008" t="s">
        <v>3953</v>
      </c>
      <c r="F15" s="3019">
        <v>73.91</v>
      </c>
      <c r="G15" s="3019">
        <v>9.36</v>
      </c>
      <c r="H15" s="3016" t="s">
        <v>1373</v>
      </c>
      <c r="I15" s="3015" t="str">
        <f t="shared" si="2"/>
        <v>旅游用地</v>
      </c>
      <c r="J15" s="3010">
        <f t="shared" si="3"/>
        <v>56156</v>
      </c>
      <c r="K15" s="3007" t="str">
        <f t="shared" si="4"/>
        <v xml:space="preserve">10层 </v>
      </c>
      <c r="L15" s="3007" t="str">
        <f t="shared" si="5"/>
        <v>1层</v>
      </c>
      <c r="N15">
        <f t="shared" ca="1" si="0"/>
        <v>774133</v>
      </c>
      <c r="O15">
        <f t="shared" ca="1" si="1"/>
        <v>77</v>
      </c>
    </row>
    <row r="16" spans="1:15" ht="24">
      <c r="A16" s="3015">
        <v>13</v>
      </c>
      <c r="B16" s="3015" t="s">
        <v>3077</v>
      </c>
      <c r="C16" s="3004" t="s">
        <v>3431</v>
      </c>
      <c r="D16" s="3007" t="s">
        <v>3954</v>
      </c>
      <c r="E16" s="3008" t="s">
        <v>3955</v>
      </c>
      <c r="F16" s="3019">
        <v>68.13</v>
      </c>
      <c r="G16" s="3019">
        <v>8.6300000000000008</v>
      </c>
      <c r="H16" s="3016" t="s">
        <v>1373</v>
      </c>
      <c r="I16" s="3015" t="str">
        <f t="shared" si="2"/>
        <v>旅游用地</v>
      </c>
      <c r="J16" s="3010">
        <f t="shared" si="3"/>
        <v>56156</v>
      </c>
      <c r="K16" s="3007" t="str">
        <f t="shared" si="4"/>
        <v xml:space="preserve">10层 </v>
      </c>
      <c r="L16" s="3007" t="s">
        <v>3956</v>
      </c>
      <c r="N16">
        <f t="shared" ca="1" si="0"/>
        <v>713594</v>
      </c>
      <c r="O16">
        <f t="shared" ca="1" si="1"/>
        <v>71</v>
      </c>
    </row>
    <row r="17" spans="1:15" ht="24">
      <c r="A17" s="3015">
        <v>14</v>
      </c>
      <c r="B17" s="3015" t="s">
        <v>3078</v>
      </c>
      <c r="C17" s="3004" t="s">
        <v>3431</v>
      </c>
      <c r="D17" s="3007" t="s">
        <v>3957</v>
      </c>
      <c r="E17" s="3008" t="s">
        <v>3958</v>
      </c>
      <c r="F17" s="3019">
        <v>52.64</v>
      </c>
      <c r="G17" s="3019">
        <v>6.67</v>
      </c>
      <c r="H17" s="3016" t="s">
        <v>1373</v>
      </c>
      <c r="I17" s="3015" t="str">
        <f t="shared" si="2"/>
        <v>旅游用地</v>
      </c>
      <c r="J17" s="3010">
        <f t="shared" si="3"/>
        <v>56156</v>
      </c>
      <c r="K17" s="3007" t="str">
        <f t="shared" si="4"/>
        <v xml:space="preserve">10层 </v>
      </c>
      <c r="L17" s="3007" t="str">
        <f>$L$16</f>
        <v>2层</v>
      </c>
      <c r="N17">
        <f t="shared" ca="1" si="0"/>
        <v>551351</v>
      </c>
      <c r="O17">
        <f t="shared" ca="1" si="1"/>
        <v>55</v>
      </c>
    </row>
    <row r="18" spans="1:15" ht="24">
      <c r="A18" s="3015">
        <v>15</v>
      </c>
      <c r="B18" s="3015" t="s">
        <v>3079</v>
      </c>
      <c r="C18" s="3004" t="s">
        <v>3431</v>
      </c>
      <c r="D18" s="3007" t="s">
        <v>3959</v>
      </c>
      <c r="E18" s="3008" t="s">
        <v>3960</v>
      </c>
      <c r="F18" s="3019">
        <v>52.53</v>
      </c>
      <c r="G18" s="3019">
        <v>6.65</v>
      </c>
      <c r="H18" s="3016" t="s">
        <v>1373</v>
      </c>
      <c r="I18" s="3015" t="str">
        <f t="shared" si="2"/>
        <v>旅游用地</v>
      </c>
      <c r="J18" s="3010">
        <f t="shared" si="3"/>
        <v>56156</v>
      </c>
      <c r="K18" s="3007" t="str">
        <f t="shared" si="4"/>
        <v xml:space="preserve">10层 </v>
      </c>
      <c r="L18" s="3007" t="str">
        <f t="shared" ref="L18:L29" si="6">$L$16</f>
        <v>2层</v>
      </c>
      <c r="N18">
        <f t="shared" ca="1" si="0"/>
        <v>550199</v>
      </c>
      <c r="O18">
        <f t="shared" ca="1" si="1"/>
        <v>55</v>
      </c>
    </row>
    <row r="19" spans="1:15" ht="24">
      <c r="A19" s="3015">
        <v>16</v>
      </c>
      <c r="B19" s="3015" t="s">
        <v>3080</v>
      </c>
      <c r="C19" s="3004" t="s">
        <v>3431</v>
      </c>
      <c r="D19" s="3007" t="s">
        <v>3961</v>
      </c>
      <c r="E19" s="3008" t="s">
        <v>3962</v>
      </c>
      <c r="F19" s="3019">
        <v>52.89</v>
      </c>
      <c r="G19" s="3019">
        <v>6.7</v>
      </c>
      <c r="H19" s="3016" t="s">
        <v>1373</v>
      </c>
      <c r="I19" s="3015" t="str">
        <f t="shared" si="2"/>
        <v>旅游用地</v>
      </c>
      <c r="J19" s="3010">
        <f t="shared" si="3"/>
        <v>56156</v>
      </c>
      <c r="K19" s="3007" t="str">
        <f t="shared" si="4"/>
        <v xml:space="preserve">10层 </v>
      </c>
      <c r="L19" s="3007" t="str">
        <f t="shared" si="6"/>
        <v>2层</v>
      </c>
      <c r="N19">
        <f t="shared" ca="1" si="0"/>
        <v>553970</v>
      </c>
      <c r="O19">
        <f t="shared" ca="1" si="1"/>
        <v>55</v>
      </c>
    </row>
    <row r="20" spans="1:15" ht="24">
      <c r="A20" s="3015">
        <v>17</v>
      </c>
      <c r="B20" s="3015" t="s">
        <v>3081</v>
      </c>
      <c r="C20" s="3004" t="s">
        <v>3431</v>
      </c>
      <c r="D20" s="3007" t="s">
        <v>3963</v>
      </c>
      <c r="E20" s="3008" t="s">
        <v>3964</v>
      </c>
      <c r="F20" s="3019">
        <v>65.41</v>
      </c>
      <c r="G20" s="3019">
        <v>8.2799999999999994</v>
      </c>
      <c r="H20" s="3016" t="s">
        <v>1373</v>
      </c>
      <c r="I20" s="3015" t="str">
        <f t="shared" si="2"/>
        <v>旅游用地</v>
      </c>
      <c r="J20" s="3010">
        <f t="shared" si="3"/>
        <v>56156</v>
      </c>
      <c r="K20" s="3007" t="str">
        <f t="shared" si="4"/>
        <v xml:space="preserve">10层 </v>
      </c>
      <c r="L20" s="3007" t="str">
        <f t="shared" si="6"/>
        <v>2层</v>
      </c>
      <c r="N20">
        <f t="shared" ca="1" si="0"/>
        <v>685104</v>
      </c>
      <c r="O20">
        <f t="shared" ca="1" si="1"/>
        <v>69</v>
      </c>
    </row>
    <row r="21" spans="1:15" ht="24">
      <c r="A21" s="3015">
        <v>18</v>
      </c>
      <c r="B21" s="3015" t="s">
        <v>3082</v>
      </c>
      <c r="C21" s="3004" t="s">
        <v>3431</v>
      </c>
      <c r="D21" s="3007" t="s">
        <v>3965</v>
      </c>
      <c r="E21" s="3008" t="s">
        <v>3966</v>
      </c>
      <c r="F21" s="3019">
        <v>55.76</v>
      </c>
      <c r="G21" s="3019">
        <v>7.06</v>
      </c>
      <c r="H21" s="3016" t="s">
        <v>1373</v>
      </c>
      <c r="I21" s="3015" t="str">
        <f t="shared" si="2"/>
        <v>旅游用地</v>
      </c>
      <c r="J21" s="3010">
        <f t="shared" si="3"/>
        <v>56156</v>
      </c>
      <c r="K21" s="3007" t="str">
        <f t="shared" si="4"/>
        <v xml:space="preserve">10层 </v>
      </c>
      <c r="L21" s="3007" t="str">
        <f t="shared" si="6"/>
        <v>2层</v>
      </c>
      <c r="N21">
        <f t="shared" ca="1" si="0"/>
        <v>584030</v>
      </c>
      <c r="O21">
        <f t="shared" ca="1" si="1"/>
        <v>58</v>
      </c>
    </row>
    <row r="22" spans="1:15" ht="24">
      <c r="A22" s="3015">
        <v>19</v>
      </c>
      <c r="B22" s="3015" t="s">
        <v>3083</v>
      </c>
      <c r="C22" s="3004" t="s">
        <v>3431</v>
      </c>
      <c r="D22" s="3007" t="s">
        <v>3967</v>
      </c>
      <c r="E22" s="3008" t="s">
        <v>3968</v>
      </c>
      <c r="F22" s="3019">
        <v>94.3</v>
      </c>
      <c r="G22" s="3019">
        <v>11.94</v>
      </c>
      <c r="H22" s="3016" t="s">
        <v>1373</v>
      </c>
      <c r="I22" s="3015" t="str">
        <f t="shared" si="2"/>
        <v>旅游用地</v>
      </c>
      <c r="J22" s="3010">
        <f t="shared" si="3"/>
        <v>56156</v>
      </c>
      <c r="K22" s="3007" t="str">
        <f t="shared" si="4"/>
        <v xml:space="preserve">10层 </v>
      </c>
      <c r="L22" s="3007" t="str">
        <f t="shared" si="6"/>
        <v>2层</v>
      </c>
      <c r="N22">
        <f t="shared" ca="1" si="0"/>
        <v>987698</v>
      </c>
      <c r="O22">
        <f t="shared" ca="1" si="1"/>
        <v>99</v>
      </c>
    </row>
    <row r="23" spans="1:15" ht="24">
      <c r="A23" s="3015">
        <v>20</v>
      </c>
      <c r="B23" s="3015" t="s">
        <v>3084</v>
      </c>
      <c r="C23" s="3004" t="s">
        <v>3934</v>
      </c>
      <c r="D23" s="3007" t="s">
        <v>3969</v>
      </c>
      <c r="E23" s="3008" t="s">
        <v>3970</v>
      </c>
      <c r="F23" s="3019">
        <v>94.3</v>
      </c>
      <c r="G23" s="3019">
        <v>11.94</v>
      </c>
      <c r="H23" s="3016" t="s">
        <v>1373</v>
      </c>
      <c r="I23" s="3015" t="str">
        <f t="shared" si="2"/>
        <v>旅游用地</v>
      </c>
      <c r="J23" s="3010">
        <f t="shared" si="3"/>
        <v>56156</v>
      </c>
      <c r="K23" s="3007" t="str">
        <f t="shared" si="4"/>
        <v xml:space="preserve">10层 </v>
      </c>
      <c r="L23" s="3007" t="str">
        <f t="shared" si="6"/>
        <v>2层</v>
      </c>
      <c r="N23">
        <f t="shared" ca="1" si="0"/>
        <v>987698</v>
      </c>
      <c r="O23">
        <f t="shared" ca="1" si="1"/>
        <v>99</v>
      </c>
    </row>
    <row r="24" spans="1:15" ht="24">
      <c r="A24" s="3015">
        <v>21</v>
      </c>
      <c r="B24" s="3015" t="s">
        <v>3085</v>
      </c>
      <c r="C24" s="3004" t="s">
        <v>3431</v>
      </c>
      <c r="D24" s="3007" t="s">
        <v>3971</v>
      </c>
      <c r="E24" s="3008" t="s">
        <v>3972</v>
      </c>
      <c r="F24" s="3019">
        <v>55.76</v>
      </c>
      <c r="G24" s="3019">
        <v>7.06</v>
      </c>
      <c r="H24" s="3016" t="s">
        <v>1373</v>
      </c>
      <c r="I24" s="3015" t="str">
        <f t="shared" si="2"/>
        <v>旅游用地</v>
      </c>
      <c r="J24" s="3010">
        <f t="shared" si="3"/>
        <v>56156</v>
      </c>
      <c r="K24" s="3007" t="str">
        <f t="shared" si="4"/>
        <v xml:space="preserve">10层 </v>
      </c>
      <c r="L24" s="3007" t="str">
        <f t="shared" si="6"/>
        <v>2层</v>
      </c>
      <c r="N24">
        <f t="shared" ca="1" si="0"/>
        <v>584030</v>
      </c>
      <c r="O24">
        <f t="shared" ca="1" si="1"/>
        <v>58</v>
      </c>
    </row>
    <row r="25" spans="1:15" ht="24">
      <c r="A25" s="3015">
        <v>22</v>
      </c>
      <c r="B25" s="3015" t="s">
        <v>3086</v>
      </c>
      <c r="C25" s="3004" t="s">
        <v>3431</v>
      </c>
      <c r="D25" s="3007" t="s">
        <v>3973</v>
      </c>
      <c r="E25" s="3008" t="s">
        <v>3974</v>
      </c>
      <c r="F25" s="3019">
        <v>65.41</v>
      </c>
      <c r="G25" s="3019">
        <v>8.2799999999999994</v>
      </c>
      <c r="H25" s="3016" t="s">
        <v>1373</v>
      </c>
      <c r="I25" s="3015" t="str">
        <f t="shared" si="2"/>
        <v>旅游用地</v>
      </c>
      <c r="J25" s="3010">
        <f t="shared" si="3"/>
        <v>56156</v>
      </c>
      <c r="K25" s="3007" t="str">
        <f t="shared" si="4"/>
        <v xml:space="preserve">10层 </v>
      </c>
      <c r="L25" s="3007" t="str">
        <f t="shared" si="6"/>
        <v>2层</v>
      </c>
      <c r="N25">
        <f t="shared" ca="1" si="0"/>
        <v>685104</v>
      </c>
      <c r="O25">
        <f t="shared" ca="1" si="1"/>
        <v>69</v>
      </c>
    </row>
    <row r="26" spans="1:15" ht="24">
      <c r="A26" s="3015">
        <v>23</v>
      </c>
      <c r="B26" s="3015" t="s">
        <v>3087</v>
      </c>
      <c r="C26" s="3004" t="s">
        <v>3431</v>
      </c>
      <c r="D26" s="3007" t="s">
        <v>3975</v>
      </c>
      <c r="E26" s="3008" t="s">
        <v>3976</v>
      </c>
      <c r="F26" s="3019">
        <v>52.89</v>
      </c>
      <c r="G26" s="3019">
        <v>6.7</v>
      </c>
      <c r="H26" s="3016" t="s">
        <v>1373</v>
      </c>
      <c r="I26" s="3015" t="str">
        <f t="shared" si="2"/>
        <v>旅游用地</v>
      </c>
      <c r="J26" s="3010">
        <f t="shared" si="3"/>
        <v>56156</v>
      </c>
      <c r="K26" s="3007" t="str">
        <f t="shared" si="4"/>
        <v xml:space="preserve">10层 </v>
      </c>
      <c r="L26" s="3007" t="str">
        <f t="shared" si="6"/>
        <v>2层</v>
      </c>
      <c r="N26">
        <f t="shared" ca="1" si="0"/>
        <v>553970</v>
      </c>
      <c r="O26">
        <f t="shared" ca="1" si="1"/>
        <v>55</v>
      </c>
    </row>
    <row r="27" spans="1:15" ht="24">
      <c r="A27" s="3015">
        <v>24</v>
      </c>
      <c r="B27" s="3015" t="s">
        <v>3088</v>
      </c>
      <c r="C27" s="3004" t="s">
        <v>3431</v>
      </c>
      <c r="D27" s="3007" t="s">
        <v>3977</v>
      </c>
      <c r="E27" s="3008" t="s">
        <v>3978</v>
      </c>
      <c r="F27" s="3019">
        <v>52.53</v>
      </c>
      <c r="G27" s="3019">
        <v>6.65</v>
      </c>
      <c r="H27" s="3016" t="s">
        <v>1373</v>
      </c>
      <c r="I27" s="3015" t="str">
        <f t="shared" si="2"/>
        <v>旅游用地</v>
      </c>
      <c r="J27" s="3010">
        <f t="shared" si="3"/>
        <v>56156</v>
      </c>
      <c r="K27" s="3007" t="str">
        <f t="shared" si="4"/>
        <v xml:space="preserve">10层 </v>
      </c>
      <c r="L27" s="3007" t="str">
        <f t="shared" si="6"/>
        <v>2层</v>
      </c>
      <c r="N27">
        <f t="shared" ca="1" si="0"/>
        <v>550199</v>
      </c>
      <c r="O27">
        <f t="shared" ca="1" si="1"/>
        <v>55</v>
      </c>
    </row>
    <row r="28" spans="1:15" ht="24">
      <c r="A28" s="3015">
        <v>25</v>
      </c>
      <c r="B28" s="3015" t="s">
        <v>3089</v>
      </c>
      <c r="C28" s="3004" t="s">
        <v>3431</v>
      </c>
      <c r="D28" s="3007" t="s">
        <v>3979</v>
      </c>
      <c r="E28" s="3008" t="s">
        <v>3980</v>
      </c>
      <c r="F28" s="3019">
        <v>52.64</v>
      </c>
      <c r="G28" s="3019">
        <v>6.67</v>
      </c>
      <c r="H28" s="3016" t="s">
        <v>1373</v>
      </c>
      <c r="I28" s="3015" t="str">
        <f t="shared" si="2"/>
        <v>旅游用地</v>
      </c>
      <c r="J28" s="3010">
        <f t="shared" si="3"/>
        <v>56156</v>
      </c>
      <c r="K28" s="3007" t="str">
        <f t="shared" si="4"/>
        <v xml:space="preserve">10层 </v>
      </c>
      <c r="L28" s="3007" t="str">
        <f t="shared" si="6"/>
        <v>2层</v>
      </c>
      <c r="N28">
        <f t="shared" ca="1" si="0"/>
        <v>551351</v>
      </c>
      <c r="O28">
        <f t="shared" ca="1" si="1"/>
        <v>55</v>
      </c>
    </row>
    <row r="29" spans="1:15" ht="24">
      <c r="A29" s="3015">
        <v>26</v>
      </c>
      <c r="B29" s="3015" t="s">
        <v>3090</v>
      </c>
      <c r="C29" s="3004" t="s">
        <v>3934</v>
      </c>
      <c r="D29" s="3007" t="s">
        <v>3981</v>
      </c>
      <c r="E29" s="3008" t="s">
        <v>3982</v>
      </c>
      <c r="F29" s="3019">
        <v>72.040000000000006</v>
      </c>
      <c r="G29" s="3019">
        <v>9.1199999999999992</v>
      </c>
      <c r="H29" s="3016" t="s">
        <v>1373</v>
      </c>
      <c r="I29" s="3015" t="str">
        <f t="shared" si="2"/>
        <v>旅游用地</v>
      </c>
      <c r="J29" s="3010">
        <f t="shared" si="3"/>
        <v>56156</v>
      </c>
      <c r="K29" s="3007" t="str">
        <f t="shared" si="4"/>
        <v xml:space="preserve">10层 </v>
      </c>
      <c r="L29" s="3007" t="str">
        <f t="shared" si="6"/>
        <v>2层</v>
      </c>
      <c r="N29">
        <f t="shared" ca="1" si="0"/>
        <v>754547</v>
      </c>
      <c r="O29">
        <f t="shared" ca="1" si="1"/>
        <v>75</v>
      </c>
    </row>
    <row r="30" spans="1:15" ht="24">
      <c r="A30" s="3015">
        <v>27</v>
      </c>
      <c r="B30" s="3015" t="s">
        <v>3099</v>
      </c>
      <c r="C30" s="3004" t="s">
        <v>3431</v>
      </c>
      <c r="D30" s="3007" t="s">
        <v>3983</v>
      </c>
      <c r="E30" s="3008" t="s">
        <v>3984</v>
      </c>
      <c r="F30" s="3019">
        <v>68.13</v>
      </c>
      <c r="G30" s="3019">
        <v>8.6300000000000008</v>
      </c>
      <c r="H30" s="3016" t="s">
        <v>1373</v>
      </c>
      <c r="I30" s="3015" t="str">
        <f t="shared" si="2"/>
        <v>旅游用地</v>
      </c>
      <c r="J30" s="3010">
        <f t="shared" si="3"/>
        <v>56156</v>
      </c>
      <c r="K30" s="3007" t="str">
        <f t="shared" si="4"/>
        <v xml:space="preserve">10层 </v>
      </c>
      <c r="L30" s="3007" t="s">
        <v>3522</v>
      </c>
      <c r="N30">
        <f t="shared" ca="1" si="0"/>
        <v>713594</v>
      </c>
      <c r="O30">
        <f t="shared" ca="1" si="1"/>
        <v>71</v>
      </c>
    </row>
    <row r="31" spans="1:15" ht="24">
      <c r="A31" s="3015">
        <v>28</v>
      </c>
      <c r="B31" s="3015" t="s">
        <v>3100</v>
      </c>
      <c r="C31" s="3004" t="s">
        <v>3431</v>
      </c>
      <c r="D31" s="3007" t="s">
        <v>3985</v>
      </c>
      <c r="E31" s="3008" t="s">
        <v>3986</v>
      </c>
      <c r="F31" s="3019">
        <v>52.64</v>
      </c>
      <c r="G31" s="3019">
        <v>6.67</v>
      </c>
      <c r="H31" s="3016" t="s">
        <v>1373</v>
      </c>
      <c r="I31" s="3015" t="str">
        <f t="shared" si="2"/>
        <v>旅游用地</v>
      </c>
      <c r="J31" s="3010">
        <f t="shared" si="3"/>
        <v>56156</v>
      </c>
      <c r="K31" s="3007" t="str">
        <f t="shared" si="4"/>
        <v xml:space="preserve">10层 </v>
      </c>
      <c r="L31" s="3007" t="str">
        <f>$L$30</f>
        <v>3层</v>
      </c>
      <c r="N31">
        <f t="shared" ca="1" si="0"/>
        <v>551351</v>
      </c>
      <c r="O31">
        <f t="shared" ca="1" si="1"/>
        <v>55</v>
      </c>
    </row>
    <row r="32" spans="1:15" ht="24">
      <c r="A32" s="3015">
        <v>29</v>
      </c>
      <c r="B32" s="3015" t="s">
        <v>3101</v>
      </c>
      <c r="C32" s="3004" t="s">
        <v>3431</v>
      </c>
      <c r="D32" s="3007" t="s">
        <v>3987</v>
      </c>
      <c r="E32" s="3008" t="s">
        <v>3988</v>
      </c>
      <c r="F32" s="3019">
        <v>52.53</v>
      </c>
      <c r="G32" s="3019">
        <v>6.65</v>
      </c>
      <c r="H32" s="3016" t="s">
        <v>1373</v>
      </c>
      <c r="I32" s="3015" t="str">
        <f t="shared" si="2"/>
        <v>旅游用地</v>
      </c>
      <c r="J32" s="3010">
        <f t="shared" si="3"/>
        <v>56156</v>
      </c>
      <c r="K32" s="3007" t="str">
        <f t="shared" si="4"/>
        <v xml:space="preserve">10层 </v>
      </c>
      <c r="L32" s="3007" t="str">
        <f t="shared" ref="L32:L43" si="7">$L$30</f>
        <v>3层</v>
      </c>
      <c r="N32">
        <f t="shared" ca="1" si="0"/>
        <v>550199</v>
      </c>
      <c r="O32">
        <f t="shared" ca="1" si="1"/>
        <v>55</v>
      </c>
    </row>
    <row r="33" spans="1:15" ht="24">
      <c r="A33" s="3015">
        <v>30</v>
      </c>
      <c r="B33" s="3015" t="s">
        <v>3102</v>
      </c>
      <c r="C33" s="3004" t="s">
        <v>3431</v>
      </c>
      <c r="D33" s="3007" t="s">
        <v>3989</v>
      </c>
      <c r="E33" s="3008" t="s">
        <v>3990</v>
      </c>
      <c r="F33" s="3019">
        <v>52.89</v>
      </c>
      <c r="G33" s="3019">
        <v>6.7</v>
      </c>
      <c r="H33" s="3016" t="s">
        <v>1373</v>
      </c>
      <c r="I33" s="3015" t="str">
        <f t="shared" si="2"/>
        <v>旅游用地</v>
      </c>
      <c r="J33" s="3010">
        <f t="shared" si="3"/>
        <v>56156</v>
      </c>
      <c r="K33" s="3007" t="str">
        <f t="shared" si="4"/>
        <v xml:space="preserve">10层 </v>
      </c>
      <c r="L33" s="3007" t="str">
        <f t="shared" si="7"/>
        <v>3层</v>
      </c>
      <c r="N33">
        <f t="shared" ca="1" si="0"/>
        <v>553970</v>
      </c>
      <c r="O33">
        <f t="shared" ca="1" si="1"/>
        <v>55</v>
      </c>
    </row>
    <row r="34" spans="1:15" ht="24">
      <c r="A34" s="3015">
        <v>31</v>
      </c>
      <c r="B34" s="3015" t="s">
        <v>3103</v>
      </c>
      <c r="C34" s="3004" t="s">
        <v>3527</v>
      </c>
      <c r="D34" s="3007" t="s">
        <v>3991</v>
      </c>
      <c r="E34" s="3008" t="s">
        <v>3992</v>
      </c>
      <c r="F34" s="3019">
        <v>65.41</v>
      </c>
      <c r="G34" s="3019">
        <v>8.2799999999999994</v>
      </c>
      <c r="H34" s="3016" t="s">
        <v>1373</v>
      </c>
      <c r="I34" s="3015" t="str">
        <f t="shared" si="2"/>
        <v>旅游用地</v>
      </c>
      <c r="J34" s="3010">
        <f t="shared" si="3"/>
        <v>56156</v>
      </c>
      <c r="K34" s="3007" t="str">
        <f t="shared" si="4"/>
        <v xml:space="preserve">10层 </v>
      </c>
      <c r="L34" s="3007" t="str">
        <f t="shared" si="7"/>
        <v>3层</v>
      </c>
      <c r="N34">
        <f t="shared" ca="1" si="0"/>
        <v>685104</v>
      </c>
      <c r="O34">
        <f t="shared" ca="1" si="1"/>
        <v>69</v>
      </c>
    </row>
    <row r="35" spans="1:15" ht="24">
      <c r="A35" s="3015">
        <v>32</v>
      </c>
      <c r="B35" s="3015" t="s">
        <v>3104</v>
      </c>
      <c r="C35" s="3004" t="s">
        <v>3993</v>
      </c>
      <c r="D35" s="3007" t="s">
        <v>3994</v>
      </c>
      <c r="E35" s="3008" t="s">
        <v>3995</v>
      </c>
      <c r="F35" s="3019">
        <v>55.76</v>
      </c>
      <c r="G35" s="3019">
        <v>7.06</v>
      </c>
      <c r="H35" s="3016" t="s">
        <v>1373</v>
      </c>
      <c r="I35" s="3015" t="str">
        <f t="shared" si="2"/>
        <v>旅游用地</v>
      </c>
      <c r="J35" s="3010">
        <f t="shared" si="3"/>
        <v>56156</v>
      </c>
      <c r="K35" s="3007" t="str">
        <f t="shared" si="4"/>
        <v xml:space="preserve">10层 </v>
      </c>
      <c r="L35" s="3007" t="str">
        <f t="shared" si="7"/>
        <v>3层</v>
      </c>
      <c r="N35">
        <f t="shared" ca="1" si="0"/>
        <v>584030</v>
      </c>
      <c r="O35">
        <f t="shared" ca="1" si="1"/>
        <v>58</v>
      </c>
    </row>
    <row r="36" spans="1:15" ht="24">
      <c r="A36" s="3015">
        <v>33</v>
      </c>
      <c r="B36" s="3015" t="s">
        <v>3105</v>
      </c>
      <c r="C36" s="3004" t="s">
        <v>3996</v>
      </c>
      <c r="D36" s="3007" t="s">
        <v>3997</v>
      </c>
      <c r="E36" s="3008" t="s">
        <v>3998</v>
      </c>
      <c r="F36" s="3019">
        <v>94.3</v>
      </c>
      <c r="G36" s="3019">
        <v>11.94</v>
      </c>
      <c r="H36" s="3016" t="s">
        <v>1373</v>
      </c>
      <c r="I36" s="3015" t="str">
        <f t="shared" si="2"/>
        <v>旅游用地</v>
      </c>
      <c r="J36" s="3010">
        <f t="shared" si="3"/>
        <v>56156</v>
      </c>
      <c r="K36" s="3007" t="str">
        <f t="shared" si="4"/>
        <v xml:space="preserve">10层 </v>
      </c>
      <c r="L36" s="3007" t="str">
        <f t="shared" si="7"/>
        <v>3层</v>
      </c>
      <c r="N36">
        <f t="shared" ca="1" si="0"/>
        <v>987698</v>
      </c>
      <c r="O36">
        <f t="shared" ca="1" si="1"/>
        <v>99</v>
      </c>
    </row>
    <row r="37" spans="1:15" ht="24">
      <c r="A37" s="3015">
        <v>34</v>
      </c>
      <c r="B37" s="3015" t="s">
        <v>3106</v>
      </c>
      <c r="C37" s="3004" t="s">
        <v>3999</v>
      </c>
      <c r="D37" s="3007" t="s">
        <v>4000</v>
      </c>
      <c r="E37" s="3008" t="s">
        <v>4001</v>
      </c>
      <c r="F37" s="3019">
        <v>94.3</v>
      </c>
      <c r="G37" s="3019">
        <v>11.94</v>
      </c>
      <c r="H37" s="3016" t="s">
        <v>1373</v>
      </c>
      <c r="I37" s="3015" t="str">
        <f t="shared" si="2"/>
        <v>旅游用地</v>
      </c>
      <c r="J37" s="3010">
        <f t="shared" si="3"/>
        <v>56156</v>
      </c>
      <c r="K37" s="3007" t="str">
        <f t="shared" si="4"/>
        <v xml:space="preserve">10层 </v>
      </c>
      <c r="L37" s="3007" t="str">
        <f t="shared" si="7"/>
        <v>3层</v>
      </c>
      <c r="N37">
        <f t="shared" ca="1" si="0"/>
        <v>987698</v>
      </c>
      <c r="O37">
        <f t="shared" ca="1" si="1"/>
        <v>99</v>
      </c>
    </row>
    <row r="38" spans="1:15" ht="24">
      <c r="A38" s="3015">
        <v>35</v>
      </c>
      <c r="B38" s="3015" t="s">
        <v>3107</v>
      </c>
      <c r="C38" s="3004" t="s">
        <v>4002</v>
      </c>
      <c r="D38" s="3007" t="s">
        <v>4003</v>
      </c>
      <c r="E38" s="3008" t="s">
        <v>4004</v>
      </c>
      <c r="F38" s="3019">
        <v>55.76</v>
      </c>
      <c r="G38" s="3019">
        <v>7.06</v>
      </c>
      <c r="H38" s="3016" t="s">
        <v>1373</v>
      </c>
      <c r="I38" s="3015" t="str">
        <f t="shared" si="2"/>
        <v>旅游用地</v>
      </c>
      <c r="J38" s="3010">
        <f t="shared" si="3"/>
        <v>56156</v>
      </c>
      <c r="K38" s="3007" t="str">
        <f t="shared" si="4"/>
        <v xml:space="preserve">10层 </v>
      </c>
      <c r="L38" s="3007" t="str">
        <f t="shared" si="7"/>
        <v>3层</v>
      </c>
      <c r="N38">
        <f t="shared" ca="1" si="0"/>
        <v>584030</v>
      </c>
      <c r="O38">
        <f t="shared" ca="1" si="1"/>
        <v>58</v>
      </c>
    </row>
    <row r="39" spans="1:15" ht="24">
      <c r="A39" s="3015">
        <v>36</v>
      </c>
      <c r="B39" s="3015" t="s">
        <v>3108</v>
      </c>
      <c r="C39" s="3004" t="s">
        <v>4005</v>
      </c>
      <c r="D39" s="3007" t="s">
        <v>4006</v>
      </c>
      <c r="E39" s="3008" t="s">
        <v>4007</v>
      </c>
      <c r="F39" s="3019">
        <v>65.41</v>
      </c>
      <c r="G39" s="3019">
        <v>8.2799999999999994</v>
      </c>
      <c r="H39" s="3016" t="s">
        <v>1373</v>
      </c>
      <c r="I39" s="3015" t="str">
        <f t="shared" si="2"/>
        <v>旅游用地</v>
      </c>
      <c r="J39" s="3010">
        <f t="shared" si="3"/>
        <v>56156</v>
      </c>
      <c r="K39" s="3007" t="str">
        <f t="shared" si="4"/>
        <v xml:space="preserve">10层 </v>
      </c>
      <c r="L39" s="3007" t="str">
        <f t="shared" si="7"/>
        <v>3层</v>
      </c>
      <c r="N39">
        <f t="shared" ca="1" si="0"/>
        <v>685104</v>
      </c>
      <c r="O39">
        <f t="shared" ca="1" si="1"/>
        <v>69</v>
      </c>
    </row>
    <row r="40" spans="1:15" ht="24">
      <c r="A40" s="3015">
        <v>37</v>
      </c>
      <c r="B40" s="3015" t="s">
        <v>3109</v>
      </c>
      <c r="C40" s="3004" t="s">
        <v>3993</v>
      </c>
      <c r="D40" s="3007" t="s">
        <v>4008</v>
      </c>
      <c r="E40" s="3008" t="s">
        <v>4009</v>
      </c>
      <c r="F40" s="3019">
        <v>52.89</v>
      </c>
      <c r="G40" s="3019">
        <v>6.7</v>
      </c>
      <c r="H40" s="3016" t="s">
        <v>1373</v>
      </c>
      <c r="I40" s="3015" t="str">
        <f t="shared" si="2"/>
        <v>旅游用地</v>
      </c>
      <c r="J40" s="3010">
        <f t="shared" si="3"/>
        <v>56156</v>
      </c>
      <c r="K40" s="3007" t="str">
        <f t="shared" si="4"/>
        <v xml:space="preserve">10层 </v>
      </c>
      <c r="L40" s="3007" t="str">
        <f t="shared" si="7"/>
        <v>3层</v>
      </c>
      <c r="N40">
        <f t="shared" ca="1" si="0"/>
        <v>553970</v>
      </c>
      <c r="O40">
        <f t="shared" ca="1" si="1"/>
        <v>55</v>
      </c>
    </row>
    <row r="41" spans="1:15" ht="24">
      <c r="A41" s="3015">
        <v>38</v>
      </c>
      <c r="B41" s="3015" t="s">
        <v>3110</v>
      </c>
      <c r="C41" s="3004" t="s">
        <v>3993</v>
      </c>
      <c r="D41" s="3007" t="s">
        <v>4010</v>
      </c>
      <c r="E41" s="3008" t="s">
        <v>4011</v>
      </c>
      <c r="F41" s="3019">
        <v>52.53</v>
      </c>
      <c r="G41" s="3019">
        <v>6.65</v>
      </c>
      <c r="H41" s="3016" t="s">
        <v>1373</v>
      </c>
      <c r="I41" s="3015" t="str">
        <f t="shared" si="2"/>
        <v>旅游用地</v>
      </c>
      <c r="J41" s="3010">
        <f t="shared" si="3"/>
        <v>56156</v>
      </c>
      <c r="K41" s="3007" t="str">
        <f t="shared" si="4"/>
        <v xml:space="preserve">10层 </v>
      </c>
      <c r="L41" s="3007" t="str">
        <f t="shared" si="7"/>
        <v>3层</v>
      </c>
      <c r="N41">
        <f t="shared" ca="1" si="0"/>
        <v>550199</v>
      </c>
      <c r="O41">
        <f t="shared" ca="1" si="1"/>
        <v>55</v>
      </c>
    </row>
    <row r="42" spans="1:15" ht="24">
      <c r="A42" s="3015">
        <v>39</v>
      </c>
      <c r="B42" s="3015" t="s">
        <v>3111</v>
      </c>
      <c r="C42" s="3004" t="s">
        <v>4012</v>
      </c>
      <c r="D42" s="3007" t="s">
        <v>4013</v>
      </c>
      <c r="E42" s="3008" t="s">
        <v>4014</v>
      </c>
      <c r="F42" s="3019">
        <v>52.64</v>
      </c>
      <c r="G42" s="3019">
        <v>6.67</v>
      </c>
      <c r="H42" s="3016" t="s">
        <v>1373</v>
      </c>
      <c r="I42" s="3015" t="str">
        <f t="shared" si="2"/>
        <v>旅游用地</v>
      </c>
      <c r="J42" s="3010">
        <f t="shared" si="3"/>
        <v>56156</v>
      </c>
      <c r="K42" s="3007" t="str">
        <f t="shared" si="4"/>
        <v xml:space="preserve">10层 </v>
      </c>
      <c r="L42" s="3007" t="str">
        <f t="shared" si="7"/>
        <v>3层</v>
      </c>
      <c r="N42">
        <f t="shared" ca="1" si="0"/>
        <v>551351</v>
      </c>
      <c r="O42">
        <f t="shared" ca="1" si="1"/>
        <v>55</v>
      </c>
    </row>
    <row r="43" spans="1:15" ht="24">
      <c r="A43" s="3015">
        <v>40</v>
      </c>
      <c r="B43" s="3015" t="s">
        <v>3112</v>
      </c>
      <c r="C43" s="3004" t="s">
        <v>3996</v>
      </c>
      <c r="D43" s="3007" t="s">
        <v>4015</v>
      </c>
      <c r="E43" s="3008" t="s">
        <v>4016</v>
      </c>
      <c r="F43" s="3019">
        <v>72.040000000000006</v>
      </c>
      <c r="G43" s="3019">
        <v>9.1199999999999992</v>
      </c>
      <c r="H43" s="3016" t="s">
        <v>1373</v>
      </c>
      <c r="I43" s="3015" t="str">
        <f t="shared" si="2"/>
        <v>旅游用地</v>
      </c>
      <c r="J43" s="3010">
        <f t="shared" si="3"/>
        <v>56156</v>
      </c>
      <c r="K43" s="3007" t="str">
        <f t="shared" si="4"/>
        <v xml:space="preserve">10层 </v>
      </c>
      <c r="L43" s="3007" t="str">
        <f t="shared" si="7"/>
        <v>3层</v>
      </c>
      <c r="N43">
        <f t="shared" ca="1" si="0"/>
        <v>754547</v>
      </c>
      <c r="O43">
        <f t="shared" ca="1" si="1"/>
        <v>75</v>
      </c>
    </row>
    <row r="44" spans="1:15" ht="24">
      <c r="A44" s="3015">
        <v>41</v>
      </c>
      <c r="B44" s="3015" t="s">
        <v>3121</v>
      </c>
      <c r="C44" s="3004" t="s">
        <v>4017</v>
      </c>
      <c r="D44" s="3007" t="s">
        <v>4018</v>
      </c>
      <c r="E44" s="3008" t="s">
        <v>4019</v>
      </c>
      <c r="F44" s="3019">
        <v>68.13</v>
      </c>
      <c r="G44" s="3019">
        <v>8.6300000000000008</v>
      </c>
      <c r="H44" s="3016" t="s">
        <v>1373</v>
      </c>
      <c r="I44" s="3015" t="str">
        <f t="shared" si="2"/>
        <v>旅游用地</v>
      </c>
      <c r="J44" s="3010">
        <f t="shared" si="3"/>
        <v>56156</v>
      </c>
      <c r="K44" s="3007" t="str">
        <f t="shared" si="4"/>
        <v xml:space="preserve">10层 </v>
      </c>
      <c r="L44" s="3007" t="s">
        <v>4020</v>
      </c>
      <c r="N44">
        <f t="shared" ca="1" si="0"/>
        <v>713594</v>
      </c>
      <c r="O44">
        <f t="shared" ca="1" si="1"/>
        <v>71</v>
      </c>
    </row>
    <row r="45" spans="1:15" ht="24">
      <c r="A45" s="3015">
        <v>42</v>
      </c>
      <c r="B45" s="3015" t="s">
        <v>3122</v>
      </c>
      <c r="C45" s="3004" t="s">
        <v>3996</v>
      </c>
      <c r="D45" s="3007" t="s">
        <v>4021</v>
      </c>
      <c r="E45" s="3008" t="s">
        <v>4022</v>
      </c>
      <c r="F45" s="3019">
        <v>52.64</v>
      </c>
      <c r="G45" s="3019">
        <v>6.67</v>
      </c>
      <c r="H45" s="3016" t="s">
        <v>1373</v>
      </c>
      <c r="I45" s="3015" t="str">
        <f t="shared" si="2"/>
        <v>旅游用地</v>
      </c>
      <c r="J45" s="3010">
        <f t="shared" si="3"/>
        <v>56156</v>
      </c>
      <c r="K45" s="3007" t="str">
        <f t="shared" si="4"/>
        <v xml:space="preserve">10层 </v>
      </c>
      <c r="L45" s="3007" t="str">
        <f>$L$44</f>
        <v>4层</v>
      </c>
      <c r="N45">
        <f t="shared" ca="1" si="0"/>
        <v>551351</v>
      </c>
      <c r="O45">
        <f t="shared" ca="1" si="1"/>
        <v>55</v>
      </c>
    </row>
    <row r="46" spans="1:15" ht="24">
      <c r="A46" s="3015">
        <v>43</v>
      </c>
      <c r="B46" s="3015" t="s">
        <v>3123</v>
      </c>
      <c r="C46" s="3004" t="s">
        <v>4023</v>
      </c>
      <c r="D46" s="3007" t="s">
        <v>4024</v>
      </c>
      <c r="E46" s="3008" t="s">
        <v>4025</v>
      </c>
      <c r="F46" s="3019">
        <v>52.53</v>
      </c>
      <c r="G46" s="3019">
        <v>6.65</v>
      </c>
      <c r="H46" s="3016" t="s">
        <v>1373</v>
      </c>
      <c r="I46" s="3015" t="str">
        <f t="shared" si="2"/>
        <v>旅游用地</v>
      </c>
      <c r="J46" s="3010">
        <f t="shared" si="3"/>
        <v>56156</v>
      </c>
      <c r="K46" s="3007" t="str">
        <f t="shared" si="4"/>
        <v xml:space="preserve">10层 </v>
      </c>
      <c r="L46" s="3007" t="str">
        <f t="shared" ref="L46:L57" si="8">$L$44</f>
        <v>4层</v>
      </c>
      <c r="N46">
        <f t="shared" ca="1" si="0"/>
        <v>550199</v>
      </c>
      <c r="O46">
        <f t="shared" ca="1" si="1"/>
        <v>55</v>
      </c>
    </row>
    <row r="47" spans="1:15" ht="24">
      <c r="A47" s="3015">
        <v>44</v>
      </c>
      <c r="B47" s="3015" t="s">
        <v>3124</v>
      </c>
      <c r="C47" s="3004" t="s">
        <v>4017</v>
      </c>
      <c r="D47" s="3007" t="s">
        <v>4026</v>
      </c>
      <c r="E47" s="3008" t="s">
        <v>4027</v>
      </c>
      <c r="F47" s="3019">
        <v>52.89</v>
      </c>
      <c r="G47" s="3019">
        <v>6.7</v>
      </c>
      <c r="H47" s="3016" t="s">
        <v>1373</v>
      </c>
      <c r="I47" s="3015" t="str">
        <f t="shared" si="2"/>
        <v>旅游用地</v>
      </c>
      <c r="J47" s="3010">
        <f t="shared" si="3"/>
        <v>56156</v>
      </c>
      <c r="K47" s="3007" t="str">
        <f t="shared" si="4"/>
        <v xml:space="preserve">10层 </v>
      </c>
      <c r="L47" s="3007" t="str">
        <f t="shared" si="8"/>
        <v>4层</v>
      </c>
      <c r="N47">
        <f t="shared" ca="1" si="0"/>
        <v>553970</v>
      </c>
      <c r="O47">
        <f t="shared" ca="1" si="1"/>
        <v>55</v>
      </c>
    </row>
    <row r="48" spans="1:15" ht="24">
      <c r="A48" s="3015">
        <v>45</v>
      </c>
      <c r="B48" s="3015" t="s">
        <v>3125</v>
      </c>
      <c r="C48" s="3004" t="s">
        <v>4028</v>
      </c>
      <c r="D48" s="3007" t="s">
        <v>4029</v>
      </c>
      <c r="E48" s="3008" t="s">
        <v>4030</v>
      </c>
      <c r="F48" s="3019">
        <v>65.41</v>
      </c>
      <c r="G48" s="3019">
        <v>8.2799999999999994</v>
      </c>
      <c r="H48" s="3016" t="s">
        <v>1373</v>
      </c>
      <c r="I48" s="3015" t="str">
        <f t="shared" si="2"/>
        <v>旅游用地</v>
      </c>
      <c r="J48" s="3010">
        <f t="shared" si="3"/>
        <v>56156</v>
      </c>
      <c r="K48" s="3007" t="str">
        <f t="shared" si="4"/>
        <v xml:space="preserve">10层 </v>
      </c>
      <c r="L48" s="3007" t="str">
        <f t="shared" si="8"/>
        <v>4层</v>
      </c>
      <c r="N48">
        <f t="shared" ca="1" si="0"/>
        <v>685104</v>
      </c>
      <c r="O48">
        <f t="shared" ca="1" si="1"/>
        <v>69</v>
      </c>
    </row>
    <row r="49" spans="1:15" ht="24">
      <c r="A49" s="3015">
        <v>46</v>
      </c>
      <c r="B49" s="3015" t="s">
        <v>3126</v>
      </c>
      <c r="C49" s="3004" t="s">
        <v>3993</v>
      </c>
      <c r="D49" s="3007" t="s">
        <v>4031</v>
      </c>
      <c r="E49" s="3008" t="s">
        <v>4032</v>
      </c>
      <c r="F49" s="3019">
        <v>55.76</v>
      </c>
      <c r="G49" s="3019">
        <v>7.06</v>
      </c>
      <c r="H49" s="3016" t="s">
        <v>1373</v>
      </c>
      <c r="I49" s="3015" t="str">
        <f t="shared" si="2"/>
        <v>旅游用地</v>
      </c>
      <c r="J49" s="3010">
        <f t="shared" si="3"/>
        <v>56156</v>
      </c>
      <c r="K49" s="3007" t="str">
        <f t="shared" si="4"/>
        <v xml:space="preserve">10层 </v>
      </c>
      <c r="L49" s="3007" t="str">
        <f t="shared" si="8"/>
        <v>4层</v>
      </c>
      <c r="N49">
        <f t="shared" ca="1" si="0"/>
        <v>584030</v>
      </c>
      <c r="O49">
        <f t="shared" ca="1" si="1"/>
        <v>58</v>
      </c>
    </row>
    <row r="50" spans="1:15" ht="24">
      <c r="A50" s="3015">
        <v>47</v>
      </c>
      <c r="B50" s="3015" t="s">
        <v>3127</v>
      </c>
      <c r="C50" s="3004" t="s">
        <v>4033</v>
      </c>
      <c r="D50" s="3007" t="s">
        <v>4034</v>
      </c>
      <c r="E50" s="3008" t="s">
        <v>4035</v>
      </c>
      <c r="F50" s="3019">
        <v>94.3</v>
      </c>
      <c r="G50" s="3019">
        <v>11.94</v>
      </c>
      <c r="H50" s="3016" t="s">
        <v>1373</v>
      </c>
      <c r="I50" s="3015" t="str">
        <f t="shared" si="2"/>
        <v>旅游用地</v>
      </c>
      <c r="J50" s="3010">
        <f t="shared" si="3"/>
        <v>56156</v>
      </c>
      <c r="K50" s="3007" t="str">
        <f t="shared" si="4"/>
        <v xml:space="preserve">10层 </v>
      </c>
      <c r="L50" s="3007" t="str">
        <f t="shared" si="8"/>
        <v>4层</v>
      </c>
      <c r="N50">
        <f t="shared" ca="1" si="0"/>
        <v>987698</v>
      </c>
      <c r="O50">
        <f t="shared" ca="1" si="1"/>
        <v>99</v>
      </c>
    </row>
    <row r="51" spans="1:15" ht="24">
      <c r="A51" s="3015">
        <v>48</v>
      </c>
      <c r="B51" s="3015" t="s">
        <v>3128</v>
      </c>
      <c r="C51" s="3004" t="s">
        <v>4012</v>
      </c>
      <c r="D51" s="3007" t="s">
        <v>4036</v>
      </c>
      <c r="E51" s="3008" t="s">
        <v>4037</v>
      </c>
      <c r="F51" s="3019">
        <v>94.3</v>
      </c>
      <c r="G51" s="3019">
        <v>11.94</v>
      </c>
      <c r="H51" s="3016" t="s">
        <v>1373</v>
      </c>
      <c r="I51" s="3015" t="str">
        <f t="shared" si="2"/>
        <v>旅游用地</v>
      </c>
      <c r="J51" s="3010">
        <f t="shared" si="3"/>
        <v>56156</v>
      </c>
      <c r="K51" s="3007" t="str">
        <f t="shared" si="4"/>
        <v xml:space="preserve">10层 </v>
      </c>
      <c r="L51" s="3007" t="str">
        <f t="shared" si="8"/>
        <v>4层</v>
      </c>
      <c r="N51">
        <f t="shared" ca="1" si="0"/>
        <v>987698</v>
      </c>
      <c r="O51">
        <f t="shared" ca="1" si="1"/>
        <v>99</v>
      </c>
    </row>
    <row r="52" spans="1:15" ht="24">
      <c r="A52" s="3015">
        <v>49</v>
      </c>
      <c r="B52" s="3015" t="s">
        <v>3129</v>
      </c>
      <c r="C52" s="3004" t="s">
        <v>4002</v>
      </c>
      <c r="D52" s="3007" t="s">
        <v>4038</v>
      </c>
      <c r="E52" s="3008" t="s">
        <v>4039</v>
      </c>
      <c r="F52" s="3019">
        <v>55.76</v>
      </c>
      <c r="G52" s="3019">
        <v>7.06</v>
      </c>
      <c r="H52" s="3016" t="s">
        <v>1373</v>
      </c>
      <c r="I52" s="3015" t="str">
        <f t="shared" si="2"/>
        <v>旅游用地</v>
      </c>
      <c r="J52" s="3010">
        <f t="shared" si="3"/>
        <v>56156</v>
      </c>
      <c r="K52" s="3007" t="str">
        <f t="shared" si="4"/>
        <v xml:space="preserve">10层 </v>
      </c>
      <c r="L52" s="3007" t="str">
        <f t="shared" si="8"/>
        <v>4层</v>
      </c>
      <c r="N52">
        <f t="shared" ca="1" si="0"/>
        <v>584030</v>
      </c>
      <c r="O52">
        <f t="shared" ca="1" si="1"/>
        <v>58</v>
      </c>
    </row>
    <row r="53" spans="1:15" ht="24">
      <c r="A53" s="3015">
        <v>50</v>
      </c>
      <c r="B53" s="3015" t="s">
        <v>3130</v>
      </c>
      <c r="C53" s="3004" t="s">
        <v>4040</v>
      </c>
      <c r="D53" s="3007" t="s">
        <v>4041</v>
      </c>
      <c r="E53" s="3008" t="s">
        <v>4042</v>
      </c>
      <c r="F53" s="3019">
        <v>65.41</v>
      </c>
      <c r="G53" s="3019">
        <v>8.2799999999999994</v>
      </c>
      <c r="H53" s="3016" t="s">
        <v>1373</v>
      </c>
      <c r="I53" s="3015" t="str">
        <f t="shared" si="2"/>
        <v>旅游用地</v>
      </c>
      <c r="J53" s="3010">
        <f t="shared" si="3"/>
        <v>56156</v>
      </c>
      <c r="K53" s="3007" t="str">
        <f t="shared" si="4"/>
        <v xml:space="preserve">10层 </v>
      </c>
      <c r="L53" s="3007" t="str">
        <f t="shared" si="8"/>
        <v>4层</v>
      </c>
      <c r="N53">
        <f t="shared" ca="1" si="0"/>
        <v>685104</v>
      </c>
      <c r="O53">
        <f t="shared" ca="1" si="1"/>
        <v>69</v>
      </c>
    </row>
    <row r="54" spans="1:15" ht="24">
      <c r="A54" s="3015">
        <v>51</v>
      </c>
      <c r="B54" s="3015" t="s">
        <v>3131</v>
      </c>
      <c r="C54" s="3004" t="s">
        <v>4028</v>
      </c>
      <c r="D54" s="3007" t="s">
        <v>4043</v>
      </c>
      <c r="E54" s="3008" t="s">
        <v>4044</v>
      </c>
      <c r="F54" s="3019">
        <v>52.89</v>
      </c>
      <c r="G54" s="3019">
        <v>6.7</v>
      </c>
      <c r="H54" s="3016" t="s">
        <v>1373</v>
      </c>
      <c r="I54" s="3015" t="str">
        <f t="shared" si="2"/>
        <v>旅游用地</v>
      </c>
      <c r="J54" s="3010">
        <f t="shared" si="3"/>
        <v>56156</v>
      </c>
      <c r="K54" s="3007" t="str">
        <f t="shared" si="4"/>
        <v xml:space="preserve">10层 </v>
      </c>
      <c r="L54" s="3007" t="str">
        <f t="shared" si="8"/>
        <v>4层</v>
      </c>
      <c r="N54">
        <f t="shared" ca="1" si="0"/>
        <v>553970</v>
      </c>
      <c r="O54">
        <f t="shared" ca="1" si="1"/>
        <v>55</v>
      </c>
    </row>
    <row r="55" spans="1:15" ht="24">
      <c r="A55" s="3015">
        <v>52</v>
      </c>
      <c r="B55" s="3015" t="s">
        <v>3132</v>
      </c>
      <c r="C55" s="3004" t="s">
        <v>4002</v>
      </c>
      <c r="D55" s="3007" t="s">
        <v>4045</v>
      </c>
      <c r="E55" s="3008" t="s">
        <v>4046</v>
      </c>
      <c r="F55" s="3019">
        <v>52.53</v>
      </c>
      <c r="G55" s="3019">
        <v>6.65</v>
      </c>
      <c r="H55" s="3016" t="s">
        <v>1373</v>
      </c>
      <c r="I55" s="3015" t="str">
        <f t="shared" si="2"/>
        <v>旅游用地</v>
      </c>
      <c r="J55" s="3010">
        <f t="shared" si="3"/>
        <v>56156</v>
      </c>
      <c r="K55" s="3007" t="str">
        <f t="shared" si="4"/>
        <v xml:space="preserve">10层 </v>
      </c>
      <c r="L55" s="3007" t="str">
        <f t="shared" si="8"/>
        <v>4层</v>
      </c>
      <c r="N55">
        <f t="shared" ca="1" si="0"/>
        <v>550199</v>
      </c>
      <c r="O55">
        <f t="shared" ca="1" si="1"/>
        <v>55</v>
      </c>
    </row>
    <row r="56" spans="1:15" ht="24">
      <c r="A56" s="3015">
        <v>53</v>
      </c>
      <c r="B56" s="3015" t="s">
        <v>3133</v>
      </c>
      <c r="C56" s="3004" t="s">
        <v>4047</v>
      </c>
      <c r="D56" s="3007" t="s">
        <v>4048</v>
      </c>
      <c r="E56" s="3008" t="s">
        <v>4049</v>
      </c>
      <c r="F56" s="3019">
        <v>52.64</v>
      </c>
      <c r="G56" s="3019">
        <v>6.67</v>
      </c>
      <c r="H56" s="3016" t="s">
        <v>1373</v>
      </c>
      <c r="I56" s="3015" t="str">
        <f t="shared" si="2"/>
        <v>旅游用地</v>
      </c>
      <c r="J56" s="3010">
        <f t="shared" si="3"/>
        <v>56156</v>
      </c>
      <c r="K56" s="3007" t="str">
        <f t="shared" si="4"/>
        <v xml:space="preserve">10层 </v>
      </c>
      <c r="L56" s="3007" t="str">
        <f t="shared" si="8"/>
        <v>4层</v>
      </c>
      <c r="N56">
        <f t="shared" ca="1" si="0"/>
        <v>551351</v>
      </c>
      <c r="O56">
        <f t="shared" ca="1" si="1"/>
        <v>55</v>
      </c>
    </row>
    <row r="57" spans="1:15" ht="24">
      <c r="A57" s="3015">
        <v>54</v>
      </c>
      <c r="B57" s="3015" t="s">
        <v>3134</v>
      </c>
      <c r="C57" s="3004" t="s">
        <v>4028</v>
      </c>
      <c r="D57" s="3007" t="s">
        <v>4050</v>
      </c>
      <c r="E57" s="3008" t="s">
        <v>4051</v>
      </c>
      <c r="F57" s="3019">
        <v>72.040000000000006</v>
      </c>
      <c r="G57" s="3019">
        <v>9.1199999999999992</v>
      </c>
      <c r="H57" s="3016" t="s">
        <v>1373</v>
      </c>
      <c r="I57" s="3015" t="str">
        <f t="shared" si="2"/>
        <v>旅游用地</v>
      </c>
      <c r="J57" s="3010">
        <f t="shared" si="3"/>
        <v>56156</v>
      </c>
      <c r="K57" s="3007" t="str">
        <f t="shared" si="4"/>
        <v xml:space="preserve">10层 </v>
      </c>
      <c r="L57" s="3007" t="str">
        <f t="shared" si="8"/>
        <v>4层</v>
      </c>
      <c r="N57">
        <f t="shared" ca="1" si="0"/>
        <v>754547</v>
      </c>
      <c r="O57">
        <f t="shared" ca="1" si="1"/>
        <v>75</v>
      </c>
    </row>
    <row r="58" spans="1:15" ht="24">
      <c r="A58" s="3015">
        <v>55</v>
      </c>
      <c r="B58" s="3015" t="s">
        <v>3143</v>
      </c>
      <c r="C58" s="3004" t="s">
        <v>3999</v>
      </c>
      <c r="D58" s="3007" t="s">
        <v>4052</v>
      </c>
      <c r="E58" s="3008" t="s">
        <v>4053</v>
      </c>
      <c r="F58" s="3019">
        <v>68.13</v>
      </c>
      <c r="G58" s="3019">
        <v>8.6300000000000008</v>
      </c>
      <c r="H58" s="3016" t="s">
        <v>1373</v>
      </c>
      <c r="I58" s="3015" t="str">
        <f t="shared" si="2"/>
        <v>旅游用地</v>
      </c>
      <c r="J58" s="3010">
        <f t="shared" si="3"/>
        <v>56156</v>
      </c>
      <c r="K58" s="3007" t="str">
        <f t="shared" si="4"/>
        <v xml:space="preserve">10层 </v>
      </c>
      <c r="L58" s="3007" t="s">
        <v>4054</v>
      </c>
      <c r="N58">
        <f t="shared" ca="1" si="0"/>
        <v>713594</v>
      </c>
      <c r="O58">
        <f t="shared" ca="1" si="1"/>
        <v>71</v>
      </c>
    </row>
    <row r="59" spans="1:15" ht="24">
      <c r="A59" s="3015">
        <v>56</v>
      </c>
      <c r="B59" s="3015" t="s">
        <v>3144</v>
      </c>
      <c r="C59" s="3004" t="s">
        <v>3840</v>
      </c>
      <c r="D59" s="3007" t="s">
        <v>4055</v>
      </c>
      <c r="E59" s="3008" t="s">
        <v>4056</v>
      </c>
      <c r="F59" s="3019">
        <v>52.64</v>
      </c>
      <c r="G59" s="3019">
        <v>6.67</v>
      </c>
      <c r="H59" s="3016" t="s">
        <v>1373</v>
      </c>
      <c r="I59" s="3015" t="str">
        <f t="shared" si="2"/>
        <v>旅游用地</v>
      </c>
      <c r="J59" s="3010">
        <f t="shared" si="3"/>
        <v>56156</v>
      </c>
      <c r="K59" s="3007" t="str">
        <f t="shared" si="4"/>
        <v xml:space="preserve">10层 </v>
      </c>
      <c r="L59" s="3007" t="str">
        <f>L58</f>
        <v>5层</v>
      </c>
      <c r="N59">
        <f t="shared" ca="1" si="0"/>
        <v>551351</v>
      </c>
      <c r="O59">
        <f t="shared" ca="1" si="1"/>
        <v>55</v>
      </c>
    </row>
    <row r="60" spans="1:15" ht="24">
      <c r="A60" s="3015">
        <v>57</v>
      </c>
      <c r="B60" s="3015" t="s">
        <v>3145</v>
      </c>
      <c r="C60" s="3004" t="s">
        <v>3527</v>
      </c>
      <c r="D60" s="3007" t="s">
        <v>4057</v>
      </c>
      <c r="E60" s="3008" t="s">
        <v>4058</v>
      </c>
      <c r="F60" s="3019">
        <v>52.53</v>
      </c>
      <c r="G60" s="3019">
        <v>6.65</v>
      </c>
      <c r="H60" s="3016" t="s">
        <v>1373</v>
      </c>
      <c r="I60" s="3015" t="str">
        <f t="shared" si="2"/>
        <v>旅游用地</v>
      </c>
      <c r="J60" s="3010">
        <f t="shared" si="3"/>
        <v>56156</v>
      </c>
      <c r="K60" s="3007" t="str">
        <f t="shared" si="4"/>
        <v xml:space="preserve">10层 </v>
      </c>
      <c r="L60" s="3007" t="str">
        <f t="shared" si="4"/>
        <v>5层</v>
      </c>
      <c r="N60">
        <f t="shared" ca="1" si="0"/>
        <v>550199</v>
      </c>
      <c r="O60">
        <f t="shared" ca="1" si="1"/>
        <v>55</v>
      </c>
    </row>
    <row r="61" spans="1:15" ht="24">
      <c r="A61" s="3015">
        <v>58</v>
      </c>
      <c r="B61" s="3015" t="s">
        <v>3146</v>
      </c>
      <c r="C61" s="3004" t="s">
        <v>3840</v>
      </c>
      <c r="D61" s="3007" t="s">
        <v>4059</v>
      </c>
      <c r="E61" s="3008" t="s">
        <v>4060</v>
      </c>
      <c r="F61" s="3019">
        <v>52.89</v>
      </c>
      <c r="G61" s="3019">
        <v>6.7</v>
      </c>
      <c r="H61" s="3016" t="s">
        <v>1373</v>
      </c>
      <c r="I61" s="3015" t="str">
        <f t="shared" si="2"/>
        <v>旅游用地</v>
      </c>
      <c r="J61" s="3010">
        <f t="shared" si="3"/>
        <v>56156</v>
      </c>
      <c r="K61" s="3007" t="str">
        <f t="shared" ref="K61:L76" si="9">K60</f>
        <v xml:space="preserve">10层 </v>
      </c>
      <c r="L61" s="3007" t="str">
        <f t="shared" si="9"/>
        <v>5层</v>
      </c>
      <c r="N61">
        <f t="shared" ca="1" si="0"/>
        <v>553970</v>
      </c>
      <c r="O61">
        <f t="shared" ca="1" si="1"/>
        <v>55</v>
      </c>
    </row>
    <row r="62" spans="1:15" ht="24">
      <c r="A62" s="3015">
        <v>59</v>
      </c>
      <c r="B62" s="3015" t="s">
        <v>3147</v>
      </c>
      <c r="C62" s="3004" t="s">
        <v>3527</v>
      </c>
      <c r="D62" s="3007" t="s">
        <v>4061</v>
      </c>
      <c r="E62" s="3008" t="s">
        <v>4062</v>
      </c>
      <c r="F62" s="3019">
        <v>65.41</v>
      </c>
      <c r="G62" s="3019">
        <v>8.2799999999999994</v>
      </c>
      <c r="H62" s="3016" t="s">
        <v>1373</v>
      </c>
      <c r="I62" s="3015" t="str">
        <f t="shared" si="2"/>
        <v>旅游用地</v>
      </c>
      <c r="J62" s="3010">
        <f t="shared" si="3"/>
        <v>56156</v>
      </c>
      <c r="K62" s="3007" t="str">
        <f t="shared" si="9"/>
        <v xml:space="preserve">10层 </v>
      </c>
      <c r="L62" s="3007" t="str">
        <f t="shared" si="9"/>
        <v>5层</v>
      </c>
      <c r="N62">
        <f t="shared" ca="1" si="0"/>
        <v>685104</v>
      </c>
      <c r="O62">
        <f t="shared" ca="1" si="1"/>
        <v>69</v>
      </c>
    </row>
    <row r="63" spans="1:15" ht="24">
      <c r="A63" s="3015">
        <v>60</v>
      </c>
      <c r="B63" s="3015" t="s">
        <v>3148</v>
      </c>
      <c r="C63" s="3004" t="s">
        <v>3527</v>
      </c>
      <c r="D63" s="3007" t="s">
        <v>4063</v>
      </c>
      <c r="E63" s="3008" t="s">
        <v>4064</v>
      </c>
      <c r="F63" s="3019">
        <v>55.76</v>
      </c>
      <c r="G63" s="3019">
        <v>7.06</v>
      </c>
      <c r="H63" s="3016" t="s">
        <v>1373</v>
      </c>
      <c r="I63" s="3015" t="str">
        <f t="shared" si="2"/>
        <v>旅游用地</v>
      </c>
      <c r="J63" s="3010">
        <f t="shared" si="3"/>
        <v>56156</v>
      </c>
      <c r="K63" s="3007" t="str">
        <f t="shared" si="9"/>
        <v xml:space="preserve">10层 </v>
      </c>
      <c r="L63" s="3007" t="str">
        <f t="shared" si="9"/>
        <v>5层</v>
      </c>
      <c r="N63">
        <f t="shared" ca="1" si="0"/>
        <v>584030</v>
      </c>
      <c r="O63">
        <f t="shared" ca="1" si="1"/>
        <v>58</v>
      </c>
    </row>
    <row r="64" spans="1:15" ht="24">
      <c r="A64" s="3015">
        <v>61</v>
      </c>
      <c r="B64" s="3015" t="s">
        <v>3149</v>
      </c>
      <c r="C64" s="3004" t="s">
        <v>4065</v>
      </c>
      <c r="D64" s="3007" t="s">
        <v>4066</v>
      </c>
      <c r="E64" s="3008" t="s">
        <v>4067</v>
      </c>
      <c r="F64" s="3019">
        <v>94.3</v>
      </c>
      <c r="G64" s="3019">
        <v>11.94</v>
      </c>
      <c r="H64" s="3016" t="s">
        <v>1373</v>
      </c>
      <c r="I64" s="3015" t="str">
        <f t="shared" si="2"/>
        <v>旅游用地</v>
      </c>
      <c r="J64" s="3010">
        <f t="shared" si="3"/>
        <v>56156</v>
      </c>
      <c r="K64" s="3007" t="str">
        <f t="shared" si="9"/>
        <v xml:space="preserve">10层 </v>
      </c>
      <c r="L64" s="3007" t="str">
        <f t="shared" si="9"/>
        <v>5层</v>
      </c>
      <c r="N64">
        <f t="shared" ca="1" si="0"/>
        <v>987698</v>
      </c>
      <c r="O64">
        <f t="shared" ca="1" si="1"/>
        <v>99</v>
      </c>
    </row>
    <row r="65" spans="1:15" ht="24">
      <c r="A65" s="3015">
        <v>62</v>
      </c>
      <c r="B65" s="3015" t="s">
        <v>3150</v>
      </c>
      <c r="C65" s="3004" t="s">
        <v>3840</v>
      </c>
      <c r="D65" s="3007" t="s">
        <v>4068</v>
      </c>
      <c r="E65" s="3008" t="s">
        <v>4069</v>
      </c>
      <c r="F65" s="3019">
        <v>94.3</v>
      </c>
      <c r="G65" s="3019">
        <v>11.94</v>
      </c>
      <c r="H65" s="3016" t="s">
        <v>1373</v>
      </c>
      <c r="I65" s="3015" t="str">
        <f t="shared" si="2"/>
        <v>旅游用地</v>
      </c>
      <c r="J65" s="3010">
        <f t="shared" si="3"/>
        <v>56156</v>
      </c>
      <c r="K65" s="3007" t="str">
        <f t="shared" si="9"/>
        <v xml:space="preserve">10层 </v>
      </c>
      <c r="L65" s="3007" t="str">
        <f t="shared" si="9"/>
        <v>5层</v>
      </c>
      <c r="N65">
        <f t="shared" ca="1" si="0"/>
        <v>987698</v>
      </c>
      <c r="O65">
        <f t="shared" ca="1" si="1"/>
        <v>99</v>
      </c>
    </row>
    <row r="66" spans="1:15" ht="24">
      <c r="A66" s="3015">
        <v>63</v>
      </c>
      <c r="B66" s="3015" t="s">
        <v>3151</v>
      </c>
      <c r="C66" s="3004" t="s">
        <v>4070</v>
      </c>
      <c r="D66" s="3007" t="s">
        <v>4071</v>
      </c>
      <c r="E66" s="3008" t="s">
        <v>4072</v>
      </c>
      <c r="F66" s="3019">
        <v>55.76</v>
      </c>
      <c r="G66" s="3019">
        <v>7.06</v>
      </c>
      <c r="H66" s="3016" t="s">
        <v>1373</v>
      </c>
      <c r="I66" s="3015" t="str">
        <f t="shared" si="2"/>
        <v>旅游用地</v>
      </c>
      <c r="J66" s="3010">
        <f t="shared" si="3"/>
        <v>56156</v>
      </c>
      <c r="K66" s="3007" t="str">
        <f t="shared" si="9"/>
        <v xml:space="preserve">10层 </v>
      </c>
      <c r="L66" s="3007" t="str">
        <f t="shared" si="9"/>
        <v>5层</v>
      </c>
      <c r="N66">
        <f t="shared" ca="1" si="0"/>
        <v>584030</v>
      </c>
      <c r="O66">
        <f t="shared" ca="1" si="1"/>
        <v>58</v>
      </c>
    </row>
    <row r="67" spans="1:15" ht="24">
      <c r="A67" s="3015">
        <v>64</v>
      </c>
      <c r="B67" s="3015" t="s">
        <v>3152</v>
      </c>
      <c r="C67" s="3004" t="s">
        <v>4073</v>
      </c>
      <c r="D67" s="3007" t="s">
        <v>4074</v>
      </c>
      <c r="E67" s="3008" t="s">
        <v>4075</v>
      </c>
      <c r="F67" s="3019">
        <v>65.41</v>
      </c>
      <c r="G67" s="3019">
        <v>8.2799999999999994</v>
      </c>
      <c r="H67" s="3016" t="s">
        <v>1373</v>
      </c>
      <c r="I67" s="3015" t="str">
        <f t="shared" si="2"/>
        <v>旅游用地</v>
      </c>
      <c r="J67" s="3010">
        <f t="shared" si="3"/>
        <v>56156</v>
      </c>
      <c r="K67" s="3007" t="str">
        <f t="shared" si="9"/>
        <v xml:space="preserve">10层 </v>
      </c>
      <c r="L67" s="3007" t="str">
        <f t="shared" si="9"/>
        <v>5层</v>
      </c>
      <c r="N67">
        <f t="shared" ca="1" si="0"/>
        <v>685104</v>
      </c>
      <c r="O67">
        <f t="shared" ca="1" si="1"/>
        <v>69</v>
      </c>
    </row>
    <row r="68" spans="1:15" ht="24">
      <c r="A68" s="3015">
        <v>65</v>
      </c>
      <c r="B68" s="3015" t="s">
        <v>3153</v>
      </c>
      <c r="C68" s="3004" t="s">
        <v>3993</v>
      </c>
      <c r="D68" s="3007" t="s">
        <v>4076</v>
      </c>
      <c r="E68" s="3008" t="s">
        <v>4077</v>
      </c>
      <c r="F68" s="3019">
        <v>52.89</v>
      </c>
      <c r="G68" s="3019">
        <v>6.7</v>
      </c>
      <c r="H68" s="3016" t="s">
        <v>1373</v>
      </c>
      <c r="I68" s="3015" t="str">
        <f t="shared" si="2"/>
        <v>旅游用地</v>
      </c>
      <c r="J68" s="3010">
        <f t="shared" si="3"/>
        <v>56156</v>
      </c>
      <c r="K68" s="3007" t="str">
        <f t="shared" si="9"/>
        <v xml:space="preserve">10层 </v>
      </c>
      <c r="L68" s="3007" t="str">
        <f t="shared" si="9"/>
        <v>5层</v>
      </c>
      <c r="N68">
        <f t="shared" ca="1" si="0"/>
        <v>553970</v>
      </c>
      <c r="O68">
        <f t="shared" ca="1" si="1"/>
        <v>55</v>
      </c>
    </row>
    <row r="69" spans="1:15" ht="24">
      <c r="A69" s="3015">
        <v>66</v>
      </c>
      <c r="B69" s="3015" t="s">
        <v>3154</v>
      </c>
      <c r="C69" s="3004" t="s">
        <v>3993</v>
      </c>
      <c r="D69" s="3007" t="s">
        <v>4078</v>
      </c>
      <c r="E69" s="3008" t="s">
        <v>4079</v>
      </c>
      <c r="F69" s="3019">
        <v>52.53</v>
      </c>
      <c r="G69" s="3019">
        <v>6.65</v>
      </c>
      <c r="H69" s="3016" t="s">
        <v>1373</v>
      </c>
      <c r="I69" s="3015" t="str">
        <f t="shared" si="2"/>
        <v>旅游用地</v>
      </c>
      <c r="J69" s="3010">
        <f t="shared" si="3"/>
        <v>56156</v>
      </c>
      <c r="K69" s="3007" t="str">
        <f t="shared" si="9"/>
        <v xml:space="preserve">10层 </v>
      </c>
      <c r="L69" s="3007" t="str">
        <f t="shared" si="9"/>
        <v>5层</v>
      </c>
      <c r="N69">
        <f t="shared" ref="N69:N122" ca="1" si="10">ROUND(F69*$M$4,0)</f>
        <v>550199</v>
      </c>
      <c r="O69">
        <f t="shared" ref="O69:O122" ca="1" si="11">ROUND(N69/10000,0)</f>
        <v>55</v>
      </c>
    </row>
    <row r="70" spans="1:15" ht="24">
      <c r="A70" s="3015">
        <v>67</v>
      </c>
      <c r="B70" s="3015" t="s">
        <v>3155</v>
      </c>
      <c r="C70" s="3004" t="s">
        <v>3934</v>
      </c>
      <c r="D70" s="3007" t="s">
        <v>4080</v>
      </c>
      <c r="E70" s="3008" t="s">
        <v>4081</v>
      </c>
      <c r="F70" s="3019">
        <v>52.64</v>
      </c>
      <c r="G70" s="3019">
        <v>6.67</v>
      </c>
      <c r="H70" s="3016" t="s">
        <v>1373</v>
      </c>
      <c r="I70" s="3015" t="str">
        <f t="shared" ref="I70:I122" si="12">I69</f>
        <v>旅游用地</v>
      </c>
      <c r="J70" s="3010">
        <f t="shared" ref="J70:J122" si="13">$J$4</f>
        <v>56156</v>
      </c>
      <c r="K70" s="3007" t="str">
        <f t="shared" si="9"/>
        <v xml:space="preserve">10层 </v>
      </c>
      <c r="L70" s="3007" t="str">
        <f t="shared" si="9"/>
        <v>5层</v>
      </c>
      <c r="N70">
        <f t="shared" ca="1" si="10"/>
        <v>551351</v>
      </c>
      <c r="O70">
        <f t="shared" ca="1" si="11"/>
        <v>55</v>
      </c>
    </row>
    <row r="71" spans="1:15" ht="24">
      <c r="A71" s="3015">
        <v>68</v>
      </c>
      <c r="B71" s="3015" t="s">
        <v>3156</v>
      </c>
      <c r="C71" s="3004" t="s">
        <v>3431</v>
      </c>
      <c r="D71" s="3007" t="s">
        <v>4082</v>
      </c>
      <c r="E71" s="3008" t="s">
        <v>4083</v>
      </c>
      <c r="F71" s="3019">
        <v>72.040000000000006</v>
      </c>
      <c r="G71" s="3019">
        <v>9.1199999999999992</v>
      </c>
      <c r="H71" s="3016" t="s">
        <v>1373</v>
      </c>
      <c r="I71" s="3015" t="str">
        <f t="shared" si="12"/>
        <v>旅游用地</v>
      </c>
      <c r="J71" s="3010">
        <f t="shared" si="13"/>
        <v>56156</v>
      </c>
      <c r="K71" s="3007" t="str">
        <f t="shared" si="9"/>
        <v xml:space="preserve">10层 </v>
      </c>
      <c r="L71" s="3007" t="str">
        <f t="shared" si="9"/>
        <v>5层</v>
      </c>
      <c r="N71">
        <f t="shared" ca="1" si="10"/>
        <v>754547</v>
      </c>
      <c r="O71">
        <f t="shared" ca="1" si="11"/>
        <v>75</v>
      </c>
    </row>
    <row r="72" spans="1:15" ht="24">
      <c r="A72" s="3015">
        <v>69</v>
      </c>
      <c r="B72" s="3015" t="s">
        <v>3164</v>
      </c>
      <c r="C72" s="3004" t="s">
        <v>3431</v>
      </c>
      <c r="D72" s="3007" t="s">
        <v>4084</v>
      </c>
      <c r="E72" s="3008" t="s">
        <v>4085</v>
      </c>
      <c r="F72" s="3019">
        <v>68.13</v>
      </c>
      <c r="G72" s="3019">
        <v>8.6300000000000008</v>
      </c>
      <c r="H72" s="3016" t="s">
        <v>1373</v>
      </c>
      <c r="I72" s="3015" t="str">
        <f t="shared" si="12"/>
        <v>旅游用地</v>
      </c>
      <c r="J72" s="3010">
        <f t="shared" si="13"/>
        <v>56156</v>
      </c>
      <c r="K72" s="3007" t="str">
        <f t="shared" si="9"/>
        <v xml:space="preserve">10层 </v>
      </c>
      <c r="L72" s="3007" t="s">
        <v>4086</v>
      </c>
      <c r="N72">
        <f t="shared" ca="1" si="10"/>
        <v>713594</v>
      </c>
      <c r="O72">
        <f t="shared" ca="1" si="11"/>
        <v>71</v>
      </c>
    </row>
    <row r="73" spans="1:15" ht="24">
      <c r="A73" s="3015">
        <v>70</v>
      </c>
      <c r="B73" s="3015" t="s">
        <v>3165</v>
      </c>
      <c r="C73" s="3004" t="s">
        <v>3431</v>
      </c>
      <c r="D73" s="3007" t="s">
        <v>4087</v>
      </c>
      <c r="E73" s="3008" t="s">
        <v>4088</v>
      </c>
      <c r="F73" s="3019">
        <v>52.64</v>
      </c>
      <c r="G73" s="3019">
        <v>6.67</v>
      </c>
      <c r="H73" s="3016" t="s">
        <v>1373</v>
      </c>
      <c r="I73" s="3015" t="str">
        <f t="shared" si="12"/>
        <v>旅游用地</v>
      </c>
      <c r="J73" s="3010">
        <f t="shared" si="13"/>
        <v>56156</v>
      </c>
      <c r="K73" s="3007" t="str">
        <f t="shared" si="9"/>
        <v xml:space="preserve">10层 </v>
      </c>
      <c r="L73" s="3007" t="str">
        <f>L72</f>
        <v>6层</v>
      </c>
      <c r="N73">
        <f t="shared" ca="1" si="10"/>
        <v>551351</v>
      </c>
      <c r="O73">
        <f t="shared" ca="1" si="11"/>
        <v>55</v>
      </c>
    </row>
    <row r="74" spans="1:15" ht="24">
      <c r="A74" s="3015">
        <v>71</v>
      </c>
      <c r="B74" s="3015" t="s">
        <v>3166</v>
      </c>
      <c r="C74" s="3004" t="s">
        <v>3431</v>
      </c>
      <c r="D74" s="3007" t="s">
        <v>4089</v>
      </c>
      <c r="E74" s="3008" t="s">
        <v>4090</v>
      </c>
      <c r="F74" s="3019">
        <v>52.53</v>
      </c>
      <c r="G74" s="3019">
        <v>6.65</v>
      </c>
      <c r="H74" s="3016" t="s">
        <v>1373</v>
      </c>
      <c r="I74" s="3015" t="str">
        <f t="shared" si="12"/>
        <v>旅游用地</v>
      </c>
      <c r="J74" s="3010">
        <f t="shared" si="13"/>
        <v>56156</v>
      </c>
      <c r="K74" s="3007" t="str">
        <f t="shared" si="9"/>
        <v xml:space="preserve">10层 </v>
      </c>
      <c r="L74" s="3007" t="str">
        <f t="shared" si="9"/>
        <v>6层</v>
      </c>
      <c r="N74">
        <f t="shared" ca="1" si="10"/>
        <v>550199</v>
      </c>
      <c r="O74">
        <f t="shared" ca="1" si="11"/>
        <v>55</v>
      </c>
    </row>
    <row r="75" spans="1:15" ht="24">
      <c r="A75" s="3015">
        <v>72</v>
      </c>
      <c r="B75" s="3015" t="s">
        <v>3167</v>
      </c>
      <c r="C75" s="3004" t="s">
        <v>3431</v>
      </c>
      <c r="D75" s="3007" t="s">
        <v>4091</v>
      </c>
      <c r="E75" s="3008" t="s">
        <v>4092</v>
      </c>
      <c r="F75" s="3019">
        <v>52.89</v>
      </c>
      <c r="G75" s="3019">
        <v>6.7</v>
      </c>
      <c r="H75" s="3016" t="s">
        <v>1373</v>
      </c>
      <c r="I75" s="3015" t="str">
        <f t="shared" si="12"/>
        <v>旅游用地</v>
      </c>
      <c r="J75" s="3010">
        <f t="shared" si="13"/>
        <v>56156</v>
      </c>
      <c r="K75" s="3007" t="str">
        <f t="shared" si="9"/>
        <v xml:space="preserve">10层 </v>
      </c>
      <c r="L75" s="3007" t="str">
        <f t="shared" si="9"/>
        <v>6层</v>
      </c>
      <c r="N75">
        <f t="shared" ca="1" si="10"/>
        <v>553970</v>
      </c>
      <c r="O75">
        <f t="shared" ca="1" si="11"/>
        <v>55</v>
      </c>
    </row>
    <row r="76" spans="1:15" ht="24">
      <c r="A76" s="3015">
        <v>73</v>
      </c>
      <c r="B76" s="3015" t="s">
        <v>3168</v>
      </c>
      <c r="C76" s="3004" t="s">
        <v>3431</v>
      </c>
      <c r="D76" s="3007" t="s">
        <v>4093</v>
      </c>
      <c r="E76" s="3008" t="s">
        <v>4094</v>
      </c>
      <c r="F76" s="3019">
        <v>65.41</v>
      </c>
      <c r="G76" s="3019">
        <v>8.2799999999999994</v>
      </c>
      <c r="H76" s="3016" t="s">
        <v>1373</v>
      </c>
      <c r="I76" s="3015" t="str">
        <f t="shared" si="12"/>
        <v>旅游用地</v>
      </c>
      <c r="J76" s="3010">
        <f t="shared" si="13"/>
        <v>56156</v>
      </c>
      <c r="K76" s="3007" t="str">
        <f t="shared" si="9"/>
        <v xml:space="preserve">10层 </v>
      </c>
      <c r="L76" s="3007" t="str">
        <f t="shared" si="9"/>
        <v>6层</v>
      </c>
      <c r="N76">
        <f t="shared" ca="1" si="10"/>
        <v>685104</v>
      </c>
      <c r="O76">
        <f t="shared" ca="1" si="11"/>
        <v>69</v>
      </c>
    </row>
    <row r="77" spans="1:15" ht="24">
      <c r="A77" s="3015">
        <v>74</v>
      </c>
      <c r="B77" s="3015" t="s">
        <v>3169</v>
      </c>
      <c r="C77" s="3004" t="s">
        <v>3431</v>
      </c>
      <c r="D77" s="3007" t="s">
        <v>4095</v>
      </c>
      <c r="E77" s="3008" t="s">
        <v>4096</v>
      </c>
      <c r="F77" s="3019">
        <v>55.76</v>
      </c>
      <c r="G77" s="3019">
        <v>7.06</v>
      </c>
      <c r="H77" s="3016" t="s">
        <v>1373</v>
      </c>
      <c r="I77" s="3015" t="str">
        <f t="shared" si="12"/>
        <v>旅游用地</v>
      </c>
      <c r="J77" s="3010">
        <f t="shared" si="13"/>
        <v>56156</v>
      </c>
      <c r="K77" s="3007" t="str">
        <f t="shared" ref="K77:L92" si="14">K76</f>
        <v xml:space="preserve">10层 </v>
      </c>
      <c r="L77" s="3007" t="str">
        <f t="shared" si="14"/>
        <v>6层</v>
      </c>
      <c r="N77">
        <f t="shared" ca="1" si="10"/>
        <v>584030</v>
      </c>
      <c r="O77">
        <f t="shared" ca="1" si="11"/>
        <v>58</v>
      </c>
    </row>
    <row r="78" spans="1:15" ht="24">
      <c r="A78" s="3015">
        <v>75</v>
      </c>
      <c r="B78" s="3015" t="s">
        <v>3170</v>
      </c>
      <c r="C78" s="3004" t="s">
        <v>3527</v>
      </c>
      <c r="D78" s="3007" t="s">
        <v>4097</v>
      </c>
      <c r="E78" s="3008" t="s">
        <v>4098</v>
      </c>
      <c r="F78" s="3019">
        <v>94.3</v>
      </c>
      <c r="G78" s="3019">
        <v>11.94</v>
      </c>
      <c r="H78" s="3016" t="s">
        <v>1373</v>
      </c>
      <c r="I78" s="3015" t="str">
        <f t="shared" si="12"/>
        <v>旅游用地</v>
      </c>
      <c r="J78" s="3010">
        <f t="shared" si="13"/>
        <v>56156</v>
      </c>
      <c r="K78" s="3007" t="str">
        <f t="shared" si="14"/>
        <v xml:space="preserve">10层 </v>
      </c>
      <c r="L78" s="3007" t="str">
        <f t="shared" si="14"/>
        <v>6层</v>
      </c>
      <c r="N78">
        <f t="shared" ca="1" si="10"/>
        <v>987698</v>
      </c>
      <c r="O78">
        <f t="shared" ca="1" si="11"/>
        <v>99</v>
      </c>
    </row>
    <row r="79" spans="1:15" ht="24">
      <c r="A79" s="3015">
        <v>76</v>
      </c>
      <c r="B79" s="3015" t="s">
        <v>3171</v>
      </c>
      <c r="C79" s="3004" t="s">
        <v>3527</v>
      </c>
      <c r="D79" s="3007" t="s">
        <v>4099</v>
      </c>
      <c r="E79" s="3008" t="s">
        <v>4100</v>
      </c>
      <c r="F79" s="3019">
        <v>94.3</v>
      </c>
      <c r="G79" s="3019">
        <v>11.94</v>
      </c>
      <c r="H79" s="3016" t="s">
        <v>1373</v>
      </c>
      <c r="I79" s="3015" t="str">
        <f t="shared" si="12"/>
        <v>旅游用地</v>
      </c>
      <c r="J79" s="3010">
        <f t="shared" si="13"/>
        <v>56156</v>
      </c>
      <c r="K79" s="3007" t="str">
        <f t="shared" si="14"/>
        <v xml:space="preserve">10层 </v>
      </c>
      <c r="L79" s="3007" t="str">
        <f t="shared" si="14"/>
        <v>6层</v>
      </c>
      <c r="N79">
        <f t="shared" ca="1" si="10"/>
        <v>987698</v>
      </c>
      <c r="O79">
        <f t="shared" ca="1" si="11"/>
        <v>99</v>
      </c>
    </row>
    <row r="80" spans="1:15" ht="24">
      <c r="A80" s="3015">
        <v>77</v>
      </c>
      <c r="B80" s="3015" t="s">
        <v>3172</v>
      </c>
      <c r="C80" s="3004" t="s">
        <v>3840</v>
      </c>
      <c r="D80" s="3007" t="s">
        <v>4101</v>
      </c>
      <c r="E80" s="3008" t="s">
        <v>4102</v>
      </c>
      <c r="F80" s="3019">
        <v>55.76</v>
      </c>
      <c r="G80" s="3019">
        <v>7.06</v>
      </c>
      <c r="H80" s="3016" t="s">
        <v>1373</v>
      </c>
      <c r="I80" s="3015" t="str">
        <f t="shared" si="12"/>
        <v>旅游用地</v>
      </c>
      <c r="J80" s="3010">
        <f t="shared" si="13"/>
        <v>56156</v>
      </c>
      <c r="K80" s="3007" t="str">
        <f t="shared" si="14"/>
        <v xml:space="preserve">10层 </v>
      </c>
      <c r="L80" s="3007" t="str">
        <f t="shared" si="14"/>
        <v>6层</v>
      </c>
      <c r="N80">
        <f t="shared" ca="1" si="10"/>
        <v>584030</v>
      </c>
      <c r="O80">
        <f t="shared" ca="1" si="11"/>
        <v>58</v>
      </c>
    </row>
    <row r="81" spans="1:15" ht="24">
      <c r="A81" s="3015">
        <v>78</v>
      </c>
      <c r="B81" s="3015" t="s">
        <v>3173</v>
      </c>
      <c r="C81" s="3004" t="s">
        <v>3527</v>
      </c>
      <c r="D81" s="3007" t="s">
        <v>4103</v>
      </c>
      <c r="E81" s="3008" t="s">
        <v>4104</v>
      </c>
      <c r="F81" s="3019">
        <v>65.41</v>
      </c>
      <c r="G81" s="3019">
        <v>8.2799999999999994</v>
      </c>
      <c r="H81" s="3016" t="s">
        <v>1373</v>
      </c>
      <c r="I81" s="3015" t="str">
        <f t="shared" si="12"/>
        <v>旅游用地</v>
      </c>
      <c r="J81" s="3010">
        <f t="shared" si="13"/>
        <v>56156</v>
      </c>
      <c r="K81" s="3007" t="str">
        <f t="shared" si="14"/>
        <v xml:space="preserve">10层 </v>
      </c>
      <c r="L81" s="3007" t="str">
        <f t="shared" si="14"/>
        <v>6层</v>
      </c>
      <c r="N81">
        <f t="shared" ca="1" si="10"/>
        <v>685104</v>
      </c>
      <c r="O81">
        <f t="shared" ca="1" si="11"/>
        <v>69</v>
      </c>
    </row>
    <row r="82" spans="1:15" ht="24">
      <c r="A82" s="3015">
        <v>79</v>
      </c>
      <c r="B82" s="3015" t="s">
        <v>3174</v>
      </c>
      <c r="C82" s="3004" t="s">
        <v>3527</v>
      </c>
      <c r="D82" s="3007" t="s">
        <v>4105</v>
      </c>
      <c r="E82" s="3008" t="s">
        <v>4106</v>
      </c>
      <c r="F82" s="3019">
        <v>52.89</v>
      </c>
      <c r="G82" s="3019">
        <v>6.7</v>
      </c>
      <c r="H82" s="3016" t="s">
        <v>1373</v>
      </c>
      <c r="I82" s="3015" t="str">
        <f t="shared" si="12"/>
        <v>旅游用地</v>
      </c>
      <c r="J82" s="3010">
        <f t="shared" si="13"/>
        <v>56156</v>
      </c>
      <c r="K82" s="3007" t="str">
        <f t="shared" si="14"/>
        <v xml:space="preserve">10层 </v>
      </c>
      <c r="L82" s="3007" t="str">
        <f t="shared" si="14"/>
        <v>6层</v>
      </c>
      <c r="N82">
        <f t="shared" ca="1" si="10"/>
        <v>553970</v>
      </c>
      <c r="O82">
        <f t="shared" ca="1" si="11"/>
        <v>55</v>
      </c>
    </row>
    <row r="83" spans="1:15" ht="24">
      <c r="A83" s="3015">
        <v>80</v>
      </c>
      <c r="B83" s="3015" t="s">
        <v>3175</v>
      </c>
      <c r="C83" s="3004" t="s">
        <v>3993</v>
      </c>
      <c r="D83" s="3007" t="s">
        <v>4107</v>
      </c>
      <c r="E83" s="3008" t="s">
        <v>4108</v>
      </c>
      <c r="F83" s="3019">
        <v>52.53</v>
      </c>
      <c r="G83" s="3019">
        <v>6.65</v>
      </c>
      <c r="H83" s="3016" t="s">
        <v>1373</v>
      </c>
      <c r="I83" s="3015" t="str">
        <f t="shared" si="12"/>
        <v>旅游用地</v>
      </c>
      <c r="J83" s="3010">
        <f t="shared" si="13"/>
        <v>56156</v>
      </c>
      <c r="K83" s="3007" t="str">
        <f t="shared" si="14"/>
        <v xml:space="preserve">10层 </v>
      </c>
      <c r="L83" s="3007" t="str">
        <f t="shared" si="14"/>
        <v>6层</v>
      </c>
      <c r="N83">
        <f t="shared" ca="1" si="10"/>
        <v>550199</v>
      </c>
      <c r="O83">
        <f t="shared" ca="1" si="11"/>
        <v>55</v>
      </c>
    </row>
    <row r="84" spans="1:15" ht="24">
      <c r="A84" s="3015">
        <v>81</v>
      </c>
      <c r="B84" s="3015" t="s">
        <v>3176</v>
      </c>
      <c r="C84" s="3004" t="s">
        <v>3993</v>
      </c>
      <c r="D84" s="3007" t="s">
        <v>4109</v>
      </c>
      <c r="E84" s="3008" t="s">
        <v>4110</v>
      </c>
      <c r="F84" s="3019">
        <v>52.64</v>
      </c>
      <c r="G84" s="3019">
        <v>6.67</v>
      </c>
      <c r="H84" s="3016" t="s">
        <v>1373</v>
      </c>
      <c r="I84" s="3015" t="str">
        <f t="shared" si="12"/>
        <v>旅游用地</v>
      </c>
      <c r="J84" s="3010">
        <f t="shared" si="13"/>
        <v>56156</v>
      </c>
      <c r="K84" s="3007" t="str">
        <f t="shared" si="14"/>
        <v xml:space="preserve">10层 </v>
      </c>
      <c r="L84" s="3007" t="str">
        <f t="shared" si="14"/>
        <v>6层</v>
      </c>
      <c r="N84">
        <f t="shared" ca="1" si="10"/>
        <v>551351</v>
      </c>
      <c r="O84">
        <f t="shared" ca="1" si="11"/>
        <v>55</v>
      </c>
    </row>
    <row r="85" spans="1:15" ht="24">
      <c r="A85" s="3015">
        <v>82</v>
      </c>
      <c r="B85" s="3015" t="s">
        <v>3177</v>
      </c>
      <c r="C85" s="3004" t="s">
        <v>3527</v>
      </c>
      <c r="D85" s="3007" t="s">
        <v>4111</v>
      </c>
      <c r="E85" s="3008" t="s">
        <v>4112</v>
      </c>
      <c r="F85" s="3019">
        <v>72.040000000000006</v>
      </c>
      <c r="G85" s="3019">
        <v>9.1199999999999992</v>
      </c>
      <c r="H85" s="3016" t="s">
        <v>1373</v>
      </c>
      <c r="I85" s="3015" t="str">
        <f t="shared" si="12"/>
        <v>旅游用地</v>
      </c>
      <c r="J85" s="3010">
        <f t="shared" si="13"/>
        <v>56156</v>
      </c>
      <c r="K85" s="3007" t="str">
        <f t="shared" si="14"/>
        <v xml:space="preserve">10层 </v>
      </c>
      <c r="L85" s="3007" t="str">
        <f t="shared" si="14"/>
        <v>6层</v>
      </c>
      <c r="N85">
        <f t="shared" ca="1" si="10"/>
        <v>754547</v>
      </c>
      <c r="O85">
        <f t="shared" ca="1" si="11"/>
        <v>75</v>
      </c>
    </row>
    <row r="86" spans="1:15" ht="24">
      <c r="A86" s="3015">
        <v>83</v>
      </c>
      <c r="B86" s="3015" t="s">
        <v>3185</v>
      </c>
      <c r="C86" s="3004" t="s">
        <v>4113</v>
      </c>
      <c r="D86" s="3007" t="s">
        <v>4114</v>
      </c>
      <c r="E86" s="3008" t="s">
        <v>4115</v>
      </c>
      <c r="F86" s="3019">
        <v>68.5</v>
      </c>
      <c r="G86" s="3019">
        <v>8.68</v>
      </c>
      <c r="H86" s="3016" t="s">
        <v>1373</v>
      </c>
      <c r="I86" s="3015" t="str">
        <f t="shared" si="12"/>
        <v>旅游用地</v>
      </c>
      <c r="J86" s="3010">
        <f t="shared" si="13"/>
        <v>56156</v>
      </c>
      <c r="K86" s="3007" t="str">
        <f t="shared" si="14"/>
        <v xml:space="preserve">10层 </v>
      </c>
      <c r="L86" s="3007" t="s">
        <v>4116</v>
      </c>
      <c r="N86">
        <f t="shared" ca="1" si="10"/>
        <v>717469</v>
      </c>
      <c r="O86">
        <f t="shared" ca="1" si="11"/>
        <v>72</v>
      </c>
    </row>
    <row r="87" spans="1:15" ht="24">
      <c r="A87" s="3015">
        <v>84</v>
      </c>
      <c r="B87" s="3015" t="s">
        <v>3186</v>
      </c>
      <c r="C87" s="3004" t="s">
        <v>3993</v>
      </c>
      <c r="D87" s="3007" t="s">
        <v>4117</v>
      </c>
      <c r="E87" s="3008" t="s">
        <v>4118</v>
      </c>
      <c r="F87" s="3019">
        <v>52.92</v>
      </c>
      <c r="G87" s="3019">
        <v>6.7</v>
      </c>
      <c r="H87" s="3016" t="s">
        <v>1373</v>
      </c>
      <c r="I87" s="3015" t="str">
        <f t="shared" si="12"/>
        <v>旅游用地</v>
      </c>
      <c r="J87" s="3010">
        <f t="shared" si="13"/>
        <v>56156</v>
      </c>
      <c r="K87" s="3007" t="str">
        <f t="shared" si="14"/>
        <v xml:space="preserve">10层 </v>
      </c>
      <c r="L87" s="3007" t="str">
        <f>L86</f>
        <v>7层</v>
      </c>
      <c r="N87">
        <f t="shared" ca="1" si="10"/>
        <v>554284</v>
      </c>
      <c r="O87">
        <f t="shared" ca="1" si="11"/>
        <v>55</v>
      </c>
    </row>
    <row r="88" spans="1:15" ht="24">
      <c r="A88" s="3015">
        <v>85</v>
      </c>
      <c r="B88" s="3015" t="s">
        <v>3187</v>
      </c>
      <c r="C88" s="3004" t="s">
        <v>3527</v>
      </c>
      <c r="D88" s="3007" t="s">
        <v>4119</v>
      </c>
      <c r="E88" s="3008" t="s">
        <v>4120</v>
      </c>
      <c r="F88" s="3019">
        <v>52.81</v>
      </c>
      <c r="G88" s="3019">
        <v>6.69</v>
      </c>
      <c r="H88" s="3016" t="s">
        <v>1373</v>
      </c>
      <c r="I88" s="3015" t="str">
        <f t="shared" si="12"/>
        <v>旅游用地</v>
      </c>
      <c r="J88" s="3010">
        <f t="shared" si="13"/>
        <v>56156</v>
      </c>
      <c r="K88" s="3007" t="str">
        <f t="shared" si="14"/>
        <v xml:space="preserve">10层 </v>
      </c>
      <c r="L88" s="3007" t="str">
        <f t="shared" si="14"/>
        <v>7层</v>
      </c>
      <c r="N88">
        <f t="shared" ca="1" si="10"/>
        <v>553132</v>
      </c>
      <c r="O88">
        <f t="shared" ca="1" si="11"/>
        <v>55</v>
      </c>
    </row>
    <row r="89" spans="1:15" ht="24">
      <c r="A89" s="3015">
        <v>86</v>
      </c>
      <c r="B89" s="3015" t="s">
        <v>3188</v>
      </c>
      <c r="C89" s="3004" t="s">
        <v>3527</v>
      </c>
      <c r="D89" s="3007" t="s">
        <v>4121</v>
      </c>
      <c r="E89" s="3008" t="s">
        <v>4122</v>
      </c>
      <c r="F89" s="3019">
        <v>53.17</v>
      </c>
      <c r="G89" s="3019">
        <v>6.73</v>
      </c>
      <c r="H89" s="3016" t="s">
        <v>1373</v>
      </c>
      <c r="I89" s="3015" t="str">
        <f t="shared" si="12"/>
        <v>旅游用地</v>
      </c>
      <c r="J89" s="3010">
        <f t="shared" si="13"/>
        <v>56156</v>
      </c>
      <c r="K89" s="3007" t="str">
        <f t="shared" si="14"/>
        <v xml:space="preserve">10层 </v>
      </c>
      <c r="L89" s="3007" t="str">
        <f t="shared" si="14"/>
        <v>7层</v>
      </c>
      <c r="N89">
        <f t="shared" ca="1" si="10"/>
        <v>556903</v>
      </c>
      <c r="O89">
        <f t="shared" ca="1" si="11"/>
        <v>56</v>
      </c>
    </row>
    <row r="90" spans="1:15" ht="24">
      <c r="A90" s="3015">
        <v>87</v>
      </c>
      <c r="B90" s="3015" t="s">
        <v>3189</v>
      </c>
      <c r="C90" s="3004" t="s">
        <v>3527</v>
      </c>
      <c r="D90" s="3007" t="s">
        <v>4123</v>
      </c>
      <c r="E90" s="3008" t="s">
        <v>4124</v>
      </c>
      <c r="F90" s="3019">
        <v>65.760000000000005</v>
      </c>
      <c r="G90" s="3019">
        <v>8.33</v>
      </c>
      <c r="H90" s="3016" t="s">
        <v>1373</v>
      </c>
      <c r="I90" s="3015" t="str">
        <f t="shared" si="12"/>
        <v>旅游用地</v>
      </c>
      <c r="J90" s="3010">
        <f t="shared" si="13"/>
        <v>56156</v>
      </c>
      <c r="K90" s="3007" t="str">
        <f t="shared" si="14"/>
        <v xml:space="preserve">10层 </v>
      </c>
      <c r="L90" s="3007" t="str">
        <f t="shared" si="14"/>
        <v>7层</v>
      </c>
      <c r="N90">
        <f t="shared" ca="1" si="10"/>
        <v>688770</v>
      </c>
      <c r="O90">
        <f t="shared" ca="1" si="11"/>
        <v>69</v>
      </c>
    </row>
    <row r="91" spans="1:15" ht="24">
      <c r="A91" s="3015">
        <v>88</v>
      </c>
      <c r="B91" s="3015" t="s">
        <v>3194</v>
      </c>
      <c r="C91" s="3004" t="s">
        <v>3527</v>
      </c>
      <c r="D91" s="3007" t="s">
        <v>4125</v>
      </c>
      <c r="E91" s="3008" t="s">
        <v>4126</v>
      </c>
      <c r="F91" s="3019">
        <v>65.760000000000005</v>
      </c>
      <c r="G91" s="3019">
        <v>8.33</v>
      </c>
      <c r="H91" s="3016" t="s">
        <v>1373</v>
      </c>
      <c r="I91" s="3015" t="str">
        <f t="shared" si="12"/>
        <v>旅游用地</v>
      </c>
      <c r="J91" s="3010">
        <f t="shared" si="13"/>
        <v>56156</v>
      </c>
      <c r="K91" s="3007" t="str">
        <f t="shared" si="14"/>
        <v xml:space="preserve">10层 </v>
      </c>
      <c r="L91" s="3007" t="str">
        <f t="shared" si="14"/>
        <v>7层</v>
      </c>
      <c r="N91">
        <f t="shared" ca="1" si="10"/>
        <v>688770</v>
      </c>
      <c r="O91">
        <f t="shared" ca="1" si="11"/>
        <v>69</v>
      </c>
    </row>
    <row r="92" spans="1:15" ht="24">
      <c r="A92" s="3015">
        <v>89</v>
      </c>
      <c r="B92" s="3015" t="s">
        <v>3195</v>
      </c>
      <c r="C92" s="3004" t="s">
        <v>3993</v>
      </c>
      <c r="D92" s="3007" t="s">
        <v>4127</v>
      </c>
      <c r="E92" s="3008" t="s">
        <v>4128</v>
      </c>
      <c r="F92" s="3019">
        <v>53.17</v>
      </c>
      <c r="G92" s="3019">
        <v>6.73</v>
      </c>
      <c r="H92" s="3016" t="s">
        <v>1373</v>
      </c>
      <c r="I92" s="3015" t="str">
        <f t="shared" si="12"/>
        <v>旅游用地</v>
      </c>
      <c r="J92" s="3010">
        <f t="shared" si="13"/>
        <v>56156</v>
      </c>
      <c r="K92" s="3007" t="str">
        <f t="shared" si="14"/>
        <v xml:space="preserve">10层 </v>
      </c>
      <c r="L92" s="3007" t="str">
        <f t="shared" si="14"/>
        <v>7层</v>
      </c>
      <c r="N92">
        <f t="shared" ca="1" si="10"/>
        <v>556903</v>
      </c>
      <c r="O92">
        <f t="shared" ca="1" si="11"/>
        <v>56</v>
      </c>
    </row>
    <row r="93" spans="1:15" ht="24">
      <c r="A93" s="3015">
        <v>90</v>
      </c>
      <c r="B93" s="3015" t="s">
        <v>3196</v>
      </c>
      <c r="C93" s="3004" t="s">
        <v>3993</v>
      </c>
      <c r="D93" s="3007" t="s">
        <v>4129</v>
      </c>
      <c r="E93" s="3008" t="s">
        <v>4130</v>
      </c>
      <c r="F93" s="3019">
        <v>52.81</v>
      </c>
      <c r="G93" s="3019">
        <v>6.69</v>
      </c>
      <c r="H93" s="3016" t="s">
        <v>1373</v>
      </c>
      <c r="I93" s="3015" t="str">
        <f t="shared" si="12"/>
        <v>旅游用地</v>
      </c>
      <c r="J93" s="3010">
        <f t="shared" si="13"/>
        <v>56156</v>
      </c>
      <c r="K93" s="3007" t="str">
        <f t="shared" ref="K93:L108" si="15">K92</f>
        <v xml:space="preserve">10层 </v>
      </c>
      <c r="L93" s="3007" t="str">
        <f t="shared" si="15"/>
        <v>7层</v>
      </c>
      <c r="N93">
        <f t="shared" ca="1" si="10"/>
        <v>553132</v>
      </c>
      <c r="O93">
        <f t="shared" ca="1" si="11"/>
        <v>55</v>
      </c>
    </row>
    <row r="94" spans="1:15" ht="24">
      <c r="A94" s="3015">
        <v>91</v>
      </c>
      <c r="B94" s="3015" t="s">
        <v>3197</v>
      </c>
      <c r="C94" s="3004" t="s">
        <v>4002</v>
      </c>
      <c r="D94" s="3007" t="s">
        <v>4131</v>
      </c>
      <c r="E94" s="3008" t="s">
        <v>4132</v>
      </c>
      <c r="F94" s="3019">
        <v>52.92</v>
      </c>
      <c r="G94" s="3019">
        <v>6.7</v>
      </c>
      <c r="H94" s="3016" t="s">
        <v>1373</v>
      </c>
      <c r="I94" s="3015" t="str">
        <f t="shared" si="12"/>
        <v>旅游用地</v>
      </c>
      <c r="J94" s="3010">
        <f t="shared" si="13"/>
        <v>56156</v>
      </c>
      <c r="K94" s="3007" t="str">
        <f t="shared" si="15"/>
        <v xml:space="preserve">10层 </v>
      </c>
      <c r="L94" s="3007" t="str">
        <f t="shared" si="15"/>
        <v>7层</v>
      </c>
      <c r="N94">
        <f t="shared" ca="1" si="10"/>
        <v>554284</v>
      </c>
      <c r="O94">
        <f t="shared" ca="1" si="11"/>
        <v>55</v>
      </c>
    </row>
    <row r="95" spans="1:15" ht="24">
      <c r="A95" s="3015">
        <v>92</v>
      </c>
      <c r="B95" s="3015" t="s">
        <v>3198</v>
      </c>
      <c r="C95" s="3004" t="s">
        <v>3934</v>
      </c>
      <c r="D95" s="3007" t="s">
        <v>4133</v>
      </c>
      <c r="E95" s="3008" t="s">
        <v>4134</v>
      </c>
      <c r="F95" s="3019">
        <v>72.42</v>
      </c>
      <c r="G95" s="3019">
        <v>9.17</v>
      </c>
      <c r="H95" s="3016" t="s">
        <v>1373</v>
      </c>
      <c r="I95" s="3015" t="str">
        <f t="shared" si="12"/>
        <v>旅游用地</v>
      </c>
      <c r="J95" s="3010">
        <f t="shared" si="13"/>
        <v>56156</v>
      </c>
      <c r="K95" s="3007" t="str">
        <f t="shared" si="15"/>
        <v xml:space="preserve">10层 </v>
      </c>
      <c r="L95" s="3007" t="str">
        <f t="shared" si="15"/>
        <v>7层</v>
      </c>
      <c r="N95">
        <f t="shared" ca="1" si="10"/>
        <v>758527</v>
      </c>
      <c r="O95">
        <f t="shared" ca="1" si="11"/>
        <v>76</v>
      </c>
    </row>
    <row r="96" spans="1:15" ht="24">
      <c r="A96" s="3015">
        <v>93</v>
      </c>
      <c r="B96" s="3015" t="s">
        <v>3206</v>
      </c>
      <c r="C96" s="3004" t="s">
        <v>4047</v>
      </c>
      <c r="D96" s="3007" t="s">
        <v>4135</v>
      </c>
      <c r="E96" s="3008" t="s">
        <v>4136</v>
      </c>
      <c r="F96" s="3019">
        <v>68.849999999999994</v>
      </c>
      <c r="G96" s="3019">
        <v>8.7200000000000006</v>
      </c>
      <c r="H96" s="3016" t="s">
        <v>1373</v>
      </c>
      <c r="I96" s="3015" t="str">
        <f t="shared" si="12"/>
        <v>旅游用地</v>
      </c>
      <c r="J96" s="3010">
        <f t="shared" si="13"/>
        <v>56156</v>
      </c>
      <c r="K96" s="3007" t="str">
        <f t="shared" si="15"/>
        <v xml:space="preserve">10层 </v>
      </c>
      <c r="L96" s="3007" t="s">
        <v>4137</v>
      </c>
      <c r="N96">
        <f t="shared" ca="1" si="10"/>
        <v>721135</v>
      </c>
      <c r="O96">
        <f t="shared" ca="1" si="11"/>
        <v>72</v>
      </c>
    </row>
    <row r="97" spans="1:15" ht="24">
      <c r="A97" s="3015">
        <v>94</v>
      </c>
      <c r="B97" s="3015" t="s">
        <v>3207</v>
      </c>
      <c r="C97" s="3004" t="s">
        <v>4138</v>
      </c>
      <c r="D97" s="3007" t="s">
        <v>4139</v>
      </c>
      <c r="E97" s="3008" t="s">
        <v>4140</v>
      </c>
      <c r="F97" s="3019">
        <v>53.19</v>
      </c>
      <c r="G97" s="3019">
        <v>6.74</v>
      </c>
      <c r="H97" s="3016" t="s">
        <v>1373</v>
      </c>
      <c r="I97" s="3015" t="str">
        <f t="shared" si="12"/>
        <v>旅游用地</v>
      </c>
      <c r="J97" s="3010">
        <f t="shared" si="13"/>
        <v>56156</v>
      </c>
      <c r="K97" s="3007" t="str">
        <f t="shared" si="15"/>
        <v xml:space="preserve">10层 </v>
      </c>
      <c r="L97" s="3007" t="str">
        <f>L96</f>
        <v>8层</v>
      </c>
      <c r="N97">
        <f t="shared" ca="1" si="10"/>
        <v>557112</v>
      </c>
      <c r="O97">
        <f t="shared" ca="1" si="11"/>
        <v>56</v>
      </c>
    </row>
    <row r="98" spans="1:15" ht="24">
      <c r="A98" s="3015">
        <v>95</v>
      </c>
      <c r="B98" s="3015" t="s">
        <v>3208</v>
      </c>
      <c r="C98" s="3004" t="s">
        <v>3999</v>
      </c>
      <c r="D98" s="3007" t="s">
        <v>4141</v>
      </c>
      <c r="E98" s="3008" t="s">
        <v>4142</v>
      </c>
      <c r="F98" s="3019">
        <v>53.08</v>
      </c>
      <c r="G98" s="3019">
        <v>6.72</v>
      </c>
      <c r="H98" s="3016" t="s">
        <v>1373</v>
      </c>
      <c r="I98" s="3015" t="str">
        <f t="shared" si="12"/>
        <v>旅游用地</v>
      </c>
      <c r="J98" s="3010">
        <f t="shared" si="13"/>
        <v>56156</v>
      </c>
      <c r="K98" s="3007" t="str">
        <f t="shared" si="15"/>
        <v xml:space="preserve">10层 </v>
      </c>
      <c r="L98" s="3007" t="str">
        <f t="shared" si="15"/>
        <v>8层</v>
      </c>
      <c r="N98">
        <f t="shared" ca="1" si="10"/>
        <v>555960</v>
      </c>
      <c r="O98">
        <f t="shared" ca="1" si="11"/>
        <v>56</v>
      </c>
    </row>
    <row r="99" spans="1:15" ht="24">
      <c r="A99" s="3015">
        <v>96</v>
      </c>
      <c r="B99" s="3015" t="s">
        <v>3209</v>
      </c>
      <c r="C99" s="3004" t="s">
        <v>3431</v>
      </c>
      <c r="D99" s="3007" t="s">
        <v>4143</v>
      </c>
      <c r="E99" s="3008" t="s">
        <v>4144</v>
      </c>
      <c r="F99" s="3019">
        <v>53.45</v>
      </c>
      <c r="G99" s="3019">
        <v>6.77</v>
      </c>
      <c r="H99" s="3016" t="s">
        <v>1373</v>
      </c>
      <c r="I99" s="3015" t="str">
        <f t="shared" si="12"/>
        <v>旅游用地</v>
      </c>
      <c r="J99" s="3010">
        <f t="shared" si="13"/>
        <v>56156</v>
      </c>
      <c r="K99" s="3007" t="str">
        <f t="shared" si="15"/>
        <v xml:space="preserve">10层 </v>
      </c>
      <c r="L99" s="3007" t="str">
        <f t="shared" si="15"/>
        <v>8层</v>
      </c>
      <c r="N99">
        <f t="shared" ca="1" si="10"/>
        <v>559835</v>
      </c>
      <c r="O99">
        <f t="shared" ca="1" si="11"/>
        <v>56</v>
      </c>
    </row>
    <row r="100" spans="1:15" ht="24">
      <c r="A100" s="3015">
        <v>97</v>
      </c>
      <c r="B100" s="3015" t="s">
        <v>3210</v>
      </c>
      <c r="C100" s="3004" t="s">
        <v>3431</v>
      </c>
      <c r="D100" s="3007" t="s">
        <v>4145</v>
      </c>
      <c r="E100" s="3008" t="s">
        <v>4146</v>
      </c>
      <c r="F100" s="3019">
        <v>66.099999999999994</v>
      </c>
      <c r="G100" s="3019">
        <v>8.3699999999999992</v>
      </c>
      <c r="H100" s="3016" t="s">
        <v>1373</v>
      </c>
      <c r="I100" s="3015" t="str">
        <f t="shared" si="12"/>
        <v>旅游用地</v>
      </c>
      <c r="J100" s="3010">
        <f t="shared" si="13"/>
        <v>56156</v>
      </c>
      <c r="K100" s="3007" t="str">
        <f t="shared" si="15"/>
        <v xml:space="preserve">10层 </v>
      </c>
      <c r="L100" s="3007" t="str">
        <f t="shared" si="15"/>
        <v>8层</v>
      </c>
      <c r="N100">
        <f t="shared" ca="1" si="10"/>
        <v>692331</v>
      </c>
      <c r="O100">
        <f t="shared" ca="1" si="11"/>
        <v>69</v>
      </c>
    </row>
    <row r="101" spans="1:15" ht="24">
      <c r="A101" s="3015">
        <v>98</v>
      </c>
      <c r="B101" s="3015" t="s">
        <v>3211</v>
      </c>
      <c r="C101" s="3004" t="s">
        <v>3996</v>
      </c>
      <c r="D101" s="3007" t="s">
        <v>4147</v>
      </c>
      <c r="E101" s="3008" t="s">
        <v>4148</v>
      </c>
      <c r="F101" s="3019">
        <v>44.89</v>
      </c>
      <c r="G101" s="3007">
        <v>5.68</v>
      </c>
      <c r="H101" s="3016" t="s">
        <v>1373</v>
      </c>
      <c r="I101" s="3015" t="str">
        <f t="shared" si="12"/>
        <v>旅游用地</v>
      </c>
      <c r="J101" s="3010">
        <f t="shared" si="13"/>
        <v>56156</v>
      </c>
      <c r="K101" s="3007" t="str">
        <f t="shared" si="15"/>
        <v xml:space="preserve">10层 </v>
      </c>
      <c r="L101" s="3007" t="str">
        <f t="shared" si="15"/>
        <v>8层</v>
      </c>
      <c r="N101">
        <f t="shared" ca="1" si="10"/>
        <v>470178</v>
      </c>
      <c r="O101">
        <f t="shared" ca="1" si="11"/>
        <v>47</v>
      </c>
    </row>
    <row r="102" spans="1:15" ht="24">
      <c r="A102" s="3015">
        <v>99</v>
      </c>
      <c r="B102" s="3015" t="s">
        <v>3212</v>
      </c>
      <c r="C102" s="3004" t="s">
        <v>4047</v>
      </c>
      <c r="D102" s="3007" t="s">
        <v>4149</v>
      </c>
      <c r="E102" s="3008" t="s">
        <v>4150</v>
      </c>
      <c r="F102" s="3019">
        <v>58.08</v>
      </c>
      <c r="G102" s="3007">
        <v>7.36</v>
      </c>
      <c r="H102" s="3016" t="s">
        <v>1373</v>
      </c>
      <c r="I102" s="3015" t="str">
        <f t="shared" si="12"/>
        <v>旅游用地</v>
      </c>
      <c r="J102" s="3010">
        <f t="shared" si="13"/>
        <v>56156</v>
      </c>
      <c r="K102" s="3007" t="str">
        <f t="shared" si="15"/>
        <v xml:space="preserve">10层 </v>
      </c>
      <c r="L102" s="3007" t="str">
        <f t="shared" si="15"/>
        <v>8层</v>
      </c>
      <c r="N102">
        <f t="shared" ca="1" si="10"/>
        <v>608330</v>
      </c>
      <c r="O102">
        <f t="shared" ca="1" si="11"/>
        <v>61</v>
      </c>
    </row>
    <row r="103" spans="1:15" ht="24">
      <c r="A103" s="3015">
        <v>100</v>
      </c>
      <c r="B103" s="3015" t="s">
        <v>3213</v>
      </c>
      <c r="C103" s="3004" t="s">
        <v>3840</v>
      </c>
      <c r="D103" s="3007" t="s">
        <v>4151</v>
      </c>
      <c r="E103" s="3008" t="s">
        <v>4152</v>
      </c>
      <c r="F103" s="3019">
        <v>58.08</v>
      </c>
      <c r="G103" s="3007">
        <v>7.36</v>
      </c>
      <c r="H103" s="3016" t="s">
        <v>1373</v>
      </c>
      <c r="I103" s="3015" t="str">
        <f t="shared" si="12"/>
        <v>旅游用地</v>
      </c>
      <c r="J103" s="3010">
        <f t="shared" si="13"/>
        <v>56156</v>
      </c>
      <c r="K103" s="3007" t="str">
        <f t="shared" si="15"/>
        <v xml:space="preserve">10层 </v>
      </c>
      <c r="L103" s="3007" t="str">
        <f t="shared" si="15"/>
        <v>8层</v>
      </c>
      <c r="N103">
        <f t="shared" ca="1" si="10"/>
        <v>608330</v>
      </c>
      <c r="O103">
        <f t="shared" ca="1" si="11"/>
        <v>61</v>
      </c>
    </row>
    <row r="104" spans="1:15" ht="24">
      <c r="A104" s="3015">
        <v>101</v>
      </c>
      <c r="B104" s="3015" t="s">
        <v>3214</v>
      </c>
      <c r="C104" s="3004" t="s">
        <v>3840</v>
      </c>
      <c r="D104" s="3007" t="s">
        <v>4153</v>
      </c>
      <c r="E104" s="3008" t="s">
        <v>4154</v>
      </c>
      <c r="F104" s="3019">
        <v>44.89</v>
      </c>
      <c r="G104" s="3007">
        <v>5.68</v>
      </c>
      <c r="H104" s="3016" t="s">
        <v>1373</v>
      </c>
      <c r="I104" s="3015" t="str">
        <f t="shared" si="12"/>
        <v>旅游用地</v>
      </c>
      <c r="J104" s="3010">
        <f t="shared" si="13"/>
        <v>56156</v>
      </c>
      <c r="K104" s="3007" t="str">
        <f t="shared" si="15"/>
        <v xml:space="preserve">10层 </v>
      </c>
      <c r="L104" s="3007" t="str">
        <f t="shared" si="15"/>
        <v>8层</v>
      </c>
      <c r="N104">
        <f t="shared" ca="1" si="10"/>
        <v>470178</v>
      </c>
      <c r="O104">
        <f t="shared" ca="1" si="11"/>
        <v>47</v>
      </c>
    </row>
    <row r="105" spans="1:15" ht="24">
      <c r="A105" s="3015">
        <v>102</v>
      </c>
      <c r="B105" s="3015" t="s">
        <v>3215</v>
      </c>
      <c r="C105" s="3004" t="s">
        <v>3840</v>
      </c>
      <c r="D105" s="3007" t="s">
        <v>4155</v>
      </c>
      <c r="E105" s="3008" t="s">
        <v>4156</v>
      </c>
      <c r="F105" s="3019">
        <v>66.099999999999994</v>
      </c>
      <c r="G105" s="3019">
        <v>8.3699999999999992</v>
      </c>
      <c r="H105" s="3016" t="s">
        <v>1373</v>
      </c>
      <c r="I105" s="3015" t="str">
        <f t="shared" si="12"/>
        <v>旅游用地</v>
      </c>
      <c r="J105" s="3010">
        <f t="shared" si="13"/>
        <v>56156</v>
      </c>
      <c r="K105" s="3007" t="str">
        <f t="shared" si="15"/>
        <v xml:space="preserve">10层 </v>
      </c>
      <c r="L105" s="3007" t="str">
        <f t="shared" si="15"/>
        <v>8层</v>
      </c>
      <c r="N105">
        <f t="shared" ca="1" si="10"/>
        <v>692331</v>
      </c>
      <c r="O105">
        <f t="shared" ca="1" si="11"/>
        <v>69</v>
      </c>
    </row>
    <row r="106" spans="1:15" ht="24">
      <c r="A106" s="3015">
        <v>103</v>
      </c>
      <c r="B106" s="3015" t="s">
        <v>3216</v>
      </c>
      <c r="C106" s="3004" t="s">
        <v>3431</v>
      </c>
      <c r="D106" s="3007" t="s">
        <v>4157</v>
      </c>
      <c r="E106" s="3008" t="s">
        <v>4158</v>
      </c>
      <c r="F106" s="3019">
        <v>53.45</v>
      </c>
      <c r="G106" s="3019">
        <v>6.77</v>
      </c>
      <c r="H106" s="3016" t="s">
        <v>1373</v>
      </c>
      <c r="I106" s="3015" t="str">
        <f t="shared" si="12"/>
        <v>旅游用地</v>
      </c>
      <c r="J106" s="3010">
        <f t="shared" si="13"/>
        <v>56156</v>
      </c>
      <c r="K106" s="3007" t="str">
        <f t="shared" si="15"/>
        <v xml:space="preserve">10层 </v>
      </c>
      <c r="L106" s="3007" t="str">
        <f t="shared" si="15"/>
        <v>8层</v>
      </c>
      <c r="N106">
        <f t="shared" ca="1" si="10"/>
        <v>559835</v>
      </c>
      <c r="O106">
        <f t="shared" ca="1" si="11"/>
        <v>56</v>
      </c>
    </row>
    <row r="107" spans="1:15" ht="24">
      <c r="A107" s="3015">
        <v>104</v>
      </c>
      <c r="B107" s="3015" t="s">
        <v>3217</v>
      </c>
      <c r="C107" s="3004" t="s">
        <v>3431</v>
      </c>
      <c r="D107" s="3007" t="s">
        <v>4159</v>
      </c>
      <c r="E107" s="3008" t="s">
        <v>4160</v>
      </c>
      <c r="F107" s="3019">
        <v>53.08</v>
      </c>
      <c r="G107" s="3019">
        <v>6.72</v>
      </c>
      <c r="H107" s="3016" t="s">
        <v>1373</v>
      </c>
      <c r="I107" s="3015" t="str">
        <f t="shared" si="12"/>
        <v>旅游用地</v>
      </c>
      <c r="J107" s="3010">
        <f t="shared" si="13"/>
        <v>56156</v>
      </c>
      <c r="K107" s="3007" t="str">
        <f t="shared" si="15"/>
        <v xml:space="preserve">10层 </v>
      </c>
      <c r="L107" s="3007" t="str">
        <f t="shared" si="15"/>
        <v>8层</v>
      </c>
      <c r="N107">
        <f t="shared" ca="1" si="10"/>
        <v>555960</v>
      </c>
      <c r="O107">
        <f t="shared" ca="1" si="11"/>
        <v>56</v>
      </c>
    </row>
    <row r="108" spans="1:15" ht="24">
      <c r="A108" s="3015">
        <v>105</v>
      </c>
      <c r="B108" s="3015" t="s">
        <v>3218</v>
      </c>
      <c r="C108" s="3004" t="s">
        <v>3431</v>
      </c>
      <c r="D108" s="3007" t="s">
        <v>4161</v>
      </c>
      <c r="E108" s="3008" t="s">
        <v>4162</v>
      </c>
      <c r="F108" s="3019">
        <v>53.19</v>
      </c>
      <c r="G108" s="3019">
        <v>6.74</v>
      </c>
      <c r="H108" s="3016" t="s">
        <v>1373</v>
      </c>
      <c r="I108" s="3015" t="str">
        <f t="shared" si="12"/>
        <v>旅游用地</v>
      </c>
      <c r="J108" s="3010">
        <f t="shared" si="13"/>
        <v>56156</v>
      </c>
      <c r="K108" s="3007" t="str">
        <f t="shared" si="15"/>
        <v xml:space="preserve">10层 </v>
      </c>
      <c r="L108" s="3007" t="str">
        <f t="shared" si="15"/>
        <v>8层</v>
      </c>
      <c r="N108">
        <f t="shared" ca="1" si="10"/>
        <v>557112</v>
      </c>
      <c r="O108">
        <f t="shared" ca="1" si="11"/>
        <v>56</v>
      </c>
    </row>
    <row r="109" spans="1:15" ht="24">
      <c r="A109" s="3015">
        <v>106</v>
      </c>
      <c r="B109" s="3015" t="s">
        <v>3219</v>
      </c>
      <c r="C109" s="3004" t="s">
        <v>3943</v>
      </c>
      <c r="D109" s="3007" t="s">
        <v>4163</v>
      </c>
      <c r="E109" s="3008" t="s">
        <v>4164</v>
      </c>
      <c r="F109" s="3019">
        <v>72.8</v>
      </c>
      <c r="G109" s="3019">
        <v>9.2200000000000006</v>
      </c>
      <c r="H109" s="3016" t="s">
        <v>1373</v>
      </c>
      <c r="I109" s="3015" t="str">
        <f t="shared" si="12"/>
        <v>旅游用地</v>
      </c>
      <c r="J109" s="3010">
        <f t="shared" si="13"/>
        <v>56156</v>
      </c>
      <c r="K109" s="3007" t="str">
        <f t="shared" ref="K109:L122" si="16">K108</f>
        <v xml:space="preserve">10层 </v>
      </c>
      <c r="L109" s="3007" t="str">
        <f t="shared" si="16"/>
        <v>8层</v>
      </c>
      <c r="N109">
        <f t="shared" ca="1" si="10"/>
        <v>762507</v>
      </c>
      <c r="O109">
        <f t="shared" ca="1" si="11"/>
        <v>76</v>
      </c>
    </row>
    <row r="110" spans="1:15" ht="24">
      <c r="A110" s="3015">
        <v>107</v>
      </c>
      <c r="B110" s="3015" t="s">
        <v>3227</v>
      </c>
      <c r="C110" s="3004" t="s">
        <v>3431</v>
      </c>
      <c r="D110" s="3007" t="s">
        <v>4165</v>
      </c>
      <c r="E110" s="3008" t="s">
        <v>4166</v>
      </c>
      <c r="F110" s="3019">
        <v>70.040000000000006</v>
      </c>
      <c r="G110" s="3019">
        <v>8.8699999999999992</v>
      </c>
      <c r="H110" s="3016" t="s">
        <v>1373</v>
      </c>
      <c r="I110" s="3015" t="str">
        <f t="shared" si="12"/>
        <v>旅游用地</v>
      </c>
      <c r="J110" s="3010">
        <f t="shared" si="13"/>
        <v>56156</v>
      </c>
      <c r="K110" s="3007" t="str">
        <f t="shared" si="16"/>
        <v xml:space="preserve">10层 </v>
      </c>
      <c r="L110" s="3007" t="s">
        <v>4167</v>
      </c>
      <c r="N110">
        <f t="shared" ca="1" si="10"/>
        <v>733599</v>
      </c>
      <c r="O110">
        <f t="shared" ca="1" si="11"/>
        <v>73</v>
      </c>
    </row>
    <row r="111" spans="1:15" ht="24">
      <c r="A111" s="3015">
        <v>108</v>
      </c>
      <c r="B111" s="3015" t="s">
        <v>3228</v>
      </c>
      <c r="C111" s="3004" t="s">
        <v>4047</v>
      </c>
      <c r="D111" s="3007" t="s">
        <v>4168</v>
      </c>
      <c r="E111" s="3008" t="s">
        <v>4169</v>
      </c>
      <c r="F111" s="3019">
        <v>54.11</v>
      </c>
      <c r="G111" s="3019">
        <v>6.85</v>
      </c>
      <c r="H111" s="3016" t="s">
        <v>1373</v>
      </c>
      <c r="I111" s="3015" t="str">
        <f t="shared" si="12"/>
        <v>旅游用地</v>
      </c>
      <c r="J111" s="3010">
        <f t="shared" si="13"/>
        <v>56156</v>
      </c>
      <c r="K111" s="3007" t="str">
        <f t="shared" si="16"/>
        <v xml:space="preserve">10层 </v>
      </c>
      <c r="L111" s="3007" t="str">
        <f>L110</f>
        <v>9层</v>
      </c>
      <c r="N111">
        <f t="shared" ca="1" si="10"/>
        <v>566748</v>
      </c>
      <c r="O111">
        <f t="shared" ca="1" si="11"/>
        <v>57</v>
      </c>
    </row>
    <row r="112" spans="1:15" ht="24">
      <c r="A112" s="3015">
        <v>109</v>
      </c>
      <c r="B112" s="3015" t="s">
        <v>3229</v>
      </c>
      <c r="C112" s="3004" t="s">
        <v>3840</v>
      </c>
      <c r="D112" s="3007" t="s">
        <v>4170</v>
      </c>
      <c r="E112" s="3008" t="s">
        <v>4171</v>
      </c>
      <c r="F112" s="3019">
        <v>54</v>
      </c>
      <c r="G112" s="3019">
        <v>6.84</v>
      </c>
      <c r="H112" s="3016" t="s">
        <v>1373</v>
      </c>
      <c r="I112" s="3015" t="str">
        <f t="shared" si="12"/>
        <v>旅游用地</v>
      </c>
      <c r="J112" s="3010">
        <f t="shared" si="13"/>
        <v>56156</v>
      </c>
      <c r="K112" s="3007" t="str">
        <f t="shared" si="16"/>
        <v xml:space="preserve">10层 </v>
      </c>
      <c r="L112" s="3007" t="str">
        <f t="shared" si="16"/>
        <v>9层</v>
      </c>
      <c r="N112">
        <f t="shared" ca="1" si="10"/>
        <v>565596</v>
      </c>
      <c r="O112">
        <f t="shared" ca="1" si="11"/>
        <v>57</v>
      </c>
    </row>
    <row r="113" spans="1:15" ht="24">
      <c r="A113" s="3015">
        <v>110</v>
      </c>
      <c r="B113" s="3015" t="s">
        <v>3230</v>
      </c>
      <c r="C113" s="3004" t="s">
        <v>3996</v>
      </c>
      <c r="D113" s="3007" t="s">
        <v>4172</v>
      </c>
      <c r="E113" s="3008" t="s">
        <v>4173</v>
      </c>
      <c r="F113" s="3019">
        <v>54.5</v>
      </c>
      <c r="G113" s="3019">
        <v>6.9</v>
      </c>
      <c r="H113" s="3016" t="s">
        <v>1373</v>
      </c>
      <c r="I113" s="3015" t="str">
        <f t="shared" si="12"/>
        <v>旅游用地</v>
      </c>
      <c r="J113" s="3010">
        <f t="shared" si="13"/>
        <v>56156</v>
      </c>
      <c r="K113" s="3007" t="str">
        <f t="shared" si="16"/>
        <v xml:space="preserve">10层 </v>
      </c>
      <c r="L113" s="3007" t="str">
        <f t="shared" si="16"/>
        <v>9层</v>
      </c>
      <c r="N113">
        <f t="shared" ca="1" si="10"/>
        <v>570833</v>
      </c>
      <c r="O113">
        <f t="shared" ca="1" si="11"/>
        <v>57</v>
      </c>
    </row>
    <row r="114" spans="1:15" ht="24">
      <c r="A114" s="3015">
        <v>111</v>
      </c>
      <c r="B114" s="3015" t="s">
        <v>3231</v>
      </c>
      <c r="C114" s="3004" t="s">
        <v>4005</v>
      </c>
      <c r="D114" s="3007" t="s">
        <v>4174</v>
      </c>
      <c r="E114" s="3008" t="s">
        <v>4175</v>
      </c>
      <c r="F114" s="3019">
        <v>61.54</v>
      </c>
      <c r="G114" s="3019">
        <v>7.79</v>
      </c>
      <c r="H114" s="3016" t="s">
        <v>1373</v>
      </c>
      <c r="I114" s="3015" t="str">
        <f t="shared" si="12"/>
        <v>旅游用地</v>
      </c>
      <c r="J114" s="3010">
        <f t="shared" si="13"/>
        <v>56156</v>
      </c>
      <c r="K114" s="3007" t="str">
        <f t="shared" si="16"/>
        <v xml:space="preserve">10层 </v>
      </c>
      <c r="L114" s="3007" t="str">
        <f t="shared" si="16"/>
        <v>9层</v>
      </c>
      <c r="N114">
        <f t="shared" ca="1" si="10"/>
        <v>644570</v>
      </c>
      <c r="O114">
        <f t="shared" ca="1" si="11"/>
        <v>64</v>
      </c>
    </row>
    <row r="115" spans="1:15" ht="24">
      <c r="A115" s="3015">
        <v>112</v>
      </c>
      <c r="B115" s="3015" t="s">
        <v>3232</v>
      </c>
      <c r="C115" s="3004" t="s">
        <v>4176</v>
      </c>
      <c r="D115" s="3007" t="s">
        <v>4177</v>
      </c>
      <c r="E115" s="3008" t="s">
        <v>4178</v>
      </c>
      <c r="F115" s="3019">
        <v>31.3</v>
      </c>
      <c r="G115" s="3019">
        <v>3.96</v>
      </c>
      <c r="H115" s="3016" t="s">
        <v>1373</v>
      </c>
      <c r="I115" s="3015" t="str">
        <f t="shared" si="12"/>
        <v>旅游用地</v>
      </c>
      <c r="J115" s="3010">
        <f t="shared" si="13"/>
        <v>56156</v>
      </c>
      <c r="K115" s="3007" t="str">
        <f t="shared" si="16"/>
        <v xml:space="preserve">10层 </v>
      </c>
      <c r="L115" s="3007" t="str">
        <f t="shared" si="16"/>
        <v>9层</v>
      </c>
      <c r="N115">
        <f t="shared" ca="1" si="10"/>
        <v>327836</v>
      </c>
      <c r="O115">
        <f t="shared" ca="1" si="11"/>
        <v>33</v>
      </c>
    </row>
    <row r="116" spans="1:15" ht="24">
      <c r="A116" s="3015">
        <v>113</v>
      </c>
      <c r="B116" s="3015" t="s">
        <v>3233</v>
      </c>
      <c r="C116" s="3004" t="s">
        <v>4002</v>
      </c>
      <c r="D116" s="3007" t="s">
        <v>4179</v>
      </c>
      <c r="E116" s="3008" t="s">
        <v>4180</v>
      </c>
      <c r="F116" s="3019">
        <v>55.98</v>
      </c>
      <c r="G116" s="3019">
        <v>7.09</v>
      </c>
      <c r="H116" s="3016" t="s">
        <v>1373</v>
      </c>
      <c r="I116" s="3015" t="str">
        <f t="shared" si="12"/>
        <v>旅游用地</v>
      </c>
      <c r="J116" s="3010">
        <f t="shared" si="13"/>
        <v>56156</v>
      </c>
      <c r="K116" s="3007" t="str">
        <f t="shared" si="16"/>
        <v xml:space="preserve">10层 </v>
      </c>
      <c r="L116" s="3007" t="str">
        <f t="shared" si="16"/>
        <v>9层</v>
      </c>
      <c r="N116">
        <f t="shared" ca="1" si="10"/>
        <v>586335</v>
      </c>
      <c r="O116">
        <f t="shared" ca="1" si="11"/>
        <v>59</v>
      </c>
    </row>
    <row r="117" spans="1:15" ht="24">
      <c r="A117" s="3015">
        <v>114</v>
      </c>
      <c r="B117" s="3015" t="s">
        <v>3234</v>
      </c>
      <c r="C117" s="3004" t="s">
        <v>4181</v>
      </c>
      <c r="D117" s="3007" t="s">
        <v>4182</v>
      </c>
      <c r="E117" s="3008" t="s">
        <v>4183</v>
      </c>
      <c r="F117" s="3019">
        <v>37.78</v>
      </c>
      <c r="G117" s="3019">
        <v>4.78</v>
      </c>
      <c r="H117" s="3016" t="s">
        <v>1373</v>
      </c>
      <c r="I117" s="3015" t="str">
        <f t="shared" si="12"/>
        <v>旅游用地</v>
      </c>
      <c r="J117" s="3010">
        <f t="shared" si="13"/>
        <v>56156</v>
      </c>
      <c r="K117" s="3007" t="str">
        <f t="shared" si="16"/>
        <v xml:space="preserve">10层 </v>
      </c>
      <c r="L117" s="3007" t="str">
        <f t="shared" si="16"/>
        <v>9层</v>
      </c>
      <c r="N117">
        <f t="shared" ca="1" si="10"/>
        <v>395708</v>
      </c>
      <c r="O117">
        <f t="shared" ca="1" si="11"/>
        <v>40</v>
      </c>
    </row>
    <row r="118" spans="1:15" ht="24">
      <c r="A118" s="3015">
        <v>115</v>
      </c>
      <c r="B118" s="3015" t="s">
        <v>3235</v>
      </c>
      <c r="C118" s="3004" t="s">
        <v>3996</v>
      </c>
      <c r="D118" s="3007" t="s">
        <v>4184</v>
      </c>
      <c r="E118" s="3008" t="s">
        <v>4185</v>
      </c>
      <c r="F118" s="3019">
        <v>61.54</v>
      </c>
      <c r="G118" s="3019">
        <v>7.79</v>
      </c>
      <c r="H118" s="3016" t="s">
        <v>1373</v>
      </c>
      <c r="I118" s="3015" t="str">
        <f t="shared" si="12"/>
        <v>旅游用地</v>
      </c>
      <c r="J118" s="3010">
        <f t="shared" si="13"/>
        <v>56156</v>
      </c>
      <c r="K118" s="3007" t="str">
        <f t="shared" si="16"/>
        <v xml:space="preserve">10层 </v>
      </c>
      <c r="L118" s="3007" t="str">
        <f t="shared" si="16"/>
        <v>9层</v>
      </c>
      <c r="N118">
        <f t="shared" ca="1" si="10"/>
        <v>644570</v>
      </c>
      <c r="O118">
        <f t="shared" ca="1" si="11"/>
        <v>64</v>
      </c>
    </row>
    <row r="119" spans="1:15" ht="24">
      <c r="A119" s="3015">
        <v>116</v>
      </c>
      <c r="B119" s="3015" t="s">
        <v>3236</v>
      </c>
      <c r="C119" s="3004" t="s">
        <v>4186</v>
      </c>
      <c r="D119" s="3007" t="s">
        <v>4187</v>
      </c>
      <c r="E119" s="3008" t="s">
        <v>4188</v>
      </c>
      <c r="F119" s="3019">
        <v>54.5</v>
      </c>
      <c r="G119" s="3019">
        <v>6.9</v>
      </c>
      <c r="H119" s="3016" t="s">
        <v>1373</v>
      </c>
      <c r="I119" s="3015" t="str">
        <f t="shared" si="12"/>
        <v>旅游用地</v>
      </c>
      <c r="J119" s="3010">
        <f t="shared" si="13"/>
        <v>56156</v>
      </c>
      <c r="K119" s="3007" t="str">
        <f t="shared" si="16"/>
        <v xml:space="preserve">10层 </v>
      </c>
      <c r="L119" s="3007" t="str">
        <f t="shared" si="16"/>
        <v>9层</v>
      </c>
      <c r="N119">
        <f t="shared" ca="1" si="10"/>
        <v>570833</v>
      </c>
      <c r="O119">
        <f t="shared" ca="1" si="11"/>
        <v>57</v>
      </c>
    </row>
    <row r="120" spans="1:15" ht="24">
      <c r="A120" s="3015">
        <v>117</v>
      </c>
      <c r="B120" s="3015" t="s">
        <v>3237</v>
      </c>
      <c r="C120" s="3004" t="s">
        <v>3431</v>
      </c>
      <c r="D120" s="3007" t="s">
        <v>4189</v>
      </c>
      <c r="E120" s="3008" t="s">
        <v>4190</v>
      </c>
      <c r="F120" s="3019">
        <v>54</v>
      </c>
      <c r="G120" s="3019">
        <v>6.84</v>
      </c>
      <c r="H120" s="3016" t="s">
        <v>1373</v>
      </c>
      <c r="I120" s="3015" t="str">
        <f t="shared" si="12"/>
        <v>旅游用地</v>
      </c>
      <c r="J120" s="3010">
        <f t="shared" si="13"/>
        <v>56156</v>
      </c>
      <c r="K120" s="3007" t="str">
        <f t="shared" si="16"/>
        <v xml:space="preserve">10层 </v>
      </c>
      <c r="L120" s="3007" t="str">
        <f t="shared" si="16"/>
        <v>9层</v>
      </c>
      <c r="N120">
        <f t="shared" ca="1" si="10"/>
        <v>565596</v>
      </c>
      <c r="O120">
        <f t="shared" ca="1" si="11"/>
        <v>57</v>
      </c>
    </row>
    <row r="121" spans="1:15" ht="24">
      <c r="A121" s="3015">
        <v>118</v>
      </c>
      <c r="B121" s="3015" t="s">
        <v>3238</v>
      </c>
      <c r="C121" s="3004" t="s">
        <v>3943</v>
      </c>
      <c r="D121" s="3007" t="s">
        <v>4191</v>
      </c>
      <c r="E121" s="3008" t="s">
        <v>4192</v>
      </c>
      <c r="F121" s="3019">
        <v>54.11</v>
      </c>
      <c r="G121" s="3019">
        <v>6.85</v>
      </c>
      <c r="H121" s="3016" t="s">
        <v>1373</v>
      </c>
      <c r="I121" s="3015" t="str">
        <f t="shared" si="12"/>
        <v>旅游用地</v>
      </c>
      <c r="J121" s="3010">
        <f t="shared" si="13"/>
        <v>56156</v>
      </c>
      <c r="K121" s="3007" t="str">
        <f t="shared" si="16"/>
        <v xml:space="preserve">10层 </v>
      </c>
      <c r="L121" s="3007" t="str">
        <f t="shared" si="16"/>
        <v>9层</v>
      </c>
      <c r="N121">
        <f t="shared" ca="1" si="10"/>
        <v>566748</v>
      </c>
      <c r="O121">
        <f t="shared" ca="1" si="11"/>
        <v>57</v>
      </c>
    </row>
    <row r="122" spans="1:15" ht="24">
      <c r="A122" s="3015">
        <v>119</v>
      </c>
      <c r="B122" s="3015" t="s">
        <v>3239</v>
      </c>
      <c r="C122" s="3004" t="s">
        <v>4186</v>
      </c>
      <c r="D122" s="3007" t="s">
        <v>4193</v>
      </c>
      <c r="E122" s="3008" t="s">
        <v>4194</v>
      </c>
      <c r="F122" s="3019">
        <v>69.650000000000006</v>
      </c>
      <c r="G122" s="3019">
        <v>8.82</v>
      </c>
      <c r="H122" s="3016" t="s">
        <v>1373</v>
      </c>
      <c r="I122" s="3015" t="str">
        <f t="shared" si="12"/>
        <v>旅游用地</v>
      </c>
      <c r="J122" s="3010">
        <f t="shared" si="13"/>
        <v>56156</v>
      </c>
      <c r="K122" s="3007" t="str">
        <f t="shared" si="16"/>
        <v xml:space="preserve">10层 </v>
      </c>
      <c r="L122" s="3007" t="str">
        <f t="shared" si="16"/>
        <v>9层</v>
      </c>
      <c r="N122">
        <f t="shared" ca="1" si="10"/>
        <v>729514</v>
      </c>
      <c r="O122">
        <f t="shared" ca="1" si="11"/>
        <v>73</v>
      </c>
    </row>
    <row r="123" spans="1:15">
      <c r="A123" s="3386" t="s">
        <v>37</v>
      </c>
      <c r="B123" s="3386"/>
      <c r="C123" s="3386"/>
      <c r="D123" s="3386"/>
      <c r="E123" s="3386"/>
      <c r="F123" s="3020">
        <f>SUM(F4:F122)</f>
        <v>7340.8800000000037</v>
      </c>
      <c r="G123" s="3020">
        <f>SUM(G4:G122)</f>
        <v>929.57999999999993</v>
      </c>
      <c r="H123" s="3015" t="s">
        <v>4195</v>
      </c>
      <c r="I123" s="3015" t="s">
        <v>4195</v>
      </c>
      <c r="J123" s="3007" t="s">
        <v>4195</v>
      </c>
      <c r="K123" s="3007"/>
      <c r="L123" s="3007"/>
      <c r="N123">
        <f ca="1">SUM(N4:N122)</f>
        <v>76888366</v>
      </c>
      <c r="O123">
        <f ca="1">SUM(O4:O122)</f>
        <v>7683</v>
      </c>
    </row>
  </sheetData>
  <mergeCells count="3">
    <mergeCell ref="A1:L1"/>
    <mergeCell ref="A2:L2"/>
    <mergeCell ref="A123:E123"/>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135</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成本法 (2)</vt:lpstr>
      <vt:lpstr>成本法 (3)</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收益法-7</vt:lpstr>
      <vt:lpstr>收益法（汇总）</vt:lpstr>
      <vt:lpstr>土地比较法-住宅、综合</vt:lpstr>
      <vt:lpstr>土地比较法-工业</vt:lpstr>
      <vt:lpstr>基准地价修正</vt:lpstr>
      <vt:lpstr>修正</vt:lpstr>
      <vt:lpstr>容积率修正</vt:lpstr>
      <vt:lpstr>基准地价（汇总）</vt:lpstr>
      <vt:lpstr>地价</vt:lpstr>
      <vt:lpstr>土地案例</vt:lpstr>
      <vt:lpstr>典型户型修正</vt:lpstr>
      <vt:lpstr>成本法（废）</vt:lpstr>
      <vt:lpstr>区片价</vt:lpstr>
      <vt:lpstr>因素修正幅度</vt:lpstr>
      <vt:lpstr>存贷款利率</vt:lpstr>
      <vt:lpstr>区片价（范围）</vt:lpstr>
      <vt:lpstr>合计表</vt:lpstr>
      <vt:lpstr>3号楼面积清单</vt:lpstr>
      <vt:lpstr>6号楼面积清单</vt:lpstr>
      <vt:lpstr>7号楼面积清单</vt:lpstr>
      <vt:lpstr>估价师及机构信息!Print_Area</vt:lpstr>
      <vt:lpstr>收益法!Print_Area</vt:lpstr>
      <vt:lpstr>'收益法 (元)'!Print_Area</vt:lpstr>
      <vt:lpstr>'收益法-7'!Print_Area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2019-05-30T03:14:37Z</dcterms:modified>
</cp:coreProperties>
</file>