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0"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租金" sheetId="81" r:id="rId42"/>
    <sheet name="地价-分区" sheetId="79" state="hidden" r:id="rId43"/>
    <sheet name="地价" sheetId="71" state="hidden" r:id="rId44"/>
    <sheet name="区片价" sheetId="44" state="hidden" r:id="rId45"/>
    <sheet name="存贷款利率" sheetId="73" state="hidden" r:id="rId46"/>
    <sheet name="土地案例" sheetId="83" r:id="rId47"/>
    <sheet name="Sheet1"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9" i="1" l="1"/>
  <c r="N22" i="1"/>
  <c r="N23" i="1"/>
  <c r="N24" i="1"/>
  <c r="N25" i="1"/>
  <c r="N26" i="1"/>
  <c r="N28" i="1" l="1"/>
  <c r="M28" i="1" s="1"/>
  <c r="D66" i="40"/>
  <c r="E66" i="40" s="1"/>
  <c r="F66" i="40" s="1"/>
  <c r="G66" i="40" s="1"/>
  <c r="H66" i="40" s="1"/>
  <c r="I66" i="40" s="1"/>
  <c r="J66" i="40" s="1"/>
  <c r="K66" i="40" s="1"/>
  <c r="L66" i="40" s="1"/>
  <c r="M66" i="40" s="1"/>
  <c r="P24" i="1" l="1"/>
  <c r="P25" i="1"/>
  <c r="P26" i="1"/>
  <c r="P23" i="1"/>
  <c r="J49" i="15"/>
  <c r="P22" i="1"/>
  <c r="L23" i="1"/>
  <c r="L24" i="1"/>
  <c r="T24" i="1" s="1"/>
  <c r="L25" i="1"/>
  <c r="L26" i="1"/>
  <c r="T26" i="1" s="1"/>
  <c r="L22" i="1"/>
  <c r="L27" i="1"/>
  <c r="N27" i="1" s="1"/>
  <c r="M25" i="1"/>
  <c r="T23" i="1"/>
  <c r="B21" i="3"/>
  <c r="M26" i="1" l="1"/>
  <c r="Q24" i="1"/>
  <c r="T25" i="1"/>
  <c r="Q26" i="1"/>
  <c r="Q22" i="1"/>
  <c r="Q23" i="1"/>
  <c r="T22" i="1"/>
  <c r="Q25" i="1"/>
  <c r="L28" i="1"/>
  <c r="L32" i="1" s="1"/>
  <c r="D3" i="4"/>
  <c r="L6" i="1" l="1"/>
  <c r="Q28" i="1"/>
  <c r="T28" i="1"/>
  <c r="P28" i="1"/>
  <c r="N6" i="1" s="1"/>
  <c r="Y6" i="1" s="1"/>
  <c r="S28" i="1"/>
  <c r="M32" i="1" s="1"/>
  <c r="N32" i="1"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Z3" i="79"/>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P38" i="71"/>
  <c r="O38" i="71"/>
  <c r="Y38" i="71" s="1"/>
  <c r="Z38" i="71" s="1"/>
  <c r="N38" i="71"/>
  <c r="F38" i="71"/>
  <c r="F39" i="71" s="1"/>
  <c r="Q37" i="71"/>
  <c r="P37" i="71"/>
  <c r="O37" i="71"/>
  <c r="C38" i="71" s="1"/>
  <c r="D38" i="71" s="1"/>
  <c r="N37" i="71"/>
  <c r="B38" i="71" s="1"/>
  <c r="D37" i="71"/>
  <c r="Q36" i="71"/>
  <c r="P36" i="71"/>
  <c r="O36" i="71"/>
  <c r="N36" i="71"/>
  <c r="Q35" i="71"/>
  <c r="P35" i="71"/>
  <c r="O35" i="71"/>
  <c r="N35" i="71"/>
  <c r="Q34" i="71"/>
  <c r="AB34" i="71"/>
  <c r="P34" i="71"/>
  <c r="O34" i="71"/>
  <c r="N34" i="7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E34" i="71"/>
  <c r="C34" i="71"/>
  <c r="D34" i="71" s="1"/>
  <c r="C47" i="71"/>
  <c r="D47" i="71" s="1"/>
  <c r="D50" i="71"/>
  <c r="P28" i="71"/>
  <c r="E28" i="71" s="1"/>
  <c r="U68" i="71"/>
  <c r="E67" i="71"/>
  <c r="E66" i="71" s="1"/>
  <c r="P65" i="71" s="1"/>
  <c r="Q28" i="71"/>
  <c r="C63" i="71"/>
  <c r="C64" i="71" s="1"/>
  <c r="D62" i="71"/>
  <c r="T68" i="71"/>
  <c r="O68" i="71"/>
  <c r="D68" i="71"/>
  <c r="C67" i="71"/>
  <c r="D67" i="71" s="1"/>
  <c r="Q68" i="71"/>
  <c r="D72" i="71"/>
  <c r="C75" i="71"/>
  <c r="D75" i="71" s="1"/>
  <c r="D76" i="71"/>
  <c r="E79" i="71"/>
  <c r="E78" i="71" s="1"/>
  <c r="D80" i="71"/>
  <c r="C87" i="71"/>
  <c r="C86" i="71" s="1"/>
  <c r="D86" i="71" s="1"/>
  <c r="F28" i="71"/>
  <c r="F27" i="71" s="1"/>
  <c r="F26" i="71" s="1"/>
  <c r="D6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B57" i="35"/>
  <c r="B61" i="35"/>
  <c r="B59" i="35"/>
  <c r="H12" i="35" s="1"/>
  <c r="U12" i="35" s="1"/>
  <c r="B131" i="34"/>
  <c r="B129" i="34"/>
  <c r="B127" i="34"/>
  <c r="B99" i="34"/>
  <c r="H32" i="34" s="1"/>
  <c r="B97" i="34"/>
  <c r="B95" i="34"/>
  <c r="B93" i="34"/>
  <c r="B75" i="34"/>
  <c r="F14" i="34" s="1"/>
  <c r="B73" i="34"/>
  <c r="B71" i="34"/>
  <c r="H12" i="34" s="1"/>
  <c r="B130" i="33"/>
  <c r="B128" i="33"/>
  <c r="J45" i="33" s="1"/>
  <c r="B126" i="33"/>
  <c r="B98" i="33"/>
  <c r="B96" i="33"/>
  <c r="B94" i="33"/>
  <c r="J29" i="33" s="1"/>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F36" i="34"/>
  <c r="J35"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AB32" i="33" s="1"/>
  <c r="H11" i="21"/>
  <c r="U11" i="21" s="1"/>
  <c r="J11" i="21"/>
  <c r="W11" i="21" s="1"/>
  <c r="H37" i="40"/>
  <c r="U37" i="40" s="1"/>
  <c r="F35" i="40"/>
  <c r="AA35" i="40" s="1"/>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c r="J44" i="34"/>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H10" i="36"/>
  <c r="AB10" i="36" s="1"/>
  <c r="J14" i="36"/>
  <c r="AC14" i="36" s="1"/>
  <c r="H14" i="36"/>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F11" i="35"/>
  <c r="S11" i="35" s="1"/>
  <c r="J26" i="36"/>
  <c r="W26" i="36" s="1"/>
  <c r="H28" i="36"/>
  <c r="U28" i="36" s="1"/>
  <c r="J11" i="36"/>
  <c r="AC11" i="36" s="1"/>
  <c r="H11" i="36"/>
  <c r="U11" i="36" s="1"/>
  <c r="F11" i="36"/>
  <c r="AA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AA14" i="33" s="1"/>
  <c r="J14" i="33"/>
  <c r="AC14" i="33" s="1"/>
  <c r="H30" i="33"/>
  <c r="AB30" i="33" s="1"/>
  <c r="F30" i="33"/>
  <c r="J30" i="33"/>
  <c r="H44" i="33"/>
  <c r="U44" i="33" s="1"/>
  <c r="J44" i="33"/>
  <c r="AC44" i="33"/>
  <c r="F44" i="33"/>
  <c r="S44" i="33" s="1"/>
  <c r="J46" i="33"/>
  <c r="AC46" i="33" s="1"/>
  <c r="F46" i="33"/>
  <c r="H46" i="33"/>
  <c r="AB46" i="33" s="1"/>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AC47" i="34" s="1"/>
  <c r="F13" i="35"/>
  <c r="J13" i="35"/>
  <c r="AC13" i="35" s="1"/>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s="1"/>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s="1"/>
  <c r="J14" i="40"/>
  <c r="W14" i="40" s="1"/>
  <c r="F14" i="40"/>
  <c r="J14" i="37"/>
  <c r="J27" i="37"/>
  <c r="AC27" i="37" s="1"/>
  <c r="U46" i="33"/>
  <c r="J36" i="37"/>
  <c r="AC36" i="37" s="1"/>
  <c r="J10" i="36"/>
  <c r="AC10" i="36" s="1"/>
  <c r="AB30" i="21"/>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BA536" i="3"/>
  <c r="AZ536" i="3" s="1"/>
  <c r="BA534" i="3"/>
  <c r="AZ534" i="3" s="1"/>
  <c r="BA532" i="3"/>
  <c r="AZ532" i="3"/>
  <c r="BA530" i="3"/>
  <c r="BA528" i="3"/>
  <c r="BA526" i="3"/>
  <c r="BA524" i="3"/>
  <c r="AZ524" i="3" s="1"/>
  <c r="BA522" i="3"/>
  <c r="BA520" i="3"/>
  <c r="BA518" i="3"/>
  <c r="BA516" i="3"/>
  <c r="AZ516" i="3" s="1"/>
  <c r="BA514" i="3"/>
  <c r="BA512" i="3"/>
  <c r="AZ512" i="3" s="1"/>
  <c r="BA510" i="3"/>
  <c r="BA508" i="3"/>
  <c r="BA506" i="3"/>
  <c r="BA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BQ533" i="3"/>
  <c r="BL533" i="3" s="1"/>
  <c r="BQ531" i="3"/>
  <c r="BL531" i="3" s="1"/>
  <c r="BQ529" i="3"/>
  <c r="BL529" i="3" s="1"/>
  <c r="BQ527" i="3"/>
  <c r="BL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s="1"/>
  <c r="F11" i="39"/>
  <c r="G4" i="4"/>
  <c r="I4" i="4"/>
  <c r="A2" i="9"/>
  <c r="F61" i="43"/>
  <c r="H64" i="43" s="1"/>
  <c r="BL549"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AZ160" i="3" s="1"/>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AZ374" i="3" s="1"/>
  <c r="G375" i="3"/>
  <c r="BA377" i="3"/>
  <c r="BA379" i="3"/>
  <c r="BL380" i="3"/>
  <c r="AZ380" i="3" s="1"/>
  <c r="G381" i="3"/>
  <c r="BA383" i="3"/>
  <c r="BL384" i="3"/>
  <c r="G385" i="3"/>
  <c r="BA387" i="3"/>
  <c r="BL388" i="3"/>
  <c r="G389" i="3"/>
  <c r="BA391" i="3"/>
  <c r="AZ391" i="3" s="1"/>
  <c r="BL392" i="3"/>
  <c r="G393" i="3"/>
  <c r="BO5" i="3"/>
  <c r="BM5" i="3"/>
  <c r="F29" i="6" s="1"/>
  <c r="BJ5" i="3"/>
  <c r="BH5" i="3"/>
  <c r="BF5" i="3"/>
  <c r="BD5" i="3"/>
  <c r="AZ341" i="3"/>
  <c r="AC5" i="3"/>
  <c r="AZ506" i="3"/>
  <c r="AZ496" i="3"/>
  <c r="G548" i="3"/>
  <c r="G538" i="3"/>
  <c r="G520" i="3"/>
  <c r="G502" i="3"/>
  <c r="BS5" i="3"/>
  <c r="BP5" i="3"/>
  <c r="BK5" i="3"/>
  <c r="BI5" i="3"/>
  <c r="BG5" i="3"/>
  <c r="BC5" i="3"/>
  <c r="G17" i="3"/>
  <c r="BA17" i="3"/>
  <c r="BA15" i="3"/>
  <c r="BB5" i="3"/>
  <c r="BR5"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F39" i="40"/>
  <c r="BA14" i="3"/>
  <c r="AZ14" i="3" s="1"/>
  <c r="B12" i="1"/>
  <c r="E12" i="1" s="1"/>
  <c r="B10" i="1"/>
  <c r="E10" i="1" s="1"/>
  <c r="K12" i="1"/>
  <c r="M12" i="1" s="1"/>
  <c r="S13" i="1"/>
  <c r="AR13" i="1" s="1"/>
  <c r="R13" i="1"/>
  <c r="J51" i="67"/>
  <c r="C42" i="1"/>
  <c r="C24" i="12" s="1"/>
  <c r="B41" i="1"/>
  <c r="F48" i="9" s="1"/>
  <c r="O52" i="9" s="1"/>
  <c r="AB37"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s="1"/>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S43"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W33"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AC27" i="33" s="1"/>
  <c r="U25" i="33"/>
  <c r="AB25" i="33"/>
  <c r="AA25" i="33"/>
  <c r="J25" i="33"/>
  <c r="W25" i="33" s="1"/>
  <c r="AB23" i="33"/>
  <c r="U23" i="33"/>
  <c r="F23" i="33"/>
  <c r="AA19" i="33"/>
  <c r="H19" i="33"/>
  <c r="AB19" i="33" s="1"/>
  <c r="H17" i="33"/>
  <c r="U17" i="33" s="1"/>
  <c r="F17" i="33"/>
  <c r="S17" i="33" s="1"/>
  <c r="W17" i="33"/>
  <c r="AC17" i="33"/>
  <c r="AA23" i="21"/>
  <c r="J23" i="21"/>
  <c r="AC23" i="21" s="1"/>
  <c r="F85" i="21"/>
  <c r="G85" i="21" s="1"/>
  <c r="H23" i="21"/>
  <c r="AB23" i="21" s="1"/>
  <c r="S13" i="21"/>
  <c r="D6" i="52"/>
  <c r="AP7" i="1"/>
  <c r="AB9" i="21"/>
  <c r="U9" i="21"/>
  <c r="AC9" i="21"/>
  <c r="AC23" i="37"/>
  <c r="J11" i="37"/>
  <c r="AC11" i="37" s="1"/>
  <c r="H70" i="34"/>
  <c r="I70" i="34" s="1"/>
  <c r="J70" i="34"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67"/>
  <c r="E9" i="76"/>
  <c r="F5" i="73"/>
  <c r="L47" i="15"/>
  <c r="F4" i="73"/>
  <c r="AO13" i="1"/>
  <c r="F40" i="67"/>
  <c r="F37" i="15"/>
  <c r="B7" i="76"/>
  <c r="B9" i="76"/>
  <c r="E10" i="76"/>
  <c r="E8" i="76"/>
  <c r="J15" i="15"/>
  <c r="M6" i="15"/>
  <c r="B12" i="76"/>
  <c r="F13" i="15"/>
  <c r="F40" i="15"/>
  <c r="F13" i="67"/>
  <c r="F38" i="67"/>
  <c r="F20" i="31"/>
  <c r="J15" i="67"/>
  <c r="M28" i="67"/>
  <c r="F9" i="67"/>
  <c r="B8" i="76"/>
  <c r="M9" i="67"/>
  <c r="F6" i="73"/>
  <c r="M23" i="67"/>
  <c r="E13" i="76"/>
  <c r="M22" i="67"/>
  <c r="C76" i="67"/>
  <c r="F8" i="67"/>
  <c r="E2" i="68"/>
  <c r="B11" i="76"/>
  <c r="F42" i="67"/>
  <c r="L48" i="67"/>
  <c r="B10" i="76"/>
  <c r="B13" i="76"/>
  <c r="F3" i="73"/>
  <c r="F43" i="67"/>
  <c r="E7" i="76"/>
  <c r="E12" i="76"/>
  <c r="M23" i="15"/>
  <c r="M26" i="15"/>
  <c r="E2" i="69"/>
  <c r="F16" i="15"/>
  <c r="F6" i="67"/>
  <c r="F36" i="15"/>
  <c r="F38" i="15"/>
  <c r="M24" i="67"/>
  <c r="D6" i="73"/>
  <c r="M24" i="15"/>
  <c r="E11" i="76"/>
  <c r="F36" i="67"/>
  <c r="F7" i="73"/>
  <c r="F26" i="67"/>
  <c r="F9" i="15"/>
  <c r="F16" i="67"/>
  <c r="M8" i="15"/>
  <c r="S11" i="39" l="1"/>
  <c r="AA11" i="39"/>
  <c r="AB34" i="35"/>
  <c r="U34" i="35"/>
  <c r="U23" i="21"/>
  <c r="AC25" i="33"/>
  <c r="U27" i="40"/>
  <c r="AZ361" i="3"/>
  <c r="AZ356" i="3"/>
  <c r="AZ327" i="3"/>
  <c r="U19" i="33"/>
  <c r="W27" i="33"/>
  <c r="AB20" i="36"/>
  <c r="AB12" i="39"/>
  <c r="AZ511" i="3"/>
  <c r="AZ521" i="3"/>
  <c r="AZ498" i="3"/>
  <c r="AC31" i="34"/>
  <c r="S14" i="33"/>
  <c r="AC11" i="35"/>
  <c r="U34" i="21"/>
  <c r="BA586" i="3"/>
  <c r="BN5" i="3"/>
  <c r="G29" i="6" s="1"/>
  <c r="BE5" i="3"/>
  <c r="F44" i="39"/>
  <c r="G566" i="3"/>
  <c r="G551" i="3"/>
  <c r="G542" i="3"/>
  <c r="BA413" i="3"/>
  <c r="AZ413" i="3" s="1"/>
  <c r="BL413" i="3"/>
  <c r="G416" i="3"/>
  <c r="BL419" i="3"/>
  <c r="BA444" i="3"/>
  <c r="BA466" i="3"/>
  <c r="G469" i="3"/>
  <c r="BA469" i="3"/>
  <c r="BA470" i="3"/>
  <c r="BA485" i="3"/>
  <c r="G366" i="3"/>
  <c r="BA392" i="3"/>
  <c r="AZ392" i="3" s="1"/>
  <c r="BA214" i="3"/>
  <c r="G217" i="3"/>
  <c r="G237" i="3"/>
  <c r="G241" i="3"/>
  <c r="BA260" i="3"/>
  <c r="BA265" i="3"/>
  <c r="BA293" i="3"/>
  <c r="BA296" i="3"/>
  <c r="BA301" i="3"/>
  <c r="G138" i="3"/>
  <c r="BL205" i="3"/>
  <c r="BA70" i="3"/>
  <c r="BA97" i="3"/>
  <c r="BL99" i="3"/>
  <c r="J51" i="15"/>
  <c r="Y27" i="71"/>
  <c r="Z27" i="71" s="1"/>
  <c r="N68" i="71"/>
  <c r="AZ519" i="3"/>
  <c r="AZ573" i="3"/>
  <c r="AZ500" i="3"/>
  <c r="G401" i="3"/>
  <c r="G404" i="3"/>
  <c r="G422" i="3"/>
  <c r="G423" i="3"/>
  <c r="BA431" i="3"/>
  <c r="BL433" i="3"/>
  <c r="G434" i="3"/>
  <c r="G438" i="3"/>
  <c r="BA452" i="3"/>
  <c r="BL455" i="3"/>
  <c r="BL458" i="3"/>
  <c r="BA459" i="3"/>
  <c r="G478" i="3"/>
  <c r="BL480" i="3"/>
  <c r="BA483" i="3"/>
  <c r="BL483" i="3"/>
  <c r="BL308" i="3"/>
  <c r="AZ308" i="3" s="1"/>
  <c r="BA333" i="3"/>
  <c r="G221" i="3"/>
  <c r="G225" i="3"/>
  <c r="BA225" i="3"/>
  <c r="G271" i="3"/>
  <c r="G279" i="3"/>
  <c r="BA291" i="3"/>
  <c r="BA65" i="3"/>
  <c r="G68" i="3"/>
  <c r="G80" i="3"/>
  <c r="BA88" i="3"/>
  <c r="G89" i="3"/>
  <c r="BA92" i="3"/>
  <c r="BL93" i="3"/>
  <c r="G95" i="3"/>
  <c r="G99" i="3"/>
  <c r="B39" i="71"/>
  <c r="B40" i="71" s="1"/>
  <c r="S40" i="71" s="1"/>
  <c r="AB35" i="71"/>
  <c r="B59" i="71"/>
  <c r="B60" i="71" s="1"/>
  <c r="S60" i="71" s="1"/>
  <c r="S68" i="71"/>
  <c r="V68" i="71"/>
  <c r="AZ563" i="3"/>
  <c r="AZ538" i="3"/>
  <c r="J9" i="34"/>
  <c r="G556" i="3"/>
  <c r="BL399" i="3"/>
  <c r="BL406" i="3"/>
  <c r="G407" i="3"/>
  <c r="G417" i="3"/>
  <c r="G425" i="3"/>
  <c r="G445" i="3"/>
  <c r="BA448" i="3"/>
  <c r="G449" i="3"/>
  <c r="BL449" i="3"/>
  <c r="G470" i="3"/>
  <c r="G477" i="3"/>
  <c r="BA385" i="3"/>
  <c r="BA220" i="3"/>
  <c r="G232" i="3"/>
  <c r="G236" i="3"/>
  <c r="BA270" i="3"/>
  <c r="BA274" i="3"/>
  <c r="AZ274" i="3" s="1"/>
  <c r="BL274" i="3"/>
  <c r="BA283" i="3"/>
  <c r="BA286" i="3"/>
  <c r="BL158" i="3"/>
  <c r="BL175" i="3"/>
  <c r="AZ175" i="3" s="1"/>
  <c r="G63" i="3"/>
  <c r="G84" i="3"/>
  <c r="BL84" i="3"/>
  <c r="G93" i="3"/>
  <c r="J9" i="36"/>
  <c r="J38" i="40"/>
  <c r="G351" i="3"/>
  <c r="BL367" i="3"/>
  <c r="BA368" i="3"/>
  <c r="AZ368" i="3" s="1"/>
  <c r="BL368" i="3"/>
  <c r="BL383" i="3"/>
  <c r="AZ383" i="3" s="1"/>
  <c r="BA231" i="3"/>
  <c r="BA235" i="3"/>
  <c r="BL237" i="3"/>
  <c r="BA240" i="3"/>
  <c r="G243" i="3"/>
  <c r="BA243" i="3"/>
  <c r="G246" i="3"/>
  <c r="BL250" i="3"/>
  <c r="G261" i="3"/>
  <c r="BA120" i="3"/>
  <c r="AZ120" i="3" s="1"/>
  <c r="G123" i="3"/>
  <c r="X34" i="71"/>
  <c r="U46" i="2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BL400" i="3"/>
  <c r="BL402" i="3"/>
  <c r="BL408" i="3"/>
  <c r="BL412" i="3"/>
  <c r="BL417" i="3"/>
  <c r="BL418" i="3"/>
  <c r="BA420" i="3"/>
  <c r="BL420" i="3"/>
  <c r="BL432" i="3"/>
  <c r="BA443" i="3"/>
  <c r="BL447" i="3"/>
  <c r="BL451" i="3"/>
  <c r="BL465" i="3"/>
  <c r="BL469" i="3"/>
  <c r="AZ469" i="3" s="1"/>
  <c r="BA476" i="3"/>
  <c r="BL476" i="3"/>
  <c r="BL477" i="3"/>
  <c r="BL478" i="3"/>
  <c r="BL484" i="3"/>
  <c r="BA486" i="3"/>
  <c r="BA319" i="3"/>
  <c r="AZ319" i="3" s="1"/>
  <c r="BA331" i="3"/>
  <c r="AZ331" i="3" s="1"/>
  <c r="BL186" i="3"/>
  <c r="BA22" i="3"/>
  <c r="BA25" i="3"/>
  <c r="G32" i="3"/>
  <c r="BL34" i="3"/>
  <c r="BA40" i="3"/>
  <c r="BA55" i="3"/>
  <c r="BA62" i="3"/>
  <c r="G400" i="3"/>
  <c r="BA402" i="3"/>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AZ437" i="3" s="1"/>
  <c r="BL437" i="3"/>
  <c r="G439" i="3"/>
  <c r="G440" i="3"/>
  <c r="BL443" i="3"/>
  <c r="G448" i="3"/>
  <c r="G452" i="3"/>
  <c r="G453" i="3"/>
  <c r="G457" i="3"/>
  <c r="BA458" i="3"/>
  <c r="G461" i="3"/>
  <c r="BA462" i="3"/>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AZ194" i="3" s="1"/>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AZ102"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J53" i="67"/>
  <c r="J57" i="67"/>
  <c r="J55" i="67" s="1"/>
  <c r="J58" i="67" s="1"/>
  <c r="Q50" i="67" s="1"/>
  <c r="L56" i="67"/>
  <c r="I54" i="67"/>
  <c r="F66" i="67"/>
  <c r="L59" i="15"/>
  <c r="N59" i="15"/>
  <c r="M59" i="15"/>
  <c r="F66" i="15"/>
  <c r="Q71" i="67"/>
  <c r="F64" i="15"/>
  <c r="C27" i="67"/>
  <c r="F71" i="67"/>
  <c r="F65" i="15"/>
  <c r="B13" i="70"/>
  <c r="M7" i="67"/>
  <c r="F50" i="67"/>
  <c r="F68" i="67"/>
  <c r="F64" i="67"/>
  <c r="F68" i="15"/>
  <c r="C36" i="68"/>
  <c r="D9" i="69"/>
  <c r="D9" i="68"/>
  <c r="D7" i="73"/>
  <c r="D4" i="73"/>
  <c r="F37" i="67"/>
  <c r="D3" i="73"/>
  <c r="F8" i="15"/>
  <c r="F26" i="15"/>
  <c r="L48" i="15"/>
  <c r="M8" i="67"/>
  <c r="M26" i="67"/>
  <c r="M28" i="15"/>
  <c r="M22" i="15"/>
  <c r="M6" i="67"/>
  <c r="L47" i="67"/>
  <c r="M9" i="15"/>
  <c r="D5" i="73"/>
  <c r="M29" i="67"/>
  <c r="C16" i="67"/>
  <c r="F42" i="15"/>
  <c r="C76" i="15"/>
  <c r="AZ403" i="3" l="1"/>
  <c r="AZ421" i="3"/>
  <c r="AA44" i="39"/>
  <c r="S44" i="39"/>
  <c r="AZ87" i="3"/>
  <c r="AZ41" i="3"/>
  <c r="AZ126" i="3"/>
  <c r="AZ271" i="3"/>
  <c r="AZ462" i="3"/>
  <c r="AZ121" i="3"/>
  <c r="AC38" i="40"/>
  <c r="W38" i="40"/>
  <c r="AZ402" i="3"/>
  <c r="AZ400" i="3"/>
  <c r="AC9" i="36"/>
  <c r="W9" i="36"/>
  <c r="AC9" i="34"/>
  <c r="W9" i="34"/>
  <c r="C27" i="15"/>
  <c r="Q71" i="15"/>
  <c r="F65" i="67"/>
  <c r="F51" i="15"/>
  <c r="J57" i="15"/>
  <c r="J55" i="15" s="1"/>
  <c r="J58" i="15" s="1"/>
  <c r="Q50" i="15" s="1"/>
  <c r="I54" i="15"/>
  <c r="L58" i="15"/>
  <c r="Q73" i="15" s="1"/>
  <c r="J53" i="15"/>
  <c r="L56" i="15" s="1"/>
  <c r="L59" i="67"/>
  <c r="Q61" i="67" s="1"/>
  <c r="L58" i="67"/>
  <c r="Q73" i="67" s="1"/>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J18" i="67" s="1"/>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499" i="3"/>
  <c r="R6" i="3"/>
  <c r="E541" i="3"/>
  <c r="I3" i="6"/>
  <c r="E435" i="3"/>
  <c r="E479" i="3"/>
  <c r="E192" i="3"/>
  <c r="E292" i="3"/>
  <c r="E363" i="3"/>
  <c r="E76" i="3"/>
  <c r="E59" i="3"/>
  <c r="E425" i="3"/>
  <c r="E46" i="3"/>
  <c r="E160" i="3"/>
  <c r="E249" i="3"/>
  <c r="E492" i="3"/>
  <c r="E23" i="3"/>
  <c r="E84" i="3"/>
  <c r="E184" i="3"/>
  <c r="E355" i="3"/>
  <c r="E68" i="3"/>
  <c r="E264" i="3"/>
  <c r="E513" i="3"/>
  <c r="E21" i="3"/>
  <c r="E332" i="3"/>
  <c r="E391" i="3"/>
  <c r="E42" i="3"/>
  <c r="E96" i="3"/>
  <c r="E129" i="3"/>
  <c r="E383" i="3"/>
  <c r="E86" i="3"/>
  <c r="E251" i="3"/>
  <c r="AF6" i="3"/>
  <c r="E308" i="3"/>
  <c r="E205" i="3"/>
  <c r="E140" i="3"/>
  <c r="E534" i="3"/>
  <c r="T6" i="3"/>
  <c r="E469" i="3"/>
  <c r="E451" i="3"/>
  <c r="E556" i="3"/>
  <c r="E497" i="3"/>
  <c r="E470" i="3"/>
  <c r="E420" i="3"/>
  <c r="E26" i="3"/>
  <c r="E115" i="3"/>
  <c r="E225" i="3"/>
  <c r="E356" i="3"/>
  <c r="E412" i="3"/>
  <c r="E190" i="3"/>
  <c r="E220" i="3"/>
  <c r="E35" i="3"/>
  <c r="E49" i="3"/>
  <c r="E232" i="3"/>
  <c r="E158" i="3"/>
  <c r="E326" i="3"/>
  <c r="E329" i="3"/>
  <c r="E188" i="3"/>
  <c r="E116" i="3"/>
  <c r="E105" i="3"/>
  <c r="E564" i="3"/>
  <c r="E543" i="3"/>
  <c r="E427" i="3"/>
  <c r="E422" i="3"/>
  <c r="E440" i="3"/>
  <c r="E376" i="3"/>
  <c r="J6" i="3"/>
  <c r="E419" i="3"/>
  <c r="E401" i="3"/>
  <c r="E25" i="3"/>
  <c r="E108" i="3"/>
  <c r="E178" i="3"/>
  <c r="E276" i="3"/>
  <c r="E346" i="3"/>
  <c r="E372" i="3"/>
  <c r="E60" i="3"/>
  <c r="E540" i="3"/>
  <c r="E473" i="3"/>
  <c r="E79" i="3"/>
  <c r="E38" i="3"/>
  <c r="E170" i="3"/>
  <c r="E234" i="3"/>
  <c r="E299" i="3"/>
  <c r="E325" i="3"/>
  <c r="AQ6" i="3"/>
  <c r="E36" i="3"/>
  <c r="E112" i="3"/>
  <c r="E289" i="3"/>
  <c r="E340" i="3"/>
  <c r="E364" i="3"/>
  <c r="E62" i="3"/>
  <c r="E176" i="3"/>
  <c r="E265" i="3"/>
  <c r="E524" i="3"/>
  <c r="E165" i="3"/>
  <c r="E141" i="3"/>
  <c r="E566" i="3"/>
  <c r="E460" i="3"/>
  <c r="E90" i="3"/>
  <c r="E58" i="3"/>
  <c r="E521" i="3"/>
  <c r="E386"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M11" i="67"/>
  <c r="J10" i="67" s="1"/>
  <c r="F11" i="15"/>
  <c r="M11" i="15"/>
  <c r="J10" i="15" s="1"/>
  <c r="F11" i="67"/>
  <c r="F1" i="67"/>
  <c r="Q52" i="67"/>
  <c r="Q60" i="15"/>
  <c r="Q74" i="67"/>
  <c r="Q74" i="15"/>
  <c r="Q61" i="15"/>
  <c r="AE11" i="1"/>
  <c r="AE9" i="1"/>
  <c r="AE7" i="1"/>
  <c r="AE8" i="1"/>
  <c r="AE12" i="1"/>
  <c r="AE10" i="1"/>
  <c r="F41" i="67"/>
  <c r="G1" i="73"/>
  <c r="Q60" i="67" l="1"/>
  <c r="J5" i="67"/>
  <c r="E212" i="3"/>
  <c r="E466" i="3"/>
  <c r="E517" i="3"/>
  <c r="E152" i="3"/>
  <c r="E349" i="3"/>
  <c r="E484" i="3"/>
  <c r="E103" i="3"/>
  <c r="E371" i="3"/>
  <c r="E33" i="3"/>
  <c r="E381" i="3"/>
  <c r="E283" i="3"/>
  <c r="E281" i="3"/>
  <c r="E75" i="3"/>
  <c r="E174" i="3"/>
  <c r="E206" i="3"/>
  <c r="E287" i="3"/>
  <c r="E197"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E55" i="3"/>
  <c r="E274" i="3"/>
  <c r="F67" i="39"/>
  <c r="AZ5" i="3"/>
  <c r="AY6" i="3" s="1"/>
  <c r="AY66" i="3" s="1"/>
  <c r="E24" i="3"/>
  <c r="E348" i="3"/>
  <c r="E552" i="3"/>
  <c r="E365" i="3"/>
  <c r="E20" i="3"/>
  <c r="E123" i="3"/>
  <c r="E392" i="3"/>
  <c r="E194" i="3"/>
  <c r="E15" i="3"/>
  <c r="L6" i="3"/>
  <c r="E226" i="3"/>
  <c r="E463" i="3"/>
  <c r="AH6" i="3"/>
  <c r="E507" i="3"/>
  <c r="E393" i="3"/>
  <c r="E16" i="3"/>
  <c r="E80" i="3"/>
  <c r="E324" i="3"/>
  <c r="E428" i="3"/>
  <c r="E41" i="3"/>
  <c r="E13" i="3"/>
  <c r="E512" i="3"/>
  <c r="E525" i="3"/>
  <c r="E113" i="3"/>
  <c r="E522" i="3"/>
  <c r="E482" i="3"/>
  <c r="E494" i="3"/>
  <c r="E81" i="3"/>
  <c r="E144" i="3"/>
  <c r="E300" i="3"/>
  <c r="E467" i="3"/>
  <c r="E544" i="3"/>
  <c r="E56" i="3"/>
  <c r="E255" i="3"/>
  <c r="E199" i="3"/>
  <c r="F1" i="15"/>
  <c r="Q52" i="15"/>
  <c r="D89" i="43"/>
  <c r="J89" i="43"/>
  <c r="N83" i="43"/>
  <c r="D83" i="43"/>
  <c r="T60" i="71"/>
  <c r="D60" i="71"/>
  <c r="U7" i="36"/>
  <c r="D86" i="43"/>
  <c r="J86" i="43"/>
  <c r="E539" i="3"/>
  <c r="F19" i="6"/>
  <c r="D90" i="43"/>
  <c r="J90" i="43"/>
  <c r="D88" i="43"/>
  <c r="J88" i="43"/>
  <c r="C21" i="71"/>
  <c r="D22" i="71"/>
  <c r="D87" i="43"/>
  <c r="J87" i="43"/>
  <c r="D84" i="43"/>
  <c r="J84" i="43"/>
  <c r="D26" i="43"/>
  <c r="C25" i="43"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34" i="3"/>
  <c r="AY23" i="3"/>
  <c r="AY144" i="3"/>
  <c r="AY155" i="3"/>
  <c r="AY95" i="3"/>
  <c r="AY59" i="3"/>
  <c r="AY152" i="3"/>
  <c r="AY131" i="3"/>
  <c r="AY111" i="3"/>
  <c r="AY58" i="3"/>
  <c r="AY253" i="3"/>
  <c r="AY268" i="3"/>
  <c r="AY382" i="3"/>
  <c r="AY371" i="3"/>
  <c r="AY303" i="3"/>
  <c r="AY103" i="3"/>
  <c r="AY196" i="3"/>
  <c r="AY160" i="3"/>
  <c r="AY74" i="3"/>
  <c r="AY183" i="3"/>
  <c r="AY204" i="3"/>
  <c r="AY284" i="3"/>
  <c r="AY363" i="3"/>
  <c r="AY319" i="3"/>
  <c r="AY470" i="3"/>
  <c r="AY460"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AE6" i="1"/>
  <c r="M27" i="15"/>
  <c r="M27" i="67"/>
  <c r="AY149" i="3" l="1"/>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E3" i="6"/>
  <c r="AY441" i="3"/>
  <c r="AY473" i="3"/>
  <c r="AY209" i="3"/>
  <c r="AY261" i="3"/>
  <c r="AY289" i="3"/>
  <c r="AY50" i="3"/>
  <c r="AY335" i="3"/>
  <c r="AY225" i="3"/>
  <c r="AY297" i="3"/>
  <c r="AY276" i="3"/>
  <c r="AY188" i="3"/>
  <c r="AY115" i="3"/>
  <c r="AY176" i="3"/>
  <c r="D21" i="7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S11" i="1"/>
  <c r="E11" i="70" s="1"/>
  <c r="S9" i="1"/>
  <c r="S7" i="1"/>
  <c r="E7" i="70" s="1"/>
  <c r="S10" i="1"/>
  <c r="E10" i="70" s="1"/>
  <c r="S12" i="1"/>
  <c r="D25" i="6"/>
  <c r="D15" i="6"/>
  <c r="D22" i="6"/>
  <c r="D21" i="6"/>
  <c r="D24" i="6"/>
  <c r="D20" i="6"/>
  <c r="M19" i="9"/>
  <c r="C118" i="9" s="1"/>
  <c r="B2" i="74" s="1"/>
  <c r="D26" i="6"/>
  <c r="D8" i="6"/>
  <c r="D14"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F41" i="15"/>
  <c r="C17" i="67"/>
  <c r="C14" i="67"/>
  <c r="F6" i="15"/>
  <c r="F69" i="15" l="1"/>
  <c r="I54" i="34"/>
  <c r="J54" i="34" s="1"/>
  <c r="B14" i="74"/>
  <c r="D14" i="12"/>
  <c r="D17" i="12" s="1"/>
  <c r="C17" i="12" s="1"/>
  <c r="L18" i="9"/>
  <c r="D3" i="21"/>
  <c r="M18" i="9"/>
  <c r="B118" i="9" s="1"/>
  <c r="B1" i="74" s="1"/>
  <c r="C17" i="4"/>
  <c r="B4" i="52" s="1"/>
  <c r="B43" i="72" s="1"/>
  <c r="D3" i="34"/>
  <c r="E6" i="6"/>
  <c r="D37" i="11"/>
  <c r="D19" i="11"/>
  <c r="C19" i="11" s="1"/>
  <c r="C20" i="11" s="1"/>
  <c r="C25" i="11" s="1"/>
  <c r="D3" i="37"/>
  <c r="D3" i="3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s="1"/>
  <c r="F34" i="40"/>
  <c r="J34" i="40"/>
  <c r="H34" i="40"/>
  <c r="C44" i="11"/>
  <c r="D41" i="11" s="1"/>
  <c r="E53" i="34"/>
  <c r="F53" i="34" s="1"/>
  <c r="C26" i="11"/>
  <c r="D22" i="11" s="1"/>
  <c r="C44" i="68"/>
  <c r="D41" i="68" s="1"/>
  <c r="C26" i="68"/>
  <c r="D22" i="68" s="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4" i="52"/>
  <c r="B45" i="72" s="1"/>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A10" i="51" l="1"/>
  <c r="B9" i="72" s="1"/>
  <c r="A7" i="51"/>
  <c r="B7" i="72" s="1"/>
  <c r="D10" i="68"/>
  <c r="D6" i="6"/>
  <c r="D20" i="12"/>
  <c r="C20" i="12" s="1"/>
  <c r="D10" i="69"/>
  <c r="D10" i="11"/>
  <c r="C10" i="11" s="1"/>
  <c r="F71" i="15"/>
  <c r="M7" i="15"/>
  <c r="J6" i="15" s="1"/>
  <c r="F50" i="15"/>
  <c r="C49" i="15" s="1"/>
  <c r="C48" i="15" s="1"/>
  <c r="C6" i="15"/>
  <c r="AC34" i="40"/>
  <c r="W34" i="40"/>
  <c r="K26" i="6"/>
  <c r="M26" i="6" s="1"/>
  <c r="I26" i="6" s="1"/>
  <c r="K21" i="6"/>
  <c r="K27" i="6" s="1"/>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M19" i="6"/>
  <c r="E38" i="43"/>
  <c r="G38" i="43"/>
  <c r="I38" i="43" s="1"/>
  <c r="E33" i="43"/>
  <c r="C34" i="43"/>
  <c r="E34" i="43" s="1"/>
  <c r="C22" i="11"/>
  <c r="C19" i="67"/>
  <c r="C20" i="67" s="1"/>
  <c r="C26" i="67" s="1"/>
  <c r="C36" i="11"/>
  <c r="C37" i="11"/>
  <c r="C23" i="12"/>
  <c r="C14" i="12"/>
  <c r="C16" i="12" s="1"/>
  <c r="C19" i="68"/>
  <c r="I5" i="6"/>
  <c r="I6" i="6"/>
  <c r="I69" i="39"/>
  <c r="J67" i="39"/>
  <c r="I63" i="40"/>
  <c r="H65" i="40"/>
  <c r="I58" i="21"/>
  <c r="J58" i="21" s="1"/>
  <c r="K58" i="21" s="1"/>
  <c r="L58" i="21" s="1"/>
  <c r="M58" i="21" s="1"/>
  <c r="N58" i="21" s="1"/>
  <c r="O58" i="21" s="1"/>
  <c r="H7" i="21" s="1"/>
  <c r="J48" i="35"/>
  <c r="C17" i="15"/>
  <c r="C16" i="15"/>
  <c r="C10" i="69" l="1"/>
  <c r="C8" i="69" s="1"/>
  <c r="C5" i="69" s="1"/>
  <c r="C23" i="69" s="1"/>
  <c r="D19" i="69"/>
  <c r="D19" i="68"/>
  <c r="D37" i="68" s="1"/>
  <c r="C37" i="68" s="1"/>
  <c r="C10" i="68"/>
  <c r="B29" i="1" s="1"/>
  <c r="C30" i="43"/>
  <c r="B2" i="43"/>
  <c r="C38" i="69"/>
  <c r="C35" i="69"/>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F7" i="21"/>
  <c r="S7" i="21" s="1"/>
  <c r="J7" i="21"/>
  <c r="AC7" i="21" s="1"/>
  <c r="V48" i="21" s="1"/>
  <c r="I48" i="21" s="1"/>
  <c r="C23" i="67"/>
  <c r="C29" i="67" s="1"/>
  <c r="J59" i="67" s="1"/>
  <c r="J60" i="67" s="1"/>
  <c r="Q48" i="67" s="1"/>
  <c r="C24" i="68"/>
  <c r="J69" i="39"/>
  <c r="K67" i="39"/>
  <c r="U7" i="21"/>
  <c r="AB7" i="21"/>
  <c r="T48" i="21" s="1"/>
  <c r="G48" i="21" s="1"/>
  <c r="J63" i="40"/>
  <c r="I65" i="40"/>
  <c r="K48" i="35"/>
  <c r="L48" i="35" s="1"/>
  <c r="M48" i="35" s="1"/>
  <c r="N48" i="35" s="1"/>
  <c r="O48" i="35" s="1"/>
  <c r="H7" i="35" s="1"/>
  <c r="B6" i="76"/>
  <c r="C14" i="15"/>
  <c r="E6" i="76"/>
  <c r="C8" i="68" l="1"/>
  <c r="C18" i="12"/>
  <c r="C21" i="12" s="1"/>
  <c r="C22" i="12" s="1"/>
  <c r="D37" i="69"/>
  <c r="C37" i="69" s="1"/>
  <c r="C33" i="69" s="1"/>
  <c r="C39" i="69" s="1"/>
  <c r="C43" i="69" s="1"/>
  <c r="C19" i="69"/>
  <c r="E2" i="76"/>
  <c r="B2" i="76"/>
  <c r="C18" i="15"/>
  <c r="C15" i="15"/>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W7" i="21"/>
  <c r="AA7" i="21"/>
  <c r="R48" i="21" s="1"/>
  <c r="J7" i="35"/>
  <c r="W7" i="35" s="1"/>
  <c r="Q49" i="67"/>
  <c r="J14" i="67"/>
  <c r="J13" i="67" s="1"/>
  <c r="J23" i="67" s="1"/>
  <c r="C36" i="67"/>
  <c r="C57" i="67"/>
  <c r="C64" i="67" s="1"/>
  <c r="C13" i="67"/>
  <c r="Q70" i="67" s="1"/>
  <c r="C61" i="67"/>
  <c r="L67" i="39"/>
  <c r="K69" i="39"/>
  <c r="J65" i="40"/>
  <c r="K63" i="40"/>
  <c r="I52" i="21"/>
  <c r="J52" i="21" s="1"/>
  <c r="U7" i="35"/>
  <c r="AB7" i="35"/>
  <c r="T38" i="35" s="1"/>
  <c r="G38" i="35" s="1"/>
  <c r="R49" i="21"/>
  <c r="E48" i="21"/>
  <c r="G52" i="21"/>
  <c r="H52" i="21" s="1"/>
  <c r="G53" i="21"/>
  <c r="H53" i="21" s="1"/>
  <c r="F7" i="35"/>
  <c r="M21" i="67"/>
  <c r="F35" i="67"/>
  <c r="C24" i="69" l="1"/>
  <c r="C20" i="69"/>
  <c r="C27" i="12"/>
  <c r="C25" i="12" s="1"/>
  <c r="C32" i="12" s="1"/>
  <c r="B2" i="12" s="1"/>
  <c r="B3" i="12" s="1"/>
  <c r="C19" i="15"/>
  <c r="C20" i="15" s="1"/>
  <c r="C26" i="15" s="1"/>
  <c r="C42" i="69"/>
  <c r="C41" i="69" s="1"/>
  <c r="C46" i="69"/>
  <c r="C45" i="69" s="1"/>
  <c r="B3" i="76"/>
  <c r="C35" i="11"/>
  <c r="C38" i="11"/>
  <c r="D16" i="71"/>
  <c r="U16" i="71" s="1"/>
  <c r="C15" i="71"/>
  <c r="T16" i="71"/>
  <c r="S27" i="6"/>
  <c r="C31" i="11"/>
  <c r="C38" i="68"/>
  <c r="C35" i="68"/>
  <c r="C23" i="68"/>
  <c r="C20" i="68"/>
  <c r="H27" i="6"/>
  <c r="R19" i="6"/>
  <c r="F50" i="68"/>
  <c r="F50" i="69"/>
  <c r="F50" i="11"/>
  <c r="AC7" i="35"/>
  <c r="V38" i="35" s="1"/>
  <c r="I38" i="35" s="1"/>
  <c r="G43" i="35" s="1"/>
  <c r="H43" i="35" s="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I53" i="21"/>
  <c r="J53" i="21" s="1"/>
  <c r="K65" i="40"/>
  <c r="L63" i="40"/>
  <c r="C23" i="15" l="1"/>
  <c r="C29" i="15" s="1"/>
  <c r="C57" i="15" s="1"/>
  <c r="C28" i="69"/>
  <c r="C27" i="69" s="1"/>
  <c r="C25" i="69"/>
  <c r="C22" i="69" s="1"/>
  <c r="J59" i="15"/>
  <c r="J60" i="15" s="1"/>
  <c r="Q48" i="15" s="1"/>
  <c r="C49" i="69"/>
  <c r="C51" i="69" s="1"/>
  <c r="C33" i="68"/>
  <c r="C42" i="68" s="1"/>
  <c r="C36" i="15"/>
  <c r="C28" i="68"/>
  <c r="C27" i="68" s="1"/>
  <c r="C25" i="68"/>
  <c r="C22" i="68" s="1"/>
  <c r="C14" i="71"/>
  <c r="D15" i="71"/>
  <c r="R27" i="6"/>
  <c r="R6" i="1"/>
  <c r="C33" i="11"/>
  <c r="I42" i="35"/>
  <c r="J42" i="35" s="1"/>
  <c r="C58" i="67"/>
  <c r="C67" i="67" s="1"/>
  <c r="C68" i="67" s="1"/>
  <c r="C71" i="67" s="1"/>
  <c r="J16" i="67"/>
  <c r="J25" i="67" s="1"/>
  <c r="J26" i="67" s="1"/>
  <c r="J29" i="67" s="1"/>
  <c r="C30" i="67"/>
  <c r="C39" i="67" s="1"/>
  <c r="Q69" i="67" s="1"/>
  <c r="Q68" i="67" s="1"/>
  <c r="C61" i="15"/>
  <c r="C64" i="15"/>
  <c r="M69" i="39"/>
  <c r="N67" i="39"/>
  <c r="R39" i="35"/>
  <c r="E38" i="35"/>
  <c r="M63" i="40"/>
  <c r="L65" i="40"/>
  <c r="M21" i="15"/>
  <c r="F35" i="15"/>
  <c r="D2" i="21"/>
  <c r="Q49" i="15" l="1"/>
  <c r="C13" i="15"/>
  <c r="C37" i="15" s="1"/>
  <c r="C31" i="69"/>
  <c r="C52" i="69" s="1"/>
  <c r="B2" i="69" s="1"/>
  <c r="B3" i="69" s="1"/>
  <c r="J14" i="15"/>
  <c r="J13" i="15" s="1"/>
  <c r="J23" i="15" s="1"/>
  <c r="C39" i="68"/>
  <c r="C43" i="68" s="1"/>
  <c r="C41" i="68" s="1"/>
  <c r="C31" i="68"/>
  <c r="C34" i="15"/>
  <c r="C31" i="15" s="1"/>
  <c r="F63" i="15"/>
  <c r="C62" i="15" s="1"/>
  <c r="C59" i="15" s="1"/>
  <c r="J20" i="15"/>
  <c r="J17" i="15" s="1"/>
  <c r="C39" i="11"/>
  <c r="C43" i="11" s="1"/>
  <c r="C42" i="11"/>
  <c r="C46" i="11"/>
  <c r="C45" i="11" s="1"/>
  <c r="D14" i="71"/>
  <c r="C13" i="71"/>
  <c r="R16" i="1"/>
  <c r="C80" i="67"/>
  <c r="C79" i="67" s="1"/>
  <c r="C40" i="67"/>
  <c r="C45" i="67" s="1"/>
  <c r="B2" i="21"/>
  <c r="B3" i="21" s="1"/>
  <c r="O67" i="39"/>
  <c r="O69" i="39" s="1"/>
  <c r="N69" i="39"/>
  <c r="F7" i="39" s="1"/>
  <c r="C39" i="35"/>
  <c r="C38" i="35"/>
  <c r="N63" i="40"/>
  <c r="M65" i="40"/>
  <c r="E43" i="35"/>
  <c r="F43" i="35" s="1"/>
  <c r="E42" i="35"/>
  <c r="F42" i="35" s="1"/>
  <c r="I43" i="35"/>
  <c r="J43" i="35" s="1"/>
  <c r="D2" i="33"/>
  <c r="L51" i="67"/>
  <c r="C56" i="15" l="1"/>
  <c r="C65" i="15" s="1"/>
  <c r="C30" i="15"/>
  <c r="C39" i="15" s="1"/>
  <c r="C40" i="15" s="1"/>
  <c r="J22" i="15"/>
  <c r="J16" i="15" s="1"/>
  <c r="J25" i="15" s="1"/>
  <c r="J26" i="15" s="1"/>
  <c r="J29" i="15" s="1"/>
  <c r="C57" i="69"/>
  <c r="C56" i="69" s="1"/>
  <c r="Q70" i="15"/>
  <c r="C75" i="15"/>
  <c r="C58" i="15"/>
  <c r="C67" i="15" s="1"/>
  <c r="C68" i="15" s="1"/>
  <c r="C71" i="15" s="1"/>
  <c r="C46" i="68"/>
  <c r="C45" i="68" s="1"/>
  <c r="C49" i="68" s="1"/>
  <c r="C51" i="68" s="1"/>
  <c r="C52" i="68" s="1"/>
  <c r="B2" i="68" s="1"/>
  <c r="C41" i="11"/>
  <c r="C49" i="11" s="1"/>
  <c r="C51" i="11" s="1"/>
  <c r="Q69" i="15"/>
  <c r="D13" i="71"/>
  <c r="C12"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7"/>
  <c r="D2" i="35"/>
  <c r="D2" i="34"/>
  <c r="D2" i="36"/>
  <c r="C19" i="9"/>
  <c r="L51" i="15"/>
  <c r="Q68" i="15" l="1"/>
  <c r="C46" i="15"/>
  <c r="C57" i="68"/>
  <c r="C56" i="68" s="1"/>
  <c r="C102" i="9"/>
  <c r="C21" i="9"/>
  <c r="B3" i="68"/>
  <c r="C52" i="11"/>
  <c r="B2" i="11" s="1"/>
  <c r="B3"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8" i="1"/>
  <c r="AO10" i="1"/>
  <c r="D35" i="9"/>
  <c r="AO7" i="1"/>
  <c r="D34" i="9"/>
  <c r="AO9" i="1"/>
  <c r="C20" i="9"/>
  <c r="C56" i="11" l="1"/>
  <c r="C57" i="11" s="1"/>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l="1"/>
  <c r="M69" i="9"/>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<sst xmlns="http://schemas.openxmlformats.org/spreadsheetml/2006/main" count="8559" uniqueCount="3692">
  <si>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</si>
  <si>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</si>
  <si>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</si>
  <si>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</si>
  <si>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</si>
  <si>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</si>
  <si>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</si>
  <si>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</si>
  <si>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</si>
  <si>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</si>
  <si>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</si>
  <si>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</si>
  <si>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</si>
  <si>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</si>
  <si>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</si>
  <si>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</si>
  <si>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</si>
  <si>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</si>
  <si>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</si>
  <si>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</si>
  <si>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</si>
  <si>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</si>
  <si>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</si>
  <si>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</si>
  <si>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</si>
  <si>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</si>
  <si>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</si>
  <si>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</si>
  <si>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</si>
  <si>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</si>
  <si>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</si>
  <si>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</si>
  <si>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</si>
  <si>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</si>
  <si>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</si>
  <si>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</si>
  <si>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</si>
  <si>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</si>
  <si>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</si>
  <si>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</si>
  <si>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</si>
  <si>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</si>
  <si>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</si>
  <si>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</si>
  <si>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</si>
  <si>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</si>
  <si>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</si>
  <si>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</si>
  <si>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</si>
  <si>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</si>
  <si>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</si>
  <si>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</si>
  <si>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</si>
  <si>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</si>
  <si>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</si>
  <si>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</si>
  <si>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</si>
  <si>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</si>
  <si>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</si>
  <si>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</si>
  <si>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</si>
  <si>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</si>
  <si>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</si>
  <si>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</si>
  <si>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</si>
  <si>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</si>
  <si>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</si>
  <si>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</si>
  <si>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</si>
  <si>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</si>
  <si>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</si>
  <si>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</si>
  <si>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</si>
  <si>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</si>
  <si>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</si>
  <si>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</si>
  <si>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</si>
  <si>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</si>
  <si>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</si>
  <si>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</si>
  <si>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</si>
  <si>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</si>
  <si>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</si>
  <si>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</si>
  <si>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</si>
  <si>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</si>
  <si>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</si>
  <si>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</si>
  <si>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</si>
  <si>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</si>
  <si>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</si>
  <si>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</si>
  <si>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</si>
  <si>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</si>
  <si>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</si>
  <si>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</si>
  <si>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</si>
  <si>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</si>
  <si>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</si>
  <si>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</si>
  <si>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</si>
  <si>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</si>
  <si>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</si>
  <si>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</si>
  <si>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</si>
  <si>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</si>
  <si>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</si>
  <si>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</si>
  <si>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</si>
  <si>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</si>
  <si>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</si>
  <si>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</si>
  <si>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</si>
  <si>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</si>
  <si>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</si>
  <si>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</si>
  <si>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</si>
  <si>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</si>
  <si>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</si>
  <si>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</si>
  <si>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</si>
  <si>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</si>
  <si>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</si>
  <si>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</si>
  <si>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</si>
  <si>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</si>
  <si>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</si>
  <si>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</si>
  <si>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</si>
  <si>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</si>
  <si>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</si>
  <si>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</si>
  <si>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</si>
  <si>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</si>
  <si>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</si>
  <si>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</si>
  <si>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</si>
  <si>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</si>
  <si>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</si>
  <si>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</si>
  <si>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</si>
  <si>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</si>
  <si>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</si>
  <si>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</si>
  <si>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</si>
  <si>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</si>
  <si>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</si>
  <si>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</si>
  <si>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</si>
  <si>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</si>
  <si>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</si>
  <si>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</si>
  <si>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</si>
  <si>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</si>
  <si>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</si>
  <si>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</si>
  <si>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</si>
  <si>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</si>
  <si>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</si>
  <si>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</si>
  <si>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</si>
  <si>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</si>
  <si>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</si>
  <si>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</si>
  <si>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</si>
  <si>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</si>
  <si>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</si>
  <si>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</si>
  <si>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</si>
  <si>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</si>
  <si>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</si>
  <si>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</si>
  <si>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</si>
  <si>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</si>
  <si>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</si>
  <si>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</si>
  <si>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</si>
  <si>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</si>
  <si>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</si>
  <si>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</si>
  <si>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</si>
  <si>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</si>
  <si>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</si>
  <si>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</si>
  <si>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</si>
  <si>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</si>
  <si>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</si>
  <si>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</si>
  <si>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</si>
  <si>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</si>
  <si>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</si>
  <si>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</si>
  <si>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</si>
  <si>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</si>
  <si>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</si>
  <si>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</si>
  <si>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</si>
  <si>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</si>
  <si>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</si>
  <si>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</si>
  <si>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</si>
  <si>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</si>
  <si>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</si>
  <si>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</si>
  <si>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</si>
  <si>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</si>
  <si>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</si>
  <si>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</si>
  <si>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</si>
  <si>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</si>
  <si>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</si>
  <si>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</si>
  <si>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</si>
  <si>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</si>
  <si>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</si>
  <si>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</si>
  <si>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</si>
  <si>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</si>
  <si>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</si>
  <si>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</si>
  <si>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</si>
  <si>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</si>
  <si>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</si>
  <si>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</si>
  <si>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</si>
  <si>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</si>
  <si>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</si>
  <si>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</si>
  <si>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</si>
  <si>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</si>
  <si>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</si>
  <si>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</si>
  <si>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</si>
  <si>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</si>
  <si>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</si>
  <si>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</si>
  <si>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</si>
  <si>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</si>
  <si>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</si>
  <si>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</si>
  <si>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</si>
  <si>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</si>
  <si>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</si>
  <si>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</si>
  <si>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</si>
  <si>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</si>
  <si>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</si>
  <si>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</si>
  <si>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</si>
  <si>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</si>
  <si>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</si>
  <si>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</si>
  <si>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</si>
  <si>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</si>
  <si>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</si>
  <si>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</si>
  <si>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</si>
  <si>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</si>
  <si>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</si>
  <si>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</si>
  <si>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</si>
  <si>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</si>
  <si>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</si>
  <si>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</si>
  <si>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</si>
  <si>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</si>
  <si>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</si>
  <si>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</si>
  <si>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</si>
  <si>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</si>
  <si>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</si>
  <si>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</si>
  <si>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</si>
  <si>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</si>
  <si>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</si>
  <si>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</si>
  <si>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</si>
  <si>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</si>
  <si>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</si>
  <si>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</si>
  <si>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</si>
  <si>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</si>
  <si>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</si>
  <si>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</si>
  <si>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</si>
  <si>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</si>
  <si>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</si>
  <si>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</si>
  <si>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</si>
  <si>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</si>
  <si>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</si>
  <si>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</si>
  <si>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</si>
  <si>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</si>
  <si>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</si>
  <si>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</si>
  <si>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</si>
  <si>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</si>
  <si>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</si>
  <si>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</si>
  <si>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</si>
  <si>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</si>
  <si>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</si>
  <si>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</si>
  <si>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</si>
  <si>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</si>
  <si>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</si>
  <si>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</si>
  <si>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</si>
  <si>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</si>
  <si>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</si>
  <si>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</si>
  <si>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</si>
  <si>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</si>
  <si>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</si>
  <si>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</si>
  <si>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</si>
  <si>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</si>
  <si>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</si>
  <si>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</si>
  <si>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</si>
  <si>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</si>
  <si>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</si>
  <si>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</si>
  <si>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</si>
  <si>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</si>
  <si>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</si>
  <si>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</si>
  <si>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</si>
  <si>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</si>
  <si>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</si>
  <si>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</si>
  <si>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</si>
  <si>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</si>
  <si>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</si>
  <si>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</si>
  <si>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</si>
  <si>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</si>
  <si>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</si>
  <si>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</si>
  <si>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</si>
  <si>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</si>
  <si>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</si>
  <si>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</si>
  <si>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</si>
  <si>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</si>
  <si>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</si>
  <si>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</si>
  <si>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</si>
  <si>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</si>
  <si>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</si>
  <si>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</si>
  <si>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</si>
  <si>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</si>
  <si>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</si>
  <si>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</si>
  <si>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</si>
  <si>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</si>
  <si>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</si>
  <si>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</si>
  <si>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</si>
  <si>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</si>
  <si>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</si>
  <si>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</si>
  <si>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</si>
  <si>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</si>
  <si>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</si>
  <si>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</si>
  <si>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</si>
  <si>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</si>
  <si>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</si>
  <si>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</si>
  <si>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</si>
  <si>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</si>
  <si>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</si>
  <si>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</si>
  <si>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</si>
  <si>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</si>
  <si>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</si>
  <si>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</si>
  <si>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</si>
  <si>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</si>
  <si>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</si>
  <si>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</si>
  <si>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</si>
  <si>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</si>
  <si>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</si>
  <si>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</si>
  <si>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</si>
  <si>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</si>
  <si>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</si>
  <si>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</si>
  <si>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</si>
  <si>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</si>
  <si>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</si>
  <si>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</si>
  <si>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</si>
  <si>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</si>
  <si>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</si>
  <si>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</si>
  <si>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</si>
  <si>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</si>
  <si>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</si>
  <si>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</si>
  <si>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</si>
  <si>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</si>
  <si>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</si>
  <si>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</si>
  <si>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</si>
  <si>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</si>
  <si>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</si>
  <si>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</si>
  <si>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</si>
  <si>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</si>
  <si>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</si>
  <si>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</si>
  <si>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</si>
  <si>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</si>
  <si>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</si>
  <si>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</si>
  <si>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</si>
  <si>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</si>
  <si>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</si>
  <si>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</si>
  <si>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</si>
  <si>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</si>
  <si>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</si>
  <si>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</si>
  <si>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</si>
  <si>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</si>
  <si>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</si>
  <si>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</si>
  <si>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</si>
  <si>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</si>
  <si>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</si>
  <si>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</si>
  <si>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</si>
  <si>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</si>
  <si>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</si>
  <si>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</si>
  <si>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</si>
  <si>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</si>
  <si>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</si>
  <si>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</si>
  <si>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</si>
  <si>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</si>
  <si>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</si>
  <si>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</si>
  <si>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</si>
  <si>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</si>
  <si>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</si>
  <si>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</si>
  <si>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</si>
  <si>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</si>
  <si>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</si>
  <si>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</si>
  <si>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</si>
  <si>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</si>
  <si>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</si>
  <si>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</si>
  <si>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</si>
  <si>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</si>
  <si>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</si>
  <si>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</si>
  <si>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</si>
  <si>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</si>
  <si>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</si>
  <si>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</si>
  <si>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</si>
  <si>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</si>
  <si>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</si>
  <si>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</si>
  <si>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</si>
  <si>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</si>
  <si>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</si>
  <si>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</si>
  <si>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</si>
  <si>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</si>
  <si>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</si>
  <si>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</si>
  <si>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</si>
  <si>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</si>
  <si>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</si>
  <si>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</si>
  <si>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</si>
  <si>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</si>
  <si>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</si>
  <si>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</si>
  <si>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</si>
  <si>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</si>
  <si>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</si>
  <si>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</si>
  <si>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</si>
  <si>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</si>
  <si>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</si>
  <si>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</si>
  <si>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</si>
  <si>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</si>
  <si>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</si>
  <si>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</si>
  <si>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</si>
  <si>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</si>
  <si>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</si>
  <si>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</si>
  <si>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</si>
  <si>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</si>
  <si>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</si>
  <si>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</si>
  <si>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</si>
  <si>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</si>
  <si>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</si>
  <si>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</si>
  <si>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</si>
  <si>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</si>
  <si>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</si>
  <si>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</si>
  <si>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</si>
  <si>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</si>
  <si>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</si>
  <si>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</si>
  <si>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</si>
  <si>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</si>
  <si>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</si>
  <si>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</si>
  <si>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</si>
  <si>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</si>
  <si>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</si>
  <si>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</si>
  <si>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</si>
  <si>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</si>
  <si>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</si>
  <si>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</si>
  <si>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</si>
  <si>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</si>
  <si>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</si>
  <si>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</si>
  <si>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</si>
  <si>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</si>
  <si>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</si>
  <si>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</si>
  <si>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</si>
  <si>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</si>
  <si>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</si>
  <si>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</si>
  <si>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</si>
  <si>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</si>
  <si>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</si>
  <si>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</si>
  <si>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</si>
  <si>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</si>
  <si>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</si>
  <si>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</si>
  <si>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</si>
  <si>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</si>
  <si>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</si>
  <si>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</si>
  <si>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</si>
  <si>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</si>
  <si>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</si>
  <si>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</si>
  <si>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</si>
  <si>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</si>
  <si>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</si>
  <si>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</si>
  <si>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</si>
  <si>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</si>
  <si>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</si>
  <si>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</si>
  <si>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</si>
  <si>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</si>
  <si>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</si>
  <si>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</si>
  <si>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</si>
  <si>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</si>
  <si>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</si>
  <si>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</si>
  <si>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</si>
  <si>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</si>
  <si>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</si>
  <si>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</si>
  <si>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</si>
  <si>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</si>
  <si>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</si>
  <si>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</si>
  <si>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</si>
  <si>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</si>
  <si>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</si>
  <si>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</si>
  <si>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</si>
  <si>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</si>
  <si>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</si>
  <si>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</si>
  <si>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</si>
  <si>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</si>
  <si>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</si>
  <si>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</si>
  <si>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</si>
  <si>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</si>
  <si>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</si>
  <si>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</si>
  <si>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</si>
  <si>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</si>
  <si>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</si>
  <si>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</si>
  <si>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</si>
  <si>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</si>
  <si>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</si>
  <si>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</si>
  <si>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</si>
  <si>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</si>
  <si>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</si>
  <si>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</si>
  <si>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</si>
  <si>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</si>
  <si>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</si>
  <si>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</si>
  <si>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</si>
  <si>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</si>
  <si>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</si>
  <si>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</si>
  <si>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</si>
  <si>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</si>
  <si>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</si>
  <si>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</si>
  <si>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</si>
  <si>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</si>
  <si>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</si>
  <si>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</si>
  <si>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</si>
  <si>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</si>
  <si>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</si>
  <si>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</si>
  <si>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</si>
  <si>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</si>
  <si>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</si>
  <si>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</si>
  <si>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</si>
  <si>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</si>
  <si>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</si>
  <si>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</si>
  <si>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</si>
  <si>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</si>
  <si>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</si>
  <si>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</si>
  <si>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</si>
  <si>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</si>
  <si>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</si>
  <si>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</si>
  <si>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</si>
  <si>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</si>
  <si>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</si>
  <si>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</si>
  <si>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</si>
  <si>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</si>
  <si>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</si>
  <si>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</si>
  <si>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</si>
  <si>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</si>
  <si>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</si>
  <si>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</si>
  <si>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</si>
  <si>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</si>
  <si>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</si>
  <si>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</si>
  <si>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</si>
  <si>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</si>
  <si>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</si>
  <si>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</si>
  <si>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</si>
  <si>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</si>
  <si>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</si>
  <si>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</si>
  <si>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</si>
  <si>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</si>
  <si>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</si>
  <si>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</si>
  <si>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</si>
  <si>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</si>
  <si>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</si>
  <si>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</si>
  <si>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</si>
  <si>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</si>
  <si>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</si>
  <si>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</si>
  <si>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</si>
  <si>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</si>
  <si>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</si>
  <si>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</si>
  <si>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</si>
  <si>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</si>
  <si>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</si>
  <si>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</si>
  <si>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</si>
  <si>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</si>
  <si>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</si>
  <si>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</si>
  <si>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</si>
  <si>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</si>
  <si>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</si>
  <si>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</si>
  <si>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</si>
  <si>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</si>
  <si>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</si>
  <si>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</si>
  <si>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</si>
  <si>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</si>
  <si>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</si>
  <si>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</si>
  <si>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</si>
  <si>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</si>
  <si>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</si>
  <si>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</si>
  <si>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</si>
  <si>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</si>
  <si>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</si>
  <si>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</si>
  <si>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</si>
  <si>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</si>
  <si>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</si>
  <si>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</si>
  <si>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</si>
  <si>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</si>
  <si>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</si>
  <si>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</si>
  <si>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</si>
  <si>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</si>
  <si>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</si>
  <si>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</si>
  <si>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</si>
  <si>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</si>
  <si>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</si>
  <si>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</si>
  <si>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</si>
  <si>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</si>
  <si>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</si>
  <si>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</si>
  <si>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</si>
  <si>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</si>
  <si>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</si>
  <si>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</si>
  <si>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</si>
  <si>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</si>
  <si>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</si>
  <si>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</si>
  <si>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</si>
  <si>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</si>
  <si>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</si>
  <si>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</si>
  <si>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</si>
  <si>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</si>
  <si>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</si>
  <si>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</si>
  <si>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</si>
  <si>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</si>
  <si>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</si>
  <si>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</si>
  <si>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</si>
  <si>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</si>
  <si>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</si>
  <si>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</si>
  <si>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</si>
  <si>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</si>
  <si>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</si>
  <si>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</si>
  <si>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</si>
  <si>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</si>
  <si>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</si>
  <si>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</si>
  <si>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</si>
  <si>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</si>
  <si>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</si>
  <si>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</si>
  <si>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</si>
  <si>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</si>
  <si>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</si>
  <si>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</si>
  <si>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</si>
  <si>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</si>
  <si>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</si>
  <si>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</si>
  <si>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</si>
  <si>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</si>
  <si>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</si>
  <si>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</si>
  <si>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</si>
  <si>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</si>
  <si>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</si>
  <si>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</si>
  <si>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</si>
  <si>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</si>
  <si>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</si>
  <si>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</si>
  <si>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</si>
  <si>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</si>
  <si>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</si>
  <si>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</si>
  <si>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</si>
  <si>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</si>
  <si>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</si>
  <si>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</si>
  <si>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</si>
  <si>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</si>
  <si>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</si>
  <si>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</si>
  <si>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</si>
  <si>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</si>
  <si>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</si>
  <si>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</si>
  <si>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</si>
  <si>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</si>
  <si>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</si>
  <si>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</si>
  <si>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</si>
  <si>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</si>
  <si>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</si>
  <si>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</si>
  <si>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</si>
  <si>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</si>
  <si>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</si>
  <si>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</si>
  <si>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</si>
  <si>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</si>
  <si>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</si>
  <si>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</si>
  <si>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</si>
  <si>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</si>
  <si>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</si>
  <si>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</si>
  <si>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</si>
  <si>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</si>
  <si>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</si>
  <si>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</si>
  <si>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</si>
  <si>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</si>
  <si>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</si>
  <si>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</si>
  <si>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</si>
  <si>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</si>
  <si>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</si>
  <si>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</si>
  <si>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</si>
  <si>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</si>
  <si>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</si>
  <si>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</si>
  <si>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</si>
  <si>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</si>
  <si>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</si>
  <si>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</si>
  <si>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</si>
  <si>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</si>
  <si>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</si>
  <si>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</si>
  <si>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</si>
  <si>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</si>
  <si>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</si>
  <si>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</si>
  <si>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</si>
  <si>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</si>
  <si>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</si>
  <si>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</si>
  <si>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</si>
  <si>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</si>
  <si>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</si>
  <si>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</si>
  <si>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</si>
  <si>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</si>
  <si>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</si>
  <si>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</si>
  <si>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</si>
  <si>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</si>
  <si>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</si>
  <si>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</si>
  <si>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</si>
  <si>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</si>
  <si>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</si>
  <si>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</si>
  <si>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</si>
  <si>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</si>
  <si>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</si>
  <si>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</si>
  <si>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</si>
  <si>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</si>
  <si>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</si>
  <si>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</si>
  <si>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</si>
  <si>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</si>
  <si>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</si>
  <si>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</si>
  <si>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</si>
  <si>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</si>
  <si>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</si>
  <si>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</si>
  <si>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</si>
  <si>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</si>
  <si>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</si>
  <si>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</si>
  <si>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</si>
  <si>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</si>
  <si>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</si>
  <si>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</si>
  <si>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</si>
  <si>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</si>
  <si>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</si>
  <si>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</si>
  <si>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</si>
  <si>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</si>
  <si>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</si>
  <si>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</si>
  <si>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</si>
  <si>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</si>
  <si>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</si>
  <si>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</si>
  <si>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</si>
  <si>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</si>
  <si>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</si>
  <si>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</si>
  <si>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</si>
  <si>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</si>
  <si>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</si>
  <si>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</si>
  <si>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</si>
  <si>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</si>
  <si>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</si>
  <si>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</si>
  <si>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</si>
  <si>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</si>
  <si>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</si>
  <si>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</si>
  <si>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</si>
  <si>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</si>
  <si>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</si>
  <si>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</si>
  <si>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</si>
  <si>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</si>
  <si>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</si>
  <si>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</si>
  <si>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</si>
  <si>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</si>
  <si>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</si>
  <si>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</si>
  <si>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</si>
  <si>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</si>
  <si>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</si>
  <si>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</si>
  <si>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</si>
  <si>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</si>
  <si>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</si>
  <si>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</si>
  <si>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</si>
  <si>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</si>
  <si>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</si>
  <si>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</si>
  <si>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</si>
  <si>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</si>
  <si>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</si>
  <si>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</si>
  <si>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</si>
  <si>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</si>
  <si>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</si>
  <si>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</si>
  <si>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</si>
  <si>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</si>
  <si>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</si>
  <si>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</si>
  <si>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</si>
  <si>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</si>
  <si>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</si>
  <si>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</si>
  <si>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</si>
  <si>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</si>
  <si>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</si>
  <si>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</si>
  <si>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</si>
  <si>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</si>
  <si>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</si>
  <si>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</si>
  <si>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</si>
  <si>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</si>
  <si>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</si>
  <si>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</si>
  <si>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</si>
  <si>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</si>
  <si>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</si>
  <si>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</si>
  <si>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</si>
  <si>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</si>
  <si>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</si>
  <si>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</si>
  <si>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</si>
  <si>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</si>
  <si>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</si>
  <si>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</si>
  <si>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</si>
  <si>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</si>
  <si>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</si>
  <si>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</si>
  <si>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</si>
  <si>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</si>
  <si>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</si>
  <si>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</si>
  <si>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</si>
  <si>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</si>
  <si>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</si>
  <si>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</si>
  <si>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</si>
  <si>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</si>
  <si>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</si>
  <si>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</si>
  <si>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</si>
  <si>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</si>
  <si>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</si>
  <si>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</si>
  <si>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</si>
  <si>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</si>
  <si>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</si>
  <si>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</si>
  <si>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</si>
  <si>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</si>
  <si>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</si>
  <si>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</si>
  <si>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</si>
  <si>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</si>
  <si>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</si>
  <si>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</si>
  <si>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</si>
  <si>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</si>
  <si>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</si>
  <si>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</si>
  <si>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</si>
  <si>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</si>
  <si>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</si>
  <si>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</si>
  <si>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</si>
  <si>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</si>
  <si>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</si>
  <si>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</si>
  <si>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</si>
  <si>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</si>
  <si>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</si>
  <si>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</si>
  <si>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</si>
  <si>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</si>
  <si>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</si>
  <si>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</si>
  <si>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</si>
  <si>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</si>
  <si>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</si>
  <si>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</si>
  <si>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</si>
  <si>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</si>
  <si>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</si>
  <si>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</si>
  <si>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</si>
  <si>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</si>
  <si>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</si>
  <si>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</si>
  <si>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</si>
  <si>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</si>
  <si>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</si>
  <si>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</si>
  <si>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</si>
  <si>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</si>
  <si>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</si>
  <si>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</si>
  <si>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</si>
  <si>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</si>
  <si>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</si>
  <si>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</si>
  <si>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</si>
  <si>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</si>
  <si>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</si>
  <si>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</si>
  <si>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</si>
  <si>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</si>
  <si>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</si>
  <si>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</si>
  <si>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</si>
  <si>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</si>
  <si>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</si>
  <si>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</si>
  <si>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</si>
  <si>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</si>
  <si>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</si>
  <si>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</si>
  <si>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</si>
  <si>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</si>
  <si>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</si>
  <si>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</si>
  <si>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</si>
  <si>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</si>
  <si>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</si>
  <si>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</si>
  <si>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</si>
  <si>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</si>
  <si>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</si>
  <si>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</si>
  <si>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</si>
  <si>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</si>
  <si>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</si>
  <si>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</si>
  <si>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</si>
  <si>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</si>
  <si>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</si>
  <si>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</si>
  <si>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</si>
  <si>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</si>
  <si>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</si>
  <si>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</si>
  <si>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</si>
  <si>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</si>
  <si>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</si>
  <si>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</si>
  <si>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</si>
  <si>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</si>
  <si>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</si>
  <si>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</si>
  <si>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</si>
  <si>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</si>
  <si>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</si>
  <si>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</si>
  <si>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</si>
  <si>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</si>
  <si>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</si>
  <si>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</si>
  <si>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</si>
  <si>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</si>
  <si>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</si>
  <si>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</si>
  <si>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</si>
  <si>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</si>
  <si>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</si>
  <si>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</si>
  <si>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</si>
  <si>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</si>
  <si>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</si>
  <si>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</si>
  <si>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</si>
  <si>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</si>
  <si>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</si>
  <si>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</si>
  <si>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</si>
  <si>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</si>
  <si>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</si>
  <si>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</si>
  <si>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</si>
  <si>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</si>
  <si>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</si>
  <si>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</si>
  <si>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</si>
  <si>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</si>
  <si>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</si>
  <si>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</si>
  <si>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</si>
  <si>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</si>
  <si>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</si>
  <si>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</si>
  <si>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</si>
  <si>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</si>
  <si>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</si>
  <si>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</si>
  <si>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</si>
  <si>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</si>
  <si>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</si>
  <si>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</si>
  <si>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</si>
  <si>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</si>
  <si>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</si>
  <si>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</si>
  <si>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</si>
  <si>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</si>
  <si>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</si>
  <si>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</si>
  <si>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</si>
  <si>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</si>
  <si>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</si>
  <si>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</si>
  <si>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</si>
  <si>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</si>
  <si>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</si>
  <si>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</si>
  <si>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</si>
  <si>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</si>
  <si>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</si>
  <si>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</si>
  <si>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</si>
  <si>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</si>
  <si>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</si>
  <si>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</si>
  <si>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</si>
  <si>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</si>
  <si>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</si>
  <si>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</si>
  <si>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</si>
  <si>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</si>
  <si>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</si>
  <si>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</si>
  <si>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</si>
  <si>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</si>
  <si>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</si>
  <si>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</si>
  <si>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</si>
  <si>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</si>
  <si>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</si>
  <si>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</si>
  <si>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</si>
  <si>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</si>
  <si>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</si>
  <si>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</si>
  <si>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</si>
  <si>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</si>
  <si>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</si>
  <si>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</si>
  <si>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</si>
  <si>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</si>
  <si>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</si>
  <si>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</si>
  <si>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</si>
  <si>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</si>
  <si>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</si>
  <si>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</si>
  <si>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</si>
  <si>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</si>
  <si>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</si>
  <si>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</si>
  <si>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</si>
  <si>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</si>
  <si>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</si>
  <si>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</si>
  <si>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</si>
  <si>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</si>
  <si>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</si>
  <si>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</si>
  <si>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</si>
  <si>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</si>
  <si>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</si>
  <si>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</si>
  <si>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</si>
  <si>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</si>
  <si>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</si>
  <si>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</si>
  <si>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</si>
  <si>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</si>
  <si>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</si>
  <si>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</si>
  <si>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</si>
  <si>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</si>
  <si>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</si>
  <si>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</si>
  <si>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</si>
  <si>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</si>
  <si>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</si>
  <si>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</si>
  <si>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</si>
  <si>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</si>
  <si>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</si>
  <si>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</si>
  <si>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</si>
  <si>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</si>
  <si>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</si>
  <si>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</si>
  <si>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</si>
  <si>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</si>
  <si>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</si>
  <si>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</si>
  <si>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</si>
  <si>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</si>
  <si>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</si>
  <si>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</si>
  <si>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</si>
  <si>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</si>
  <si>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</si>
  <si>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</si>
  <si>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</si>
  <si>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</si>
  <si>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</si>
  <si>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</si>
  <si>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</si>
  <si>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</si>
  <si>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</si>
  <si>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</si>
  <si>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</si>
  <si>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</si>
  <si>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</si>
  <si>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</si>
  <si>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</si>
  <si>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</si>
  <si>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</si>
  <si>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</si>
  <si>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</si>
  <si>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</si>
  <si>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</si>
  <si>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</si>
  <si>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</si>
  <si>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</si>
  <si>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</si>
  <si>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</si>
  <si>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</si>
  <si>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</si>
  <si>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</si>
  <si>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</si>
  <si>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</si>
  <si>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</si>
  <si>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</si>
  <si>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</si>
  <si>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</si>
  <si>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</si>
  <si>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</si>
  <si>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</si>
  <si>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</si>
  <si>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</si>
  <si>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</si>
  <si>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</si>
  <si>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</si>
  <si>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</si>
  <si>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</si>
  <si>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</si>
  <si>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</si>
  <si>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</si>
  <si>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</si>
  <si>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</si>
  <si>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</si>
  <si>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</si>
  <si>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</si>
  <si>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</si>
  <si>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</si>
  <si>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</si>
  <si>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</si>
  <si>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</si>
  <si>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</si>
  <si>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</si>
  <si>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</si>
  <si>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</si>
  <si>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</si>
  <si>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</si>
  <si>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</si>
  <si>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</si>
  <si>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</si>
  <si>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</si>
  <si>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</si>
  <si>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</si>
  <si>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</si>
  <si>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</si>
  <si>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</si>
  <si>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</si>
  <si>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</si>
  <si>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</si>
  <si>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</si>
  <si>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</si>
  <si>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</si>
  <si>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</si>
  <si>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</si>
  <si>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</si>
  <si>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</si>
  <si>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</si>
  <si>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</si>
  <si>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</si>
  <si>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</si>
  <si>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</si>
  <si>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</si>
  <si>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</si>
  <si>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</si>
  <si>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</si>
  <si>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</si>
  <si>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</si>
  <si>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</si>
  <si>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</si>
  <si>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</si>
  <si>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</si>
  <si>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</si>
  <si>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</si>
  <si>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</si>
  <si>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</si>
  <si>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</si>
  <si>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</si>
  <si>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</si>
  <si>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</si>
  <si>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</si>
  <si>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</si>
  <si>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</si>
  <si>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</si>
  <si>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</si>
  <si>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</si>
  <si>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</si>
  <si>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</si>
  <si>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</si>
  <si>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</si>
  <si>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</si>
  <si>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</si>
  <si>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</si>
  <si>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</si>
  <si>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</si>
  <si>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</si>
  <si>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</si>
  <si>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</si>
  <si>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</si>
  <si>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</si>
  <si>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</si>
  <si>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</si>
  <si>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</si>
  <si>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</si>
  <si>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</si>
  <si>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</si>
  <si>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</si>
  <si>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</si>
  <si>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</si>
  <si>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</si>
  <si>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</si>
  <si>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</si>
  <si>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</si>
  <si>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</si>
  <si>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</si>
  <si>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</si>
  <si>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</si>
  <si>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</si>
  <si>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</si>
  <si>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</si>
  <si>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</si>
  <si>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</si>
  <si>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</si>
  <si>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</si>
  <si>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</si>
  <si>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</si>
  <si>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</si>
  <si>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</si>
  <si>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</si>
  <si>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</si>
  <si>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</si>
  <si>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</si>
  <si>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</si>
  <si>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</si>
  <si>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</si>
  <si>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</si>
  <si>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</si>
  <si>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</si>
  <si>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</si>
  <si>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</si>
  <si>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</si>
  <si>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</si>
  <si>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</si>
  <si>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</si>
  <si>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</si>
  <si>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</si>
  <si>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</si>
  <si>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</si>
  <si>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</si>
  <si>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</si>
  <si>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</si>
  <si>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</si>
  <si>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</si>
  <si>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</si>
  <si>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</si>
  <si>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</si>
  <si>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</si>
  <si>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</si>
  <si>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</si>
  <si>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</si>
  <si>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</si>
  <si>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</si>
  <si>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</si>
  <si>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</si>
  <si>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</si>
  <si>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</si>
  <si>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</si>
  <si>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</si>
  <si>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</si>
  <si>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</si>
  <si>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</si>
  <si>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</si>
  <si>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</si>
  <si>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</si>
  <si>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</si>
  <si>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</si>
  <si>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</si>
  <si>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</si>
  <si>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</si>
  <si>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</si>
  <si>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</si>
  <si>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</si>
  <si>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</si>
  <si>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</si>
  <si>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</si>
  <si>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</si>
  <si>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</si>
  <si>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</si>
  <si>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</si>
  <si>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</si>
  <si>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</si>
  <si>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</si>
  <si>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</si>
  <si>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</si>
  <si>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</si>
  <si>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</si>
  <si>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</si>
  <si>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</si>
  <si>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</si>
  <si>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</si>
  <si>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</si>
  <si>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</si>
  <si>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</si>
  <si>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</si>
  <si>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</si>
  <si>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</si>
  <si>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</si>
  <si>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</si>
  <si>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</si>
  <si>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</si>
  <si>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</si>
  <si>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</si>
  <si>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</si>
  <si>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</si>
  <si>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</si>
  <si>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</si>
  <si>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</si>
  <si>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</si>
  <si>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</si>
  <si>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</si>
  <si>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</si>
  <si>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</si>
  <si>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</si>
  <si>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</si>
  <si>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</si>
  <si>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</si>
  <si>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</si>
  <si>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</si>
  <si>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</si>
  <si>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</si>
  <si>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</si>
  <si>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</si>
  <si>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</si>
  <si>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</si>
  <si>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</si>
  <si>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</si>
  <si>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</si>
  <si>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</si>
  <si>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</si>
  <si>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</si>
  <si>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</si>
  <si>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</si>
  <si>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</si>
  <si>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</si>
  <si>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</si>
  <si>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</si>
  <si>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</si>
  <si>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</si>
  <si>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</si>
  <si>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</si>
  <si>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</si>
  <si>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</si>
  <si>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</si>
  <si>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</si>
  <si>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</si>
  <si>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</si>
  <si>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</si>
  <si>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</si>
  <si>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</si>
  <si>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</si>
  <si>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</si>
  <si>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</si>
  <si>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</si>
  <si>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</si>
  <si>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</si>
  <si>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</si>
  <si>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</si>
  <si>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</si>
  <si>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</si>
  <si>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</si>
  <si>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</si>
  <si>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</si>
  <si>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</si>
  <si>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</si>
  <si>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</si>
  <si>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</si>
  <si>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</si>
  <si>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</si>
  <si>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</si>
  <si>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</si>
  <si>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</si>
  <si>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</si>
  <si>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</si>
  <si>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</si>
  <si>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</si>
  <si>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</si>
  <si>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</si>
  <si>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</si>
  <si>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</si>
  <si>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</si>
  <si>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</si>
  <si>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</si>
  <si>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</si>
  <si>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</si>
  <si>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</si>
  <si>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</si>
  <si>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</si>
  <si>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</si>
  <si>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</si>
  <si>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</si>
  <si>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</si>
  <si>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</si>
  <si>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</si>
  <si>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</si>
  <si>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</si>
  <si>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</si>
  <si>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</si>
  <si>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</si>
  <si>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</si>
  <si>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</si>
  <si>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</si>
  <si>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</si>
  <si>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</si>
  <si>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</si>
  <si>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</si>
  <si>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</si>
  <si>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</si>
  <si>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</si>
  <si>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</si>
  <si>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</si>
  <si>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</si>
  <si>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</si>
  <si>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</si>
  <si>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</si>
  <si>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</si>
  <si>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</si>
  <si>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</si>
  <si>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</si>
  <si>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</si>
  <si>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</si>
  <si>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</si>
  <si>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</si>
  <si>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</si>
  <si>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</si>
  <si>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</si>
  <si>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</si>
  <si>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</si>
  <si>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</si>
  <si>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</si>
  <si>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</si>
  <si>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</si>
  <si>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</si>
  <si>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</si>
  <si>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</si>
  <si>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</si>
  <si>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</si>
  <si>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</si>
  <si>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</si>
  <si>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</si>
  <si>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</si>
  <si>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</si>
  <si>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</si>
  <si>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</si>
  <si>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</si>
  <si>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</si>
  <si>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</si>
  <si>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</si>
  <si>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</si>
  <si>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</si>
  <si>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</si>
  <si>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</si>
  <si>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</si>
  <si>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</si>
  <si>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</si>
  <si>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</si>
  <si>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</si>
  <si>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</si>
  <si>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</si>
  <si>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</si>
  <si>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</si>
  <si>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</si>
  <si>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</si>
  <si>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</si>
  <si>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</si>
  <si>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</si>
  <si>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</si>
  <si>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</si>
  <si>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</si>
  <si>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</si>
  <si>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</si>
  <si>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</si>
  <si>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</si>
  <si>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</si>
  <si>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</si>
  <si>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</si>
  <si>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</si>
  <si>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</si>
  <si>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</si>
  <si>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</si>
  <si>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</si>
  <si>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</si>
  <si>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</si>
  <si>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</si>
  <si>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</si>
  <si>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</si>
  <si>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</si>
  <si>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</si>
  <si>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</si>
  <si>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</si>
  <si>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</si>
  <si>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</si>
  <si>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</si>
  <si>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</si>
  <si>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</si>
  <si>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</si>
  <si>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</si>
  <si>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</si>
  <si>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</si>
  <si>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</si>
  <si>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</si>
  <si>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</si>
  <si>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</si>
  <si>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</si>
  <si>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</si>
  <si>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</si>
  <si>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</si>
  <si>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</si>
  <si>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</si>
  <si>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</si>
  <si>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</si>
  <si>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</si>
  <si>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</si>
  <si>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</si>
  <si>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</si>
  <si>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</si>
  <si>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</si>
  <si>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</si>
  <si>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</si>
  <si>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</si>
  <si>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</si>
  <si>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</si>
  <si>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</si>
  <si>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</si>
  <si>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</si>
  <si>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</si>
  <si>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</si>
  <si>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</si>
  <si>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</si>
  <si>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</si>
  <si>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</si>
  <si>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</si>
  <si>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</si>
  <si>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</si>
  <si>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</si>
  <si>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</si>
  <si>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</si>
  <si>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</si>
  <si>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</si>
  <si>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</si>
  <si>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</si>
  <si>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</si>
  <si>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</si>
  <si>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</si>
  <si>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</si>
  <si>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</si>
  <si>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</si>
  <si>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</si>
  <si>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</si>
  <si>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</si>
  <si>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</si>
  <si>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</si>
  <si>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</si>
  <si>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</si>
  <si>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</si>
  <si>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</si>
  <si>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</si>
  <si>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</si>
  <si>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</si>
  <si>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</si>
  <si>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</si>
  <si>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</si>
  <si>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</si>
  <si>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</si>
  <si>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</si>
  <si>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</si>
  <si>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</si>
  <si>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</si>
  <si>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</si>
  <si>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</si>
  <si>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</si>
  <si>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</si>
  <si>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</si>
  <si>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</si>
  <si>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</si>
  <si>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</si>
  <si>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</si>
  <si>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</si>
  <si>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</si>
  <si>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</si>
  <si>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</si>
  <si>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</si>
  <si>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</si>
  <si>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</si>
  <si>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</si>
  <si>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</si>
  <si>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</si>
  <si>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</si>
  <si>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</si>
  <si>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</si>
  <si>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</si>
  <si>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</si>
  <si>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</si>
  <si>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</si>
  <si>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</si>
  <si>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</si>
  <si>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</si>
  <si>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</si>
  <si>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</si>
  <si>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</si>
  <si>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</si>
  <si>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</si>
  <si>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</si>
  <si>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</si>
  <si>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</si>
  <si>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</si>
  <si>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</si>
  <si>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</si>
  <si>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</si>
  <si>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</si>
  <si>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</si>
  <si>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</si>
  <si>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</si>
  <si>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</si>
  <si>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</si>
  <si>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</si>
  <si>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</si>
  <si>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</si>
  <si>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</si>
  <si>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</si>
  <si>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</si>
  <si>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</si>
  <si>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</si>
  <si>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</si>
  <si>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</si>
  <si>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</si>
  <si>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</si>
  <si>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</si>
  <si>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</si>
  <si>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</si>
  <si>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</si>
  <si>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</si>
  <si>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</si>
  <si>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</si>
  <si>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</si>
  <si>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</si>
  <si>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</si>
  <si>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</si>
  <si>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</si>
  <si>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</si>
  <si>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</si>
  <si>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</si>
  <si>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</si>
  <si>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</si>
  <si>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</si>
  <si>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</si>
  <si>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</si>
  <si>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</si>
  <si>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</si>
  <si>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</si>
  <si>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</si>
  <si>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</si>
  <si>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</si>
  <si>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</si>
  <si>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</si>
  <si>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</si>
  <si>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</si>
  <si>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</si>
  <si>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</si>
  <si>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</si>
  <si>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</si>
  <si>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</si>
  <si>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</si>
  <si>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</si>
  <si>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</si>
  <si>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</si>
  <si>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</si>
  <si>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</si>
  <si>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</si>
  <si>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</si>
  <si>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</si>
  <si>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</si>
  <si>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</si>
  <si>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</si>
  <si>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</si>
  <si>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</si>
  <si>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</si>
  <si>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</si>
  <si>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</si>
  <si>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</si>
  <si>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</si>
  <si>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</si>
  <si>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</si>
  <si>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</si>
  <si>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</si>
  <si>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</si>
  <si>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</si>
  <si>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</si>
  <si>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</si>
  <si>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</si>
  <si>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</si>
  <si>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</si>
  <si>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</si>
  <si>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</si>
  <si>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</si>
  <si>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</si>
  <si>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</si>
  <si>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</si>
  <si>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</si>
  <si>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</si>
  <si>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</si>
  <si>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</si>
  <si>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</si>
  <si>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</si>
  <si>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</si>
  <si>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</si>
  <si>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</si>
  <si>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</si>
  <si>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</si>
  <si>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</si>
  <si>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</si>
  <si>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</si>
  <si>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</si>
  <si>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</si>
  <si>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</si>
  <si>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</si>
  <si>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</si>
  <si>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</si>
  <si>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</si>
  <si>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</si>
  <si>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</si>
  <si>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</si>
  <si>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</si>
  <si>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</si>
  <si>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</si>
  <si>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</si>
  <si>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</si>
  <si>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</si>
  <si>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</si>
  <si>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</si>
  <si>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</si>
  <si>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</si>
  <si>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</si>
  <si>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</si>
  <si>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</si>
  <si>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</si>
  <si>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</si>
  <si>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</si>
  <si>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</si>
  <si>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</si>
  <si>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</si>
  <si>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</si>
  <si>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</si>
  <si>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</si>
  <si>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</si>
  <si>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</si>
  <si>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</si>
  <si>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</si>
  <si>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</si>
  <si>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</si>
  <si>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</si>
  <si>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</si>
  <si>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</si>
  <si>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</si>
  <si>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</si>
  <si>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</si>
  <si>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</si>
  <si>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</si>
  <si>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</si>
  <si>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</si>
  <si>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</si>
  <si>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</si>
  <si>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</si>
  <si>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</si>
  <si>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</si>
  <si>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</si>
  <si>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</si>
  <si>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</si>
  <si>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</si>
  <si>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</si>
  <si>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</si>
  <si>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</si>
  <si>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</si>
  <si>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</si>
  <si>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</si>
  <si>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</si>
  <si>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</si>
  <si>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</si>
  <si>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</si>
  <si>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</si>
  <si>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</si>
  <si>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</si>
  <si>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</si>
  <si>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</si>
  <si>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</si>
  <si>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</si>
  <si>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</si>
  <si>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</si>
  <si>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</si>
  <si>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</si>
  <si>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</si>
  <si>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</si>
  <si>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</si>
  <si>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</si>
  <si>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</si>
  <si>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</si>
  <si>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</si>
  <si>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</si>
  <si>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</si>
  <si>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</si>
  <si>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</si>
  <si>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</si>
  <si>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</si>
  <si>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</si>
  <si>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</si>
  <si>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</si>
  <si>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</si>
  <si>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</si>
  <si>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</si>
  <si>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</si>
  <si>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</si>
  <si>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</si>
  <si>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</si>
  <si>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</si>
  <si>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</si>
  <si>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</si>
  <si>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</si>
  <si>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</si>
  <si>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</si>
  <si>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</si>
  <si>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</si>
  <si>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</si>
  <si>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</si>
  <si>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</si>
  <si>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</si>
  <si>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</si>
  <si>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</si>
  <si>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</si>
  <si>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</si>
  <si>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</si>
  <si>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</si>
  <si>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</si>
  <si>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</si>
  <si>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</si>
  <si>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</si>
  <si>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</si>
  <si>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</si>
  <si>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</si>
  <si>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</si>
  <si>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</si>
  <si>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</si>
  <si>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</si>
  <si>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</si>
  <si>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</si>
  <si>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</si>
  <si>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</si>
  <si>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</si>
  <si>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</si>
  <si>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</si>
  <si>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</si>
  <si>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</si>
  <si>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</si>
  <si>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</si>
  <si>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</si>
  <si>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</si>
  <si>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</si>
  <si>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</si>
  <si>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</si>
  <si>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</si>
  <si>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</si>
  <si>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</si>
  <si>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</si>
  <si>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</si>
  <si>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</si>
  <si>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</si>
  <si>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</si>
  <si>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</si>
  <si>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</si>
  <si>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</si>
  <si>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</si>
  <si>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</si>
  <si>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</si>
  <si>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</si>
  <si>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</si>
  <si>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</si>
  <si>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</si>
  <si>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</si>
  <si>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</si>
  <si>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</si>
  <si>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</si>
  <si>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</si>
  <si>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</si>
  <si>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</si>
  <si>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</si>
  <si>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</si>
  <si>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</si>
  <si>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</si>
  <si>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</si>
  <si>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</si>
  <si>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</si>
  <si>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</si>
  <si>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</si>
  <si>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</si>
  <si>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</si>
  <si>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</si>
  <si>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</si>
  <si>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</si>
  <si>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</si>
  <si>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</si>
  <si>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</si>
  <si>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</si>
  <si>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</si>
  <si>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</si>
  <si>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</si>
  <si>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</si>
  <si>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</si>
  <si>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</si>
  <si>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</si>
  <si>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</si>
  <si>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</si>
  <si>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</si>
  <si>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</si>
  <si>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</si>
  <si>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</si>
  <si>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</si>
  <si>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</si>
  <si>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</si>
  <si>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</si>
  <si>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</si>
  <si>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</si>
  <si>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</si>
  <si>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</si>
  <si>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</si>
  <si>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</si>
  <si>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</si>
  <si>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</si>
  <si>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</si>
  <si>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</si>
  <si>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</si>
  <si>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</si>
  <si>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</si>
  <si>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</si>
  <si>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</si>
  <si>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</si>
  <si>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</si>
  <si>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</si>
  <si>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</si>
  <si>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</si>
  <si>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</si>
  <si>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</si>
  <si>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</si>
  <si>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</si>
  <si>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</si>
  <si>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</si>
  <si>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</si>
  <si>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</si>
  <si>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</si>
  <si>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</si>
  <si>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</si>
  <si>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</si>
  <si>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</si>
  <si>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</si>
  <si>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</si>
  <si>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</si>
  <si>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</si>
  <si>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</si>
  <si>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</si>
  <si>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</si>
  <si>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</si>
  <si>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</si>
  <si>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</si>
  <si>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</si>
  <si>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</si>
  <si>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</si>
  <si>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</si>
  <si>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</si>
  <si>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</si>
  <si>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</si>
  <si>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</si>
  <si>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</si>
  <si>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</si>
  <si>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</si>
  <si>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</si>
  <si>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</si>
  <si>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</si>
  <si>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</si>
  <si>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</si>
  <si>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</si>
  <si>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</si>
  <si>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</si>
  <si>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</si>
  <si>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</si>
  <si>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</si>
  <si>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</si>
  <si>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</si>
  <si>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</si>
  <si>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</si>
  <si>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</si>
  <si>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</si>
  <si>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</si>
  <si>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</si>
  <si>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</si>
  <si>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</si>
  <si>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</si>
  <si>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</si>
  <si>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</si>
  <si>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</si>
  <si>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</si>
  <si>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</si>
  <si>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</si>
  <si>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</si>
  <si>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</si>
  <si>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</si>
  <si>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</si>
  <si>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</si>
  <si>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</si>
  <si>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</si>
  <si>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</si>
  <si>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</si>
  <si>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</si>
  <si>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</si>
  <si>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</si>
  <si>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</si>
  <si>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</si>
  <si>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</si>
  <si>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</si>
  <si>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</si>
  <si>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</si>
  <si>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</si>
  <si>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</si>
  <si>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</si>
  <si>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</si>
  <si>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</si>
  <si>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</si>
  <si>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</si>
  <si>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</si>
  <si>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</si>
  <si>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</si>
  <si>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</si>
  <si>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</si>
  <si>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</si>
  <si>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</si>
  <si>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</si>
  <si>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</si>
  <si>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</si>
  <si>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</si>
  <si>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</si>
  <si>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</si>
  <si>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</si>
  <si>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</si>
  <si>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</si>
  <si>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</si>
  <si>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</si>
  <si>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</si>
  <si>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</si>
  <si>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</si>
  <si>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</si>
  <si>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</si>
  <si>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</si>
  <si>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</si>
  <si>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</si>
  <si>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</si>
  <si>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</si>
  <si>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</si>
  <si>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</si>
  <si>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</si>
  <si>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</si>
  <si>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</si>
  <si>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</si>
  <si>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</si>
  <si>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</si>
  <si>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</si>
  <si>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</si>
  <si>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</si>
  <si>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</si>
  <si>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</si>
  <si>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</si>
  <si>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</si>
  <si>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</si>
  <si>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</si>
  <si>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</si>
  <si>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</si>
  <si>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</si>
  <si>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</si>
  <si>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</si>
  <si>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</si>
  <si>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</si>
  <si>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</si>
  <si>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</si>
  <si>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</si>
  <si>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</si>
  <si>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</si>
  <si>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</si>
  <si>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</si>
  <si>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</si>
  <si>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</si>
  <si>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</si>
  <si>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</si>
  <si>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</si>
  <si>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</si>
  <si>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</si>
  <si>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</si>
  <si>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</si>
  <si>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</si>
  <si>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</si>
  <si>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</si>
  <si>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</si>
  <si>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</si>
  <si>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</si>
  <si>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</si>
  <si>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</si>
  <si>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</si>
  <si>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</si>
  <si>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</si>
  <si>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</si>
  <si>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</si>
  <si>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</si>
  <si>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</si>
  <si>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</si>
  <si>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</si>
  <si>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</si>
  <si>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</si>
  <si>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</si>
  <si>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</si>
  <si>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</si>
  <si>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</si>
  <si>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</si>
  <si>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</si>
  <si>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</si>
  <si>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</si>
  <si>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</si>
  <si>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</si>
  <si>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</si>
  <si>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</si>
  <si>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</si>
  <si>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</si>
  <si>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</si>
  <si>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</si>
  <si>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</si>
  <si>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</si>
  <si>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</si>
  <si>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</si>
  <si>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</si>
  <si>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</si>
  <si>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</si>
  <si>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</si>
  <si>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</si>
  <si>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</si>
  <si>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</si>
  <si>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</si>
  <si>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</si>
  <si>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</si>
  <si>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</si>
  <si>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</si>
  <si>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</si>
  <si>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</si>
  <si>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</si>
  <si>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</si>
  <si>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</si>
  <si>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</si>
  <si>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</si>
  <si>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</si>
  <si>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</si>
  <si>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</si>
  <si>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</si>
  <si>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</si>
  <si>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</si>
  <si>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</si>
  <si>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</si>
  <si>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</si>
  <si>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</si>
  <si>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</si>
  <si>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</si>
  <si>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</si>
  <si>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</si>
  <si>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</si>
  <si>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</si>
  <si>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</si>
  <si>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</si>
  <si>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</si>
  <si>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</si>
  <si>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</si>
  <si>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</si>
  <si>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</si>
  <si>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</si>
  <si>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</si>
  <si>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</si>
  <si>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</si>
  <si>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</si>
  <si>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</si>
  <si>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</si>
  <si>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</si>
  <si>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</si>
  <si>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</si>
  <si>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</si>
  <si>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</si>
  <si>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</si>
  <si>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</si>
  <si>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</si>
  <si>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</si>
  <si>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</si>
  <si>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</si>
  <si>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</si>
  <si>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</si>
  <si>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</si>
  <si>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</si>
  <si>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</si>
  <si>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</si>
  <si>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</si>
  <si>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</si>
  <si>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</si>
  <si>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</si>
  <si>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</si>
  <si>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</si>
  <si>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</si>
  <si>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</si>
  <si>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</si>
  <si>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</si>
  <si>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</si>
  <si>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</si>
  <si>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</si>
  <si>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</si>
  <si>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</si>
  <si>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</si>
  <si>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</si>
  <si>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</si>
  <si>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</si>
  <si>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</si>
  <si>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</si>
  <si>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</si>
  <si>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</si>
  <si>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</si>
  <si>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</si>
  <si>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</si>
  <si>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</si>
  <si>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</si>
  <si>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</si>
  <si>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</si>
  <si>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</si>
  <si>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</si>
  <si>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</si>
  <si>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</si>
  <si>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</si>
  <si>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</si>
  <si>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</si>
  <si>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</si>
  <si>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</si>
  <si>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</si>
  <si>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</si>
  <si>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</si>
  <si>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</si>
  <si>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</si>
  <si>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</si>
  <si>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</si>
  <si>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</si>
  <si>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</si>
  <si>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</si>
  <si>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</si>
  <si>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</si>
  <si>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</si>
  <si>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</si>
  <si>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</si>
  <si>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</si>
  <si>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</si>
  <si>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</si>
  <si>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</si>
  <si>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</si>
  <si>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</si>
  <si>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</si>
  <si>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</si>
  <si>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</si>
  <si>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</si>
  <si>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</si>
  <si>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</si>
  <si>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</si>
  <si>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</si>
  <si>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</si>
  <si>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</si>
  <si>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</si>
  <si>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</si>
  <si>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</si>
  <si>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</si>
  <si>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</si>
  <si>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</si>
  <si>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</si>
  <si>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</si>
  <si>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</si>
  <si>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</si>
  <si>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</si>
  <si>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</si>
  <si>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</si>
  <si>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</si>
  <si>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</si>
  <si>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</si>
  <si>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</si>
  <si>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</si>
  <si>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</si>
  <si>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</si>
  <si>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</si>
  <si>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</si>
  <si>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</si>
  <si>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</si>
  <si>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</si>
  <si>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</si>
  <si>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</si>
  <si>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</si>
  <si>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</si>
  <si>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</si>
  <si>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</si>
  <si>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</si>
  <si>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</si>
  <si>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</si>
  <si>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</si>
  <si>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</si>
  <si>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</si>
  <si>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</si>
  <si>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</si>
  <si>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</si>
  <si>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</si>
  <si>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</si>
  <si>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</si>
  <si>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</si>
  <si>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</si>
  <si>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</si>
  <si>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</si>
  <si>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</si>
  <si>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</si>
  <si>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</si>
  <si>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</si>
  <si>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</si>
  <si>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</si>
  <si>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</si>
  <si>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</si>
  <si>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</si>
  <si>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</si>
  <si>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</si>
  <si>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</si>
  <si>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</si>
  <si>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</si>
  <si>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</si>
  <si>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</si>
  <si>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</si>
  <si>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</si>
  <si>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</si>
  <si>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</si>
  <si>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</si>
  <si>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</si>
  <si>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</si>
  <si>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</si>
  <si>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</si>
  <si>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</si>
  <si>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</si>
  <si>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</si>
  <si>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</si>
  <si>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</si>
  <si>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</si>
  <si>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</si>
  <si>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</si>
  <si>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</si>
  <si>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</si>
  <si>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</si>
  <si>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</si>
  <si>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</si>
  <si>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</si>
  <si>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</si>
  <si>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</si>
  <si>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</si>
  <si>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</si>
  <si>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</si>
  <si>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</si>
  <si>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</si>
  <si>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</si>
  <si>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</si>
  <si>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</si>
  <si>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</si>
  <si>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</si>
  <si>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</si>
  <si>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</si>
  <si>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</si>
  <si>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</si>
  <si>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</si>
  <si>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</si>
  <si>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</si>
  <si>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</si>
  <si>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</si>
  <si>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</si>
  <si>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</si>
  <si>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</si>
  <si>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</si>
  <si>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</si>
  <si>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</si>
  <si>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</si>
  <si>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</si>
  <si>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</si>
  <si>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</si>
  <si>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</si>
  <si>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</si>
  <si>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</si>
  <si>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</si>
  <si>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</si>
  <si>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</si>
  <si>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</si>
  <si>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</si>
  <si>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</si>
  <si>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</si>
  <si>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</si>
  <si>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</si>
  <si>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</si>
  <si>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</si>
  <si>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</si>
  <si>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</si>
  <si>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</si>
  <si>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</si>
  <si>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</si>
  <si>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</si>
  <si>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</si>
  <si>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</si>
  <si>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</si>
  <si>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</si>
  <si>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</si>
  <si>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</si>
  <si>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</si>
  <si>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</si>
  <si>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</si>
  <si>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</si>
  <si>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</si>
  <si>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</si>
  <si>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</si>
  <si>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</si>
  <si>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</si>
  <si>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</si>
  <si>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</si>
  <si>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</si>
  <si>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</si>
  <si>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</si>
  <si>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</si>
  <si>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</si>
  <si>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</si>
  <si>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</si>
  <si>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</si>
  <si>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</si>
  <si>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</si>
  <si>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</si>
  <si>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</si>
  <si>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</si>
  <si>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</si>
  <si>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</si>
  <si>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</si>
  <si>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</si>
  <si>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</si>
  <si>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</si>
  <si>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</si>
  <si>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</si>
  <si>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</si>
  <si>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</si>
  <si>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</si>
  <si>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</si>
  <si>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</si>
  <si>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</si>
  <si>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</si>
  <si>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</si>
  <si>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</si>
  <si>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</si>
  <si>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</si>
  <si>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</si>
  <si>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</si>
  <si>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</si>
  <si>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</si>
  <si>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</si>
  <si>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</si>
  <si>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</si>
  <si>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</si>
  <si>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</si>
  <si>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</si>
  <si>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</si>
  <si>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</si>
  <si>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</si>
  <si>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</si>
  <si>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</si>
  <si>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</si>
  <si>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</si>
  <si>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</si>
  <si>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</si>
  <si>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</si>
  <si>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</si>
  <si>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</si>
  <si>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</si>
  <si>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</si>
  <si>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</si>
  <si>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</si>
  <si>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</si>
  <si>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</si>
  <si>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</si>
  <si>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</si>
  <si>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</si>
  <si>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</si>
  <si>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</si>
  <si>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</si>
  <si>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</si>
  <si>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</si>
  <si>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</si>
  <si>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</si>
  <si>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</si>
  <si>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</si>
  <si>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</si>
  <si>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</si>
  <si>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</si>
  <si>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</si>
  <si>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</si>
  <si>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</si>
  <si>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</si>
  <si>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</si>
  <si>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</si>
  <si>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</si>
  <si>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</si>
  <si>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</si>
  <si>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</si>
  <si>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</si>
  <si>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</si>
  <si>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</si>
  <si>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</si>
  <si>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</si>
  <si>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</si>
  <si>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</si>
  <si>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</si>
  <si>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</si>
  <si>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</si>
  <si>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</si>
  <si>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</si>
  <si>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</si>
  <si>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</si>
  <si>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</si>
  <si>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</si>
  <si>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</si>
  <si>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</si>
  <si>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</si>
  <si>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</si>
  <si>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</si>
  <si>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</si>
  <si>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</si>
  <si>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</si>
  <si>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</si>
  <si>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</si>
  <si>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</si>
  <si>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</si>
  <si>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</si>
  <si>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</si>
  <si>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</si>
  <si>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</si>
  <si>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</si>
  <si>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</si>
  <si>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</si>
  <si>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</si>
  <si>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</si>
  <si>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</si>
  <si>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</si>
  <si>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</si>
  <si>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</si>
  <si>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</si>
  <si>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</si>
  <si>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</si>
  <si>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</si>
  <si>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</si>
  <si>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</si>
  <si>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</si>
  <si>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</si>
  <si>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</si>
  <si>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</si>
  <si>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</si>
  <si>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</si>
  <si>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</si>
  <si>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</si>
  <si>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</si>
  <si>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</si>
  <si>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</si>
  <si>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</si>
  <si>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</si>
  <si>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</si>
  <si>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</si>
  <si>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</si>
  <si>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</si>
  <si>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</si>
  <si>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</si>
  <si>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</si>
  <si>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</si>
  <si>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</si>
  <si>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</si>
  <si>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</si>
  <si>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</si>
  <si>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</si>
  <si>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</si>
  <si>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</si>
  <si>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</si>
  <si>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</si>
  <si>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</si>
  <si>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</si>
  <si>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</si>
  <si>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</si>
  <si>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</si>
  <si>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</si>
  <si>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</si>
  <si>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</si>
  <si>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</si>
  <si>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</si>
  <si>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</si>
  <si>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</si>
  <si>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</si>
  <si>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</si>
  <si>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</si>
  <si>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</si>
  <si>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</si>
  <si>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</si>
  <si>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</si>
  <si>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</si>
  <si>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</si>
  <si>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</si>
  <si>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</si>
  <si>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</si>
  <si>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</si>
  <si>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</si>
  <si>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</si>
  <si>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</si>
  <si>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</si>
  <si>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</si>
  <si>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</si>
  <si>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</si>
  <si>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</si>
  <si>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</si>
  <si>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</si>
  <si>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</si>
  <si>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</si>
  <si>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</si>
  <si>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</si>
  <si>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</si>
  <si>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</si>
  <si>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</si>
  <si>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</si>
  <si>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</si>
  <si>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</si>
  <si>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</si>
  <si>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</si>
  <si>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</si>
  <si>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</si>
  <si>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</si>
  <si>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</si>
  <si>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</si>
  <si>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</si>
  <si>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</si>
  <si>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</si>
  <si>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</si>
  <si>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</si>
  <si>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</si>
  <si>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</si>
  <si>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</si>
  <si>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</si>
  <si>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</si>
  <si>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</si>
  <si>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</si>
  <si>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</si>
  <si>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</si>
  <si>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</si>
  <si>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</si>
  <si>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</si>
  <si>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</si>
  <si>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</si>
  <si>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</si>
  <si>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</si>
  <si>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</si>
  <si>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</si>
  <si>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</si>
  <si>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</si>
  <si>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</si>
  <si>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</si>
  <si>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</si>
  <si>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</si>
  <si>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</si>
  <si>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</si>
  <si>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</si>
  <si>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</si>
  <si>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</si>
  <si>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</si>
  <si>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</si>
  <si>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</si>
  <si>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</si>
  <si>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</si>
  <si>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</si>
  <si>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</si>
  <si>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</si>
  <si>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</si>
  <si>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</si>
  <si>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</si>
  <si>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</si>
  <si>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</si>
  <si>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</si>
  <si>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</si>
  <si>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</si>
  <si>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</si>
  <si>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</si>
  <si>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</si>
  <si>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</si>
  <si>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</si>
  <si>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</si>
  <si>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</si>
  <si>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</si>
  <si>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</si>
  <si>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</si>
  <si>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</si>
  <si>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</si>
  <si>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</si>
  <si>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</si>
  <si>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</si>
  <si>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</si>
  <si>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</si>
  <si>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</si>
  <si>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</si>
  <si>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</si>
  <si>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</si>
  <si>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</si>
  <si>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</si>
  <si>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</si>
  <si>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</si>
  <si>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</si>
  <si>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</si>
  <si>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</si>
  <si>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</si>
  <si>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</si>
  <si>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</si>
  <si>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</si>
  <si>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</si>
  <si>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</si>
  <si>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</si>
  <si>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</si>
  <si>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</si>
  <si>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</si>
  <si>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</si>
  <si>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</si>
  <si>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</si>
  <si>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</si>
  <si>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</si>
  <si>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</si>
  <si>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</si>
  <si>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</si>
  <si>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</si>
  <si>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</si>
  <si>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</si>
  <si>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</si>
  <si>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</si>
  <si>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</si>
  <si>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</si>
  <si>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</si>
  <si>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</si>
  <si>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</si>
  <si>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</si>
  <si>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</si>
  <si>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</si>
  <si>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</si>
  <si>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</si>
  <si>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</si>
  <si>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</si>
  <si>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</si>
  <si>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</si>
  <si>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</si>
  <si>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</si>
  <si>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</si>
  <si>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</si>
  <si>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</si>
  <si>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</si>
  <si>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</si>
  <si>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</si>
  <si>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</si>
  <si>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</si>
  <si>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</si>
  <si>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</si>
  <si>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</si>
  <si>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</si>
  <si>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</si>
  <si>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</si>
  <si>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</si>
  <si>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</si>
  <si>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</si>
  <si>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</si>
  <si>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</si>
  <si>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</si>
  <si>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</si>
  <si>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</si>
  <si>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</si>
  <si>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</si>
  <si>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</si>
  <si>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</si>
  <si>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</si>
  <si>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</si>
  <si>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</si>
  <si>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</si>
  <si>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</si>
  <si>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</si>
  <si>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</si>
  <si>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</si>
  <si>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</si>
  <si>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</si>
  <si>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</si>
  <si>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</si>
  <si>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</si>
  <si>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</si>
  <si>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</si>
  <si>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</si>
  <si>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</si>
  <si>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</si>
  <si>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</si>
  <si>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</si>
  <si>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</si>
  <si>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</si>
  <si>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</si>
  <si>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</si>
  <si>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</si>
  <si>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</si>
  <si>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</si>
  <si>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</si>
  <si>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</si>
  <si>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</si>
  <si>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</si>
  <si>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</si>
  <si>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</si>
  <si>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</si>
  <si>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</si>
  <si>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</si>
  <si>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</si>
  <si>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</si>
  <si>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</si>
  <si>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</si>
  <si>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</si>
  <si>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</si>
  <si>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</si>
  <si>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</si>
  <si>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</si>
  <si>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</si>
  <si>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</si>
  <si>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</si>
  <si>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</si>
  <si>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</si>
  <si>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</si>
  <si>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</si>
  <si>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</si>
  <si>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</si>
  <si>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</si>
  <si>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</si>
  <si>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</si>
  <si>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</si>
  <si>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</si>
  <si>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</si>
  <si>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</si>
  <si>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</si>
  <si>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</si>
  <si>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</si>
  <si>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</si>
  <si>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</si>
  <si>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</si>
  <si>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</si>
  <si>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</si>
  <si>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</si>
  <si>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</si>
  <si>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</si>
  <si>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</si>
  <si>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</si>
  <si>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</si>
  <si>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</si>
  <si>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</si>
  <si>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</si>
  <si>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</si>
  <si>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</si>
  <si>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</si>
  <si>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</si>
  <si>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</si>
  <si>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</si>
  <si>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</si>
  <si>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</si>
  <si>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</si>
  <si>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</si>
  <si>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</si>
  <si>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</si>
  <si>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</si>
  <si>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</si>
  <si>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</si>
  <si>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</si>
  <si>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</si>
  <si>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</si>
  <si>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</si>
  <si>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</si>
  <si>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</si>
  <si>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</si>
  <si>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</si>
  <si>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</si>
  <si>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</si>
  <si>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</si>
  <si>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</si>
  <si>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</si>
  <si>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</si>
  <si>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</si>
  <si>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</si>
  <si>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</si>
  <si>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</si>
  <si>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</si>
  <si>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</si>
  <si>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</si>
  <si>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</si>
  <si>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</si>
  <si>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</si>
  <si>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</si>
  <si>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</si>
  <si>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</si>
  <si>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</si>
  <si>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</si>
  <si>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</si>
  <si>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</si>
  <si>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</si>
  <si>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</si>
  <si>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</si>
  <si>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</si>
  <si>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</si>
  <si>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</si>
  <si>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</si>
  <si>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</si>
  <si>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</si>
  <si>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</si>
  <si>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</si>
  <si>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</si>
  <si>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</si>
  <si>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</si>
  <si>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</si>
  <si>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</si>
  <si>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</si>
  <si>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</si>
  <si>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</si>
  <si>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</si>
  <si>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</si>
  <si>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</si>
  <si>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</si>
  <si>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</si>
  <si>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</si>
  <si>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</si>
  <si>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</si>
  <si>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</si>
  <si>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</si>
  <si>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</si>
  <si>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</si>
  <si>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</si>
  <si>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</si>
  <si>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</si>
  <si>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</si>
  <si>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</si>
  <si>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</si>
  <si>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</si>
  <si>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</si>
  <si>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</si>
  <si>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</si>
  <si>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</si>
  <si>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</si>
  <si>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</si>
  <si>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</si>
  <si>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</si>
  <si>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</si>
  <si>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</si>
  <si>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</si>
  <si>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</si>
  <si>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</si>
  <si>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</si>
  <si>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</si>
  <si>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</si>
  <si>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</si>
  <si>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</si>
  <si>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</si>
  <si>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</si>
  <si>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</si>
  <si>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</si>
  <si>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</si>
  <si>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</si>
  <si>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</si>
  <si>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</si>
  <si>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</si>
  <si>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</si>
  <si>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</si>
  <si>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</si>
  <si>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</si>
  <si>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</si>
  <si>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</si>
  <si>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</si>
  <si>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</si>
  <si>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</si>
  <si>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</si>
  <si>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</si>
  <si>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</si>
  <si>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</si>
  <si>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</si>
  <si>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</si>
  <si>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</si>
  <si>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</si>
  <si>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</si>
  <si>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</si>
  <si>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</si>
  <si>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</si>
  <si>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</si>
  <si>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</si>
  <si>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</si>
  <si>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</si>
  <si>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</si>
  <si>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</si>
  <si>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</si>
  <si>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</si>
  <si>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</si>
  <si>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</si>
  <si>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</si>
  <si>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</si>
  <si>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</si>
  <si>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</si>
  <si>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</si>
  <si>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</si>
  <si>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</si>
  <si>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</si>
  <si>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</si>
  <si>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</si>
  <si>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</si>
  <si>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</si>
  <si>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</si>
  <si>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</si>
  <si>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</si>
  <si>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</si>
  <si>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</si>
  <si>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</si>
  <si>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</si>
  <si>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</si>
  <si>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</si>
  <si>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</si>
  <si>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</si>
  <si>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</si>
  <si>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</si>
  <si>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</si>
  <si>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</si>
  <si>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</si>
  <si>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</si>
  <si>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</si>
  <si>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</si>
  <si>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</si>
  <si>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</si>
  <si>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</si>
  <si>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</si>
  <si>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</si>
  <si>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</si>
  <si>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</si>
  <si>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</si>
  <si>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</si>
  <si>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</si>
  <si>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</si>
  <si>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</si>
  <si>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</si>
  <si>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</si>
  <si>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</si>
  <si>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</si>
  <si>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</si>
  <si>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</si>
  <si>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</si>
  <si>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</si>
  <si>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</si>
  <si>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</si>
  <si>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</si>
  <si>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</si>
  <si>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</si>
  <si>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</si>
  <si>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</si>
  <si>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</si>
  <si>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</si>
  <si>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</si>
  <si>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</si>
  <si>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</si>
  <si>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</si>
  <si>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</si>
  <si>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</si>
  <si>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</si>
  <si>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</si>
  <si>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</si>
  <si>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</si>
  <si>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</si>
  <si>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</si>
  <si>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</si>
  <si>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</si>
  <si>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</si>
  <si>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</si>
  <si>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</si>
  <si>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</si>
  <si>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</si>
  <si>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</si>
  <si>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</si>
  <si>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</si>
  <si>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</si>
  <si>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</si>
  <si>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</si>
  <si>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</si>
  <si>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</si>
  <si>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</si>
  <si>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</si>
  <si>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</si>
  <si>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</si>
  <si>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</si>
  <si>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</si>
  <si>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</si>
  <si>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</si>
  <si>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</si>
  <si>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</si>
  <si>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</si>
  <si>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</si>
  <si>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</si>
  <si>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</si>
  <si>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</si>
  <si>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</si>
  <si>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</si>
  <si>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</si>
  <si>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</si>
  <si>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</si>
  <si>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</si>
  <si>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</si>
  <si>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</si>
  <si>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</si>
  <si>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</si>
  <si>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</si>
  <si>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</si>
  <si>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</si>
  <si>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</si>
  <si>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</si>
  <si>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</si>
  <si>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</si>
  <si>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</si>
  <si>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</si>
  <si>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</si>
  <si>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</si>
  <si>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</si>
  <si>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</si>
  <si>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</si>
  <si>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</si>
  <si>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</si>
  <si>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</si>
  <si>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</si>
  <si>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</si>
  <si>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</si>
  <si>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</si>
  <si>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</si>
  <si>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</si>
  <si>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</si>
  <si>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</si>
  <si>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</si>
  <si>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</si>
  <si>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</si>
  <si>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</si>
  <si>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</si>
  <si>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</si>
  <si>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</si>
  <si>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</si>
  <si>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</si>
  <si>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</si>
  <si>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</si>
  <si>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</si>
  <si>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</si>
  <si>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</si>
  <si>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</si>
  <si>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</si>
  <si>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</si>
  <si>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</si>
  <si>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</si>
  <si>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</si>
  <si>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</si>
  <si>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</si>
  <si>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</si>
  <si>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</si>
  <si>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</si>
  <si>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</si>
  <si>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</si>
  <si>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</si>
  <si>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</si>
  <si>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</si>
  <si>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</si>
  <si>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</si>
  <si>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</si>
  <si>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</si>
  <si>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</si>
  <si>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</si>
  <si>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</si>
  <si>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</si>
  <si>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</si>
  <si>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</si>
  <si>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</si>
  <si>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</si>
  <si>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</si>
  <si>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</si>
  <si>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</si>
  <si>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</si>
  <si>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</si>
  <si>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</si>
  <si>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</si>
  <si>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</si>
  <si>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</si>
  <si>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</si>
  <si>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</si>
  <si>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</si>
  <si>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</si>
  <si>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</si>
  <si>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</si>
  <si>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</si>
  <si>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</si>
  <si>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</si>
  <si>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</si>
  <si>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</si>
  <si>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</si>
  <si>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</si>
  <si>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</si>
  <si>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</si>
  <si>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</si>
  <si>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</si>
  <si>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</si>
  <si>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</si>
  <si>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</si>
  <si>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</si>
  <si>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</si>
  <si>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</si>
  <si>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</si>
  <si>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</si>
  <si>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</si>
  <si>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</si>
  <si>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</si>
  <si>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</si>
  <si>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</si>
  <si>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</si>
  <si>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</si>
  <si>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</si>
  <si>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</si>
  <si>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</si>
  <si>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</si>
  <si>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</si>
  <si>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</si>
  <si>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</si>
  <si>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</si>
  <si>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</si>
  <si>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</si>
  <si>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</si>
  <si>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</si>
  <si>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</si>
  <si>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</si>
  <si>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</si>
  <si>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</si>
  <si>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</si>
  <si>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</si>
  <si>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</si>
  <si>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</si>
  <si>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</si>
  <si>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</si>
  <si>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</si>
  <si>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</si>
  <si>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</si>
  <si>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</si>
  <si>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</si>
  <si>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</si>
  <si>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</si>
  <si>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</si>
  <si>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</si>
  <si>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</si>
  <si>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</si>
  <si>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</si>
  <si>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</si>
  <si>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</si>
  <si>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r>
      <t>6</t>
    </r>
    <r>
      <rPr>
        <sz val="10"/>
        <color indexed="8"/>
        <rFont val="宋体"/>
        <family val="3"/>
        <charset val="134"/>
      </rPr>
      <t>（机井房</t>
    </r>
    <r>
      <rPr>
        <sz val="10"/>
        <color indexed="8"/>
        <rFont val="Arial"/>
        <family val="2"/>
      </rPr>
      <t>21.44</t>
    </r>
    <r>
      <rPr>
        <sz val="10"/>
        <color indexed="8"/>
        <rFont val="宋体"/>
        <family val="3"/>
        <charset val="134"/>
      </rPr>
      <t>平，灭失）</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</si>
  <si>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</si>
  <si>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</si>
  <si>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</si>
  <si>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</si>
  <si>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</si>
  <si>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</si>
  <si>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</si>
  <si>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</si>
  <si>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北京市平谷区人民政府关于印发《平谷区征收城市基础设施建设费管理办法》的通知</t>
    <phoneticPr fontId="134" type="noConversion"/>
  </si>
  <si>
    <t>京平政发〔2024〕14号</t>
    <phoneticPr fontId="134" type="noConversion"/>
  </si>
  <si>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</si>
  <si>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</si>
  <si>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</si>
  <si>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</si>
  <si>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</si>
  <si>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</si>
  <si>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</si>
  <si>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</si>
  <si>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</si>
  <si>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</si>
  <si>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</si>
  <si>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</si>
  <si>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</si>
  <si>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</si>
  <si>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</si>
  <si>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</si>
  <si>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</si>
  <si>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</si>
  <si>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</si>
  <si>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</si>
  <si>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</si>
  <si>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</si>
  <si>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</si>
  <si>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</si>
  <si>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</si>
  <si>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</si>
  <si>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</si>
  <si>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</si>
  <si>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</si>
  <si>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</si>
  <si>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</si>
  <si>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</si>
  <si>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</si>
  <si>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</si>
  <si>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</si>
  <si>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</si>
  <si>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</si>
  <si>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</si>
  <si>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</si>
  <si>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</si>
  <si>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</si>
  <si>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</si>
  <si>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</si>
  <si>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</si>
  <si>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</si>
  <si>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</si>
  <si>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</si>
  <si>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</si>
  <si>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</si>
  <si>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</si>
  <si>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</si>
  <si>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</si>
  <si>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</si>
  <si>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</si>
  <si>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</si>
  <si>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</si>
  <si>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</si>
  <si>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</si>
  <si>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</si>
  <si>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</si>
  <si>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</si>
  <si>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</si>
  <si>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</si>
  <si>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</si>
  <si>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</si>
  <si>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</si>
  <si>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</si>
  <si>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</si>
  <si>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</si>
  <si>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</si>
  <si>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</si>
  <si>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</si>
  <si>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</si>
  <si>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</si>
  <si>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</si>
  <si>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</si>
  <si>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</si>
  <si>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</si>
  <si>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</si>
  <si>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</si>
  <si>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</si>
  <si>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</si>
  <si>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</si>
  <si>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</si>
  <si>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</si>
  <si>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</si>
  <si>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</si>
  <si>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</si>
  <si>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</si>
  <si>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</si>
  <si>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</si>
  <si>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</si>
  <si>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</si>
  <si>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</si>
  <si>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</si>
  <si>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</si>
  <si>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</si>
  <si>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</si>
  <si>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</si>
  <si>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</si>
  <si>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</si>
  <si>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</si>
  <si>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</si>
  <si>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</si>
  <si>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</si>
  <si>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</si>
  <si>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</si>
  <si>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</si>
  <si>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</si>
  <si>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</si>
  <si>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</si>
  <si>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</si>
  <si>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</si>
  <si>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</si>
  <si>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</si>
  <si>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</si>
  <si>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</si>
  <si>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</si>
  <si>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</si>
  <si>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</si>
  <si>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</si>
  <si>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</si>
  <si>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</si>
  <si>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</si>
  <si>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</si>
  <si>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</si>
  <si>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</si>
  <si>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</si>
  <si>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</si>
  <si>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</si>
  <si>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</si>
  <si>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</si>
  <si>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</si>
  <si>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</si>
  <si>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</si>
  <si>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</si>
  <si>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</si>
  <si>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</si>
  <si>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</si>
  <si>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</si>
  <si>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</si>
  <si>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</si>
  <si>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</si>
  <si>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</si>
  <si>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</si>
  <si>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</si>
  <si>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</si>
  <si>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</si>
  <si>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</si>
  <si>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</si>
  <si>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</si>
  <si>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</si>
  <si>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</si>
  <si>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</si>
  <si>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</si>
  <si>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</si>
  <si>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</si>
  <si>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</si>
  <si>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</si>
  <si>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</si>
  <si>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</si>
  <si>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</si>
  <si>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</si>
  <si>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</si>
  <si>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</si>
  <si>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</si>
  <si>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</si>
  <si>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</si>
  <si>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</si>
  <si>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</si>
  <si>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</si>
  <si>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</si>
  <si>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</si>
  <si>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</si>
  <si>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</si>
  <si>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</si>
  <si>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</si>
  <si>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</si>
  <si>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</si>
  <si>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</si>
  <si>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</si>
  <si>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</si>
  <si>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</si>
  <si>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</si>
  <si>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</si>
  <si>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</si>
  <si>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</si>
  <si>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</si>
  <si>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</si>
  <si>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</si>
  <si>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</si>
  <si>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</si>
  <si>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</si>
  <si>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</si>
  <si>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</si>
  <si>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</si>
  <si>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</si>
  <si>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</si>
  <si>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</si>
  <si>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</si>
  <si>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</si>
  <si>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</si>
  <si>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</si>
  <si>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</si>
  <si>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</si>
  <si>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</si>
  <si>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</si>
  <si>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</si>
  <si>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</si>
  <si>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</si>
  <si>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</si>
  <si>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</si>
  <si>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</si>
  <si>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</si>
  <si>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</si>
  <si>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</si>
  <si>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</si>
  <si>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</si>
  <si>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</si>
  <si>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</si>
  <si>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去年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</si>
</sst>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1" fontId="44" fillId="18" borderId="24" xfId="0" applyNumberFormat="1" applyFont="1" applyFill="1" applyBorder="1" applyAlignment="1" applyProtection="1">
      <alignment horizontal="center" vertical="center"/>
      <protection locked="0"/>
    </xf>
    <xf numFmtId="0" fontId="47" fillId="18" borderId="0" xfId="0"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2418</v>
      </c>
    </row>
    <row r="21" spans="1:2" s="1199" customFormat="1">
      <c r="A21" s="1197" t="s">
        <v>537</v>
      </c>
      <c r="B21" s="1198">
        <f ca="1">'预评函-2'!D7</f>
        <v>4499</v>
      </c>
    </row>
    <row r="22" spans="1:2" s="1199" customFormat="1">
      <c r="A22" s="1197" t="s">
        <v>538</v>
      </c>
      <c r="B22" s="1198" t="str">
        <f ca="1">'预评函-2'!D6</f>
        <v>贰仟肆佰壹拾捌万元整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2418</v>
      </c>
    </row>
    <row r="31" spans="1:2" s="1199" customFormat="1">
      <c r="A31" s="1197" t="s">
        <v>576</v>
      </c>
      <c r="B31" s="1198">
        <f ca="1">'预评函-2'!D15</f>
        <v>4499</v>
      </c>
    </row>
    <row r="32" spans="1:2" s="1199" customFormat="1">
      <c r="A32" s="1197" t="s">
        <v>543</v>
      </c>
      <c r="B32" s="1198" t="str">
        <f ca="1">'预评函-2'!D14</f>
        <v>贰仟肆佰壹拾捌万元整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1132</v>
      </c>
    </row>
    <row r="48" spans="1:2" s="1199" customFormat="1">
      <c r="A48" s="1197" t="s">
        <v>549</v>
      </c>
      <c r="B48" s="1198">
        <f ca="1">'预评函-3'!E4</f>
        <v>2106</v>
      </c>
    </row>
    <row r="49" spans="1:2" s="1199" customFormat="1">
      <c r="A49" s="1197" t="s">
        <v>550</v>
      </c>
      <c r="B49" s="1198" t="str">
        <f ca="1">'预评函-3'!D5</f>
        <v>壹仟壹佰叁拾贰万元整</v>
      </c>
    </row>
    <row r="50" spans="1:2" s="1199" customFormat="1">
      <c r="A50" s="1197" t="s">
        <v>574</v>
      </c>
      <c r="B50" s="1198" t="str">
        <f>'预评函-3'!F2</f>
        <v>建筑物价值</v>
      </c>
    </row>
    <row r="51" spans="1:2" s="1199" customFormat="1">
      <c r="A51" s="1197" t="s">
        <v>551</v>
      </c>
      <c r="B51" s="1198">
        <f ca="1">'预评函-3'!F4</f>
        <v>1286</v>
      </c>
    </row>
    <row r="52" spans="1:2" s="1199" customFormat="1">
      <c r="A52" s="1197" t="s">
        <v>552</v>
      </c>
      <c r="B52" s="1198">
        <f ca="1">'预评函-3'!G4</f>
        <v>2393</v>
      </c>
    </row>
    <row r="53" spans="1:2" s="1199" customFormat="1">
      <c r="A53" s="1197" t="s">
        <v>580</v>
      </c>
      <c r="B53" s="1198" t="str">
        <f ca="1">'预评函-3'!F5</f>
        <v>壹仟贰佰捌拾陆万元整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0" t="s">
        <v>385</v>
      </c>
      <c r="C54" s="1547" t="s">
        <v>583</v>
      </c>
    </row>
    <row r="55" spans="1:4">
      <c r="A55" s="3541"/>
      <c r="B55" s="1550" t="s">
        <v>386</v>
      </c>
      <c r="C55" s="1547" t="s">
        <v>584</v>
      </c>
    </row>
    <row r="56" spans="1:4">
      <c r="A56" s="3541"/>
      <c r="B56" s="1550" t="s">
        <v>387</v>
      </c>
      <c r="C56" s="1547" t="s">
        <v>588</v>
      </c>
    </row>
    <row r="57" spans="1:4">
      <c r="A57" s="354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2" t="s">
        <v>2576</v>
      </c>
      <c r="J2" s="3542"/>
      <c r="K2" s="3542"/>
      <c r="L2" s="3542"/>
      <c r="M2" s="3542"/>
      <c r="N2" s="3542"/>
      <c r="O2" s="3542"/>
      <c r="P2" s="3542"/>
      <c r="Q2" s="3542"/>
      <c r="R2" s="3542"/>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51"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52"/>
      <c r="D1" s="3552"/>
      <c r="E1" s="3552"/>
      <c r="F1" s="3552"/>
      <c r="G1" s="3552"/>
      <c r="H1" s="3552"/>
      <c r="I1" s="355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3512</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54"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55"/>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3511</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61"/>
      <c r="C16" s="3562"/>
      <c r="D16" s="3563"/>
      <c r="E16" s="2409" t="s">
        <v>2190</v>
      </c>
      <c r="F16" s="3564"/>
      <c r="G16" s="3565"/>
      <c r="H16" s="3565"/>
      <c r="I16" s="3566"/>
      <c r="J16" s="2435"/>
      <c r="K16" s="2613"/>
      <c r="L16" s="2447"/>
      <c r="M16" s="2447"/>
      <c r="N16" s="2505"/>
      <c r="O16" s="2447"/>
      <c r="P16" s="2505"/>
      <c r="Q16" s="2435"/>
      <c r="R16" s="2435"/>
    </row>
    <row r="17" spans="1:28">
      <c r="A17" s="310" t="s">
        <v>2191</v>
      </c>
      <c r="B17" s="299" t="s">
        <v>2192</v>
      </c>
      <c r="C17" s="8">
        <f>'数据-汇总表'!E3</f>
        <v>5374.44</v>
      </c>
      <c r="D17" s="2318" t="s">
        <v>2193</v>
      </c>
      <c r="E17" s="3567" t="s">
        <v>2194</v>
      </c>
      <c r="F17" s="3568"/>
      <c r="G17" s="3568"/>
      <c r="H17" s="3568"/>
      <c r="I17" s="3569"/>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70" t="s">
        <v>2198</v>
      </c>
      <c r="F18" s="3571"/>
      <c r="G18" s="3571"/>
      <c r="H18" s="3571"/>
      <c r="I18" s="3572"/>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57" t="s">
        <v>2202</v>
      </c>
      <c r="C20" s="3558"/>
      <c r="D20" s="3559" t="s">
        <v>2203</v>
      </c>
      <c r="E20" s="3560"/>
      <c r="F20" s="2643" t="s">
        <v>1056</v>
      </c>
      <c r="G20" s="2660"/>
      <c r="H20" s="2660"/>
      <c r="I20" s="2660"/>
      <c r="J20" s="2435"/>
      <c r="K20" s="3556"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5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5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4"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4"/>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4"/>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5"/>
      <c r="B30" s="299" t="s">
        <v>2214</v>
      </c>
      <c r="C30" s="3546"/>
      <c r="D30" s="3547"/>
      <c r="E30" s="2660"/>
      <c r="F30" s="2660"/>
      <c r="G30" s="2660"/>
      <c r="H30" s="2660"/>
      <c r="I30" s="2660"/>
      <c r="J30" s="2435"/>
      <c r="K30" s="2612"/>
      <c r="L30" s="2609"/>
      <c r="M30" s="2609"/>
      <c r="N30" s="2435"/>
      <c r="O30" s="2446"/>
      <c r="P30" s="2435"/>
      <c r="Q30" s="2435"/>
      <c r="R30" s="2435"/>
      <c r="S30" s="2435"/>
      <c r="T30" s="2435"/>
      <c r="U30" s="2435"/>
      <c r="V30" s="2435"/>
    </row>
    <row r="31" spans="1:28">
      <c r="A31" s="3548"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43" t="s">
        <v>2224</v>
      </c>
      <c r="T34" s="2424" t="str">
        <f>NUMBERSTRING(7-K34,1)&amp;"通"</f>
        <v>七通</v>
      </c>
      <c r="U34" s="2435"/>
      <c r="V34" s="2435"/>
    </row>
    <row r="35" spans="1:30">
      <c r="A35" s="2425"/>
      <c r="B35" s="3550" t="s">
        <v>2225</v>
      </c>
      <c r="C35" s="3550"/>
      <c r="D35" s="3550"/>
      <c r="E35" s="3550"/>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43"/>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2" t="s">
        <v>1131</v>
      </c>
      <c r="B2" s="3582"/>
      <c r="C2" s="3582"/>
      <c r="D2" s="792" t="s">
        <v>1107</v>
      </c>
      <c r="E2" s="1635" t="s">
        <v>1108</v>
      </c>
      <c r="F2" s="2655"/>
      <c r="G2" s="2646"/>
      <c r="H2" s="2647"/>
      <c r="I2" s="2321" t="s">
        <v>1132</v>
      </c>
      <c r="J2" s="2655"/>
      <c r="K2" s="2655"/>
      <c r="L2" s="2655"/>
      <c r="M2" s="2655"/>
      <c r="N2" s="2657"/>
      <c r="O2" s="2655"/>
      <c r="P2" s="2655"/>
    </row>
    <row r="3" spans="1:16" ht="15.75" thickBot="1">
      <c r="A3" s="3583" t="s">
        <v>1105</v>
      </c>
      <c r="B3" s="3583"/>
      <c r="C3" s="3583"/>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4"/>
      <c r="B4" s="3585"/>
      <c r="C4" s="3586"/>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87" t="s">
        <v>1110</v>
      </c>
      <c r="C5" s="3587"/>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87" t="s">
        <v>1111</v>
      </c>
      <c r="C6" s="3587"/>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79"/>
      <c r="B7" s="3580"/>
      <c r="C7" s="3581"/>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76" t="s">
        <v>1135</v>
      </c>
      <c r="L16" s="3577"/>
      <c r="M16" s="3577"/>
      <c r="N16" s="3577"/>
      <c r="O16" s="3577"/>
      <c r="P16" s="3578"/>
    </row>
    <row r="17" spans="1:19" ht="15">
      <c r="A17" s="1646" t="s">
        <v>1136</v>
      </c>
      <c r="B17" s="1647" t="s">
        <v>1137</v>
      </c>
      <c r="C17" s="1648" t="s">
        <v>1138</v>
      </c>
      <c r="D17" s="1649" t="s">
        <v>1126</v>
      </c>
      <c r="E17" s="1650" t="s">
        <v>1127</v>
      </c>
      <c r="F17" s="1651"/>
      <c r="G17" s="1652"/>
      <c r="H17" s="1653" t="s">
        <v>1139</v>
      </c>
      <c r="I17" s="1654" t="s">
        <v>1124</v>
      </c>
      <c r="J17" s="1135"/>
      <c r="K17" s="3573" t="s">
        <v>1140</v>
      </c>
      <c r="L17" s="3574"/>
      <c r="M17" s="3575"/>
      <c r="N17" s="3573" t="s">
        <v>1141</v>
      </c>
      <c r="O17" s="3574"/>
      <c r="P17" s="3575"/>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N41" sqref="N4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729">
        <f>M28</f>
        <v>2640.2750798222701</v>
      </c>
      <c r="M6" s="67">
        <f t="shared" ref="M6:M14" si="0">ROUND(K6*L6/10000,0)</f>
        <v>1419</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70">
        <v>1.4999999999999999E-2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2E-3</v>
      </c>
      <c r="AL6" s="79">
        <v>1E-3</v>
      </c>
      <c r="AM6" s="3842">
        <v>0.01</v>
      </c>
      <c r="AN6" s="1711" t="s">
        <v>3468</v>
      </c>
      <c r="AO6" s="52">
        <f ca="1">SUMIF(INDIRECT("'"&amp;AN6&amp;"'"&amp;"!A:A"),"总价",INDIRECT("'"&amp;AN6&amp;"'"&amp;"!B:B"))</f>
        <v>2408</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2640</v>
      </c>
      <c r="M16" s="93">
        <f>SUM(M6:M14)</f>
        <v>1419</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3467</v>
      </c>
      <c r="U17" s="3487">
        <v>1.1000000000000001</v>
      </c>
      <c r="V17" s="3486">
        <v>0.02</v>
      </c>
      <c r="W17" s="2667"/>
      <c r="X17" s="2667"/>
      <c r="Y17" s="2667"/>
      <c r="Z17" s="2667"/>
      <c r="AA17" s="2667"/>
      <c r="AB17" s="2667"/>
      <c r="AC17" s="2667"/>
      <c r="AD17" s="2667"/>
      <c r="AE17" s="2667"/>
      <c r="AF17" s="2667"/>
      <c r="AG17" s="2667"/>
      <c r="AH17" s="2667"/>
      <c r="AI17" s="2667"/>
      <c r="AJ17" s="3487" t="s">
        <v>3467</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2600</v>
      </c>
      <c r="N22" s="2668">
        <f>ROUND(L22*M22,0)</f>
        <v>5853354</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6" si="12">ROUND(L23*M23,0)</f>
        <v>7874160</v>
      </c>
      <c r="O23" s="3481" t="s">
        <v>3453</v>
      </c>
      <c r="P23" s="2668">
        <f>ROUND(1-(1-2%)*(2025-$N$18)/50,2)</f>
        <v>0.67</v>
      </c>
      <c r="Q23" s="2668">
        <f t="shared" ref="Q23:Q26" si="13">L23*P23</f>
        <v>1884.174</v>
      </c>
      <c r="R23" s="2668" t="s">
        <v>3454</v>
      </c>
      <c r="S23" s="2668">
        <v>0.8</v>
      </c>
      <c r="T23" s="2668">
        <f t="shared" ref="T23:T26" si="14">S23*L23</f>
        <v>2249.7599999999998</v>
      </c>
      <c r="U23" s="3485" t="s">
        <v>3496</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1500</v>
      </c>
      <c r="N24" s="2668">
        <f t="shared" si="12"/>
        <v>42375</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1500</v>
      </c>
      <c r="N25" s="2668">
        <f t="shared" si="12"/>
        <v>155940</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1500</v>
      </c>
      <c r="N26" s="2668">
        <f t="shared" si="12"/>
        <v>268110</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3471</v>
      </c>
      <c r="F27" s="2657"/>
      <c r="G27" s="2669"/>
      <c r="H27" s="2669"/>
      <c r="I27" s="2669"/>
      <c r="J27" s="2655"/>
      <c r="K27" s="2668" t="s">
        <v>3460</v>
      </c>
      <c r="L27" s="2668">
        <f>'[2]数据-基础表'!I18</f>
        <v>0</v>
      </c>
      <c r="M27" s="2668">
        <v>0</v>
      </c>
      <c r="N27" s="2668">
        <f t="shared" ref="N23:N27" si="16">L27*M27</f>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3472</v>
      </c>
      <c r="G28" s="2669"/>
      <c r="H28" s="2669"/>
      <c r="I28" s="2669"/>
      <c r="J28" s="2655"/>
      <c r="K28" s="3481" t="s">
        <v>2588</v>
      </c>
      <c r="L28" s="2668">
        <f>L22+L23+L24+L26+L25+L27</f>
        <v>5374.44</v>
      </c>
      <c r="M28" s="3843">
        <f>N28*10000/L28</f>
        <v>2640.2750798222701</v>
      </c>
      <c r="N28" s="3843">
        <f>ROUND((N22+N23+N24+N25+N26+N27)/10000,0)</f>
        <v>1419</v>
      </c>
      <c r="O28" s="2668"/>
      <c r="P28" s="2668">
        <f>ROUND(Q28/L28,2)</f>
        <v>0.69</v>
      </c>
      <c r="Q28" s="2668">
        <f t="shared" ref="Q28" si="17">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3473</v>
      </c>
      <c r="F29" s="2657"/>
      <c r="G29" s="2669"/>
      <c r="H29" s="2669"/>
      <c r="I29" s="2669"/>
      <c r="J29" s="2669"/>
      <c r="K29" s="2668"/>
      <c r="L29" s="2668"/>
      <c r="M29" s="2667"/>
      <c r="N29" s="2667">
        <f>SUM(N22:N26)/10000</f>
        <v>1419.3939</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3463</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3464</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3465</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3466</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8" t="s">
        <v>2282</v>
      </c>
      <c r="B1" s="3589"/>
      <c r="C1" s="3589"/>
      <c r="D1" s="3589"/>
      <c r="E1" s="3589"/>
      <c r="F1" s="3589"/>
      <c r="G1" s="358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2418</v>
      </c>
      <c r="C5" s="2508">
        <f ca="1">IF(B5=D14,结果表!H102,ROUND(B5*10000/$B$1,0))</f>
        <v>4499</v>
      </c>
      <c r="D5" s="2508">
        <f ca="1">ROUND(B5*10000/$B$2,0)</f>
        <v>1794</v>
      </c>
      <c r="E5" s="2682"/>
      <c r="F5" s="2683"/>
      <c r="G5" s="2683"/>
      <c r="H5" s="2684"/>
      <c r="I5" s="2684"/>
      <c r="J5" s="2684"/>
      <c r="K5" s="2684"/>
    </row>
    <row r="6" spans="1:11" ht="16.5">
      <c r="A6" s="2508" t="s">
        <v>656</v>
      </c>
      <c r="B6" s="2508">
        <f ca="1">SUM(G14:G23)</f>
        <v>2418</v>
      </c>
      <c r="C6" s="2508">
        <f ca="1">IF(B6=G14,结果表!H108,ROUND(B6*10000/$B$1,0))</f>
        <v>4499</v>
      </c>
      <c r="D6" s="2508">
        <f ca="1">ROUND(B6*10000/$B$2,0)</f>
        <v>1794</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2418</v>
      </c>
      <c r="E14" s="2514">
        <f ca="1">ROUND(D14*10000/B14,0)</f>
        <v>4499</v>
      </c>
      <c r="F14" s="2514">
        <f ca="1">ROUND(D14*10000/C14,0)</f>
        <v>1794</v>
      </c>
      <c r="G14" s="2514">
        <f ca="1">结果表!H107</f>
        <v>2418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J30" sqref="J3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4" t="str">
        <f>项目基本情况!S2</f>
        <v>北京市平谷区大兴幢镇大兴庄京兴路22号院1至5号楼工业用房房地产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0" t="s">
        <v>1265</v>
      </c>
      <c r="B4" s="1751" t="s">
        <v>1266</v>
      </c>
      <c r="C4" s="1752" t="s">
        <v>3490</v>
      </c>
      <c r="D4" s="1752" t="s">
        <v>3468</v>
      </c>
      <c r="E4" s="3630" t="s">
        <v>1267</v>
      </c>
      <c r="F4" s="3631"/>
      <c r="G4" s="3631"/>
      <c r="H4" s="3631"/>
      <c r="I4" s="3632"/>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591">
        <v>25</v>
      </c>
      <c r="C5" s="3607"/>
      <c r="D5" s="3627"/>
      <c r="E5" s="128" t="s">
        <v>1269</v>
      </c>
      <c r="F5" s="1753"/>
      <c r="G5" s="1753"/>
      <c r="H5" s="1753"/>
      <c r="I5" s="1369"/>
    </row>
    <row r="6" spans="1:12" ht="12.75">
      <c r="A6" s="3604"/>
      <c r="B6" s="3591"/>
      <c r="C6" s="3608"/>
      <c r="D6" s="3627"/>
      <c r="E6" s="128" t="s">
        <v>1270</v>
      </c>
      <c r="F6" s="1753"/>
      <c r="G6" s="1753"/>
      <c r="H6" s="1753"/>
      <c r="I6" s="1369"/>
    </row>
    <row r="7" spans="1:12" ht="12.75">
      <c r="A7" s="3604"/>
      <c r="B7" s="3591"/>
      <c r="C7" s="3609"/>
      <c r="D7" s="3627"/>
      <c r="E7" s="128" t="s">
        <v>1271</v>
      </c>
      <c r="F7" s="1753"/>
      <c r="G7" s="1753"/>
      <c r="H7" s="1753"/>
      <c r="I7" s="1369"/>
    </row>
    <row r="8" spans="1:12" ht="12.75">
      <c r="A8" s="3604" t="s">
        <v>1272</v>
      </c>
      <c r="B8" s="3591">
        <v>15</v>
      </c>
      <c r="C8" s="3607"/>
      <c r="D8" s="3627"/>
      <c r="E8" s="128" t="s">
        <v>1273</v>
      </c>
      <c r="F8" s="1753"/>
      <c r="G8" s="1753"/>
      <c r="H8" s="1753"/>
      <c r="I8" s="1369"/>
    </row>
    <row r="9" spans="1:12" ht="12.75">
      <c r="A9" s="3604"/>
      <c r="B9" s="3591"/>
      <c r="C9" s="3609"/>
      <c r="D9" s="3627"/>
      <c r="E9" s="128" t="s">
        <v>1274</v>
      </c>
      <c r="F9" s="1753"/>
      <c r="G9" s="1753"/>
      <c r="H9" s="1753"/>
      <c r="I9" s="1369"/>
    </row>
    <row r="10" spans="1:12" ht="12.75">
      <c r="A10" s="3604" t="s">
        <v>1275</v>
      </c>
      <c r="B10" s="3591">
        <v>15</v>
      </c>
      <c r="C10" s="3607"/>
      <c r="D10" s="3627"/>
      <c r="E10" s="128" t="s">
        <v>1276</v>
      </c>
      <c r="F10" s="1753"/>
      <c r="G10" s="1753"/>
      <c r="H10" s="1753"/>
      <c r="I10" s="1369"/>
    </row>
    <row r="11" spans="1:12" ht="12.75">
      <c r="A11" s="3604"/>
      <c r="B11" s="3591"/>
      <c r="C11" s="3609"/>
      <c r="D11" s="3627"/>
      <c r="E11" s="128" t="s">
        <v>1277</v>
      </c>
      <c r="F11" s="1753"/>
      <c r="G11" s="1753"/>
      <c r="H11" s="1753"/>
      <c r="I11" s="1369"/>
    </row>
    <row r="12" spans="1:12" ht="12.75">
      <c r="A12" s="3604" t="s">
        <v>1278</v>
      </c>
      <c r="B12" s="3591">
        <v>15</v>
      </c>
      <c r="C12" s="3607"/>
      <c r="D12" s="3627"/>
      <c r="E12" s="128" t="s">
        <v>1279</v>
      </c>
      <c r="F12" s="1753"/>
      <c r="G12" s="1753"/>
      <c r="H12" s="1753"/>
      <c r="I12" s="1369"/>
    </row>
    <row r="13" spans="1:12" ht="12.75">
      <c r="A13" s="3604"/>
      <c r="B13" s="3591"/>
      <c r="C13" s="3609"/>
      <c r="D13" s="3627"/>
      <c r="E13" s="128" t="s">
        <v>1280</v>
      </c>
      <c r="F13" s="1753"/>
      <c r="G13" s="1753"/>
      <c r="H13" s="1753"/>
      <c r="I13" s="1369"/>
    </row>
    <row r="14" spans="1:12" ht="12.75">
      <c r="A14" s="3604" t="s">
        <v>1281</v>
      </c>
      <c r="B14" s="3591">
        <v>30</v>
      </c>
      <c r="C14" s="3607">
        <v>5</v>
      </c>
      <c r="D14" s="3627">
        <v>5</v>
      </c>
      <c r="E14" s="128" t="s">
        <v>1282</v>
      </c>
      <c r="F14" s="1753"/>
      <c r="G14" s="1753"/>
      <c r="H14" s="1753"/>
      <c r="I14" s="1369"/>
    </row>
    <row r="15" spans="1:12" ht="12.75">
      <c r="A15" s="3604"/>
      <c r="B15" s="3591"/>
      <c r="C15" s="3608"/>
      <c r="D15" s="3627"/>
      <c r="E15" s="128" t="s">
        <v>1283</v>
      </c>
      <c r="F15" s="1753"/>
      <c r="G15" s="1753"/>
      <c r="H15" s="1753"/>
      <c r="I15" s="1369"/>
    </row>
    <row r="16" spans="1:12" ht="12.75">
      <c r="A16" s="3604"/>
      <c r="B16" s="3591"/>
      <c r="C16" s="3609"/>
      <c r="D16" s="3627"/>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14" t="s">
        <v>2127</v>
      </c>
      <c r="F18" s="3615"/>
      <c r="G18" s="3615"/>
      <c r="H18" s="3615"/>
      <c r="I18" s="3615"/>
      <c r="J18" s="3500" t="s">
        <v>3691</v>
      </c>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2428</v>
      </c>
      <c r="D19" s="132">
        <f ca="1">SUMIF(INDIRECT("'"&amp;D4&amp;"'"&amp;"!A:A"),结果表!B19,INDIRECT("'"&amp;D4&amp;"'"&amp;"!B:B"))</f>
        <v>2408</v>
      </c>
      <c r="E19" s="1757" t="s">
        <v>1292</v>
      </c>
      <c r="F19" s="1758" t="s">
        <v>1291</v>
      </c>
      <c r="G19" s="133">
        <f ca="1">ROUND(C19*$C$18+D19*$D$18,0)</f>
        <v>2418</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4518</v>
      </c>
      <c r="D20" s="135">
        <f ca="1">SUMIF(INDIRECT("'"&amp;D4&amp;"'"&amp;"!A:A"),结果表!B20,INDIRECT("'"&amp;D4&amp;"'"&amp;"!B:B"))</f>
        <v>4480</v>
      </c>
      <c r="E20" s="1760"/>
      <c r="F20" s="1022" t="s">
        <v>1295</v>
      </c>
      <c r="G20" s="136">
        <f ca="1">ROUND(C20*$C$18+D20*$D$18,0)</f>
        <v>4499</v>
      </c>
      <c r="H20" s="804" t="s">
        <v>1296</v>
      </c>
      <c r="I20" s="126"/>
      <c r="J20" s="721">
        <v>4752</v>
      </c>
    </row>
    <row r="21" spans="1:36" ht="15" customHeight="1" thickBot="1">
      <c r="A21" s="824"/>
      <c r="B21" s="1761" t="s">
        <v>1297</v>
      </c>
      <c r="C21" s="715">
        <f ca="1">ROUND(C19*10000/L19,0)</f>
        <v>1802</v>
      </c>
      <c r="D21" s="716">
        <f ca="1">ROUND(D19*10000/L19,0)</f>
        <v>1787</v>
      </c>
      <c r="E21" s="824"/>
      <c r="F21" s="1761" t="s">
        <v>1297</v>
      </c>
      <c r="G21" s="137">
        <f ca="1">ROUND(G19*10000/L19,0)</f>
        <v>1794</v>
      </c>
      <c r="H21" s="1762" t="s">
        <v>1296</v>
      </c>
      <c r="I21" s="126"/>
      <c r="J21" s="721">
        <v>1895</v>
      </c>
    </row>
    <row r="22" spans="1:36" ht="15" thickBot="1">
      <c r="A22" s="1684" t="s">
        <v>1298</v>
      </c>
      <c r="B22" s="1763"/>
      <c r="C22" s="1764"/>
      <c r="D22" s="717">
        <f ca="1">IF(C19&lt;D19,D19/C19-1,C19/D19-1)</f>
        <v>8.3056478405316714E-3</v>
      </c>
      <c r="E22" s="126"/>
      <c r="F22" s="126"/>
      <c r="G22" s="126"/>
      <c r="H22" s="126"/>
      <c r="I22" s="126"/>
    </row>
    <row r="23" spans="1:36" ht="13.5" thickBot="1">
      <c r="A23" s="1743"/>
      <c r="B23" s="1743"/>
      <c r="C23" s="1743"/>
      <c r="D23" s="1743"/>
      <c r="E23" s="126"/>
      <c r="F23" s="126"/>
      <c r="G23" s="126"/>
      <c r="H23" s="126"/>
      <c r="I23" s="126"/>
    </row>
    <row r="24" spans="1:36" ht="14.25">
      <c r="A24" s="3598" t="s">
        <v>1299</v>
      </c>
      <c r="B24" s="1758" t="s">
        <v>1291</v>
      </c>
      <c r="C24" s="133">
        <f>IF(B30=0,0,D30)</f>
        <v>0</v>
      </c>
      <c r="D24" s="1765"/>
      <c r="E24" s="126"/>
      <c r="F24" s="126"/>
      <c r="G24" s="126"/>
      <c r="H24" s="126"/>
      <c r="I24" s="126"/>
    </row>
    <row r="25" spans="1:36" ht="14.25">
      <c r="A25" s="3599"/>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2418</v>
      </c>
      <c r="D32" s="1771" t="s">
        <v>3491</v>
      </c>
      <c r="E32" s="126"/>
      <c r="F32" s="126"/>
      <c r="G32" s="126"/>
      <c r="H32" s="126"/>
      <c r="I32" s="126"/>
    </row>
    <row r="33" spans="1:15" ht="15">
      <c r="A33" s="782" t="s">
        <v>1306</v>
      </c>
      <c r="B33" s="1772"/>
      <c r="C33" s="1773" t="s">
        <v>3492</v>
      </c>
      <c r="D33" s="1774" t="s">
        <v>3490</v>
      </c>
      <c r="E33" s="1775" t="s">
        <v>1307</v>
      </c>
      <c r="F33" s="1776" t="str">
        <f>IF(D32="楼面单价","取值（单价）","取值（总价）")</f>
        <v>取值（总价）</v>
      </c>
      <c r="G33" s="126"/>
      <c r="H33" s="126"/>
      <c r="I33" s="126"/>
    </row>
    <row r="34" spans="1:15" ht="15">
      <c r="A34" s="1777"/>
      <c r="B34" s="1778" t="s">
        <v>1308</v>
      </c>
      <c r="C34" s="145">
        <f ca="1">IF(C33="自定义",F34,C32-C35)</f>
        <v>1132</v>
      </c>
      <c r="D34" s="857">
        <f ca="1">IF(C33="自定义",ROUND(C34/C32,3),IF(C33="收益比率",SUMIF(INDIRECT("'"&amp;D33&amp;"'"&amp;"!b:b"),"土地收益比率",INDIRECT("'"&amp;D33&amp;"'"&amp;"!c:c")),SUMIF(INDIRECT("'"&amp;D33&amp;"'"&amp;"!b:b"),"土地成本比率",INDIRECT("'"&amp;D33&amp;"'"&amp;"!c:c"))))</f>
        <v>0.46799999999999997</v>
      </c>
      <c r="E34" s="1779" t="s">
        <v>1309</v>
      </c>
      <c r="F34" s="1326"/>
      <c r="G34" s="126"/>
      <c r="H34" s="126"/>
      <c r="I34" s="126"/>
    </row>
    <row r="35" spans="1:15" ht="15.75" thickBot="1">
      <c r="A35" s="1780"/>
      <c r="B35" s="1781" t="s">
        <v>1310</v>
      </c>
      <c r="C35" s="1166">
        <f ca="1">IF(C33="自定义",F35,ROUND(C32*D35,0))</f>
        <v>1286</v>
      </c>
      <c r="D35" s="1167">
        <f ca="1">IF(C33="自定义",ROUND(C35/C32,3),IF(C33="收益比率",SUMIF(INDIRECT("'"&amp;D33&amp;"'"&amp;"!b:b"),"建筑物收益比率",INDIRECT("'"&amp;D33&amp;"'"&amp;"!c:c")),SUMIF(INDIRECT("'"&amp;D33&amp;"'"&amp;"!b:b"),"建筑物成本比率",INDIRECT("'"&amp;D33&amp;"'"&amp;"!c:c"))))</f>
        <v>0.53200000000000003</v>
      </c>
      <c r="E35" s="1782" t="s">
        <v>1311</v>
      </c>
      <c r="F35" s="151"/>
      <c r="G35" s="126"/>
      <c r="H35" s="126"/>
      <c r="I35" s="126"/>
    </row>
    <row r="36" spans="1:15" ht="15.75" thickBot="1">
      <c r="A36" s="3618" t="s">
        <v>1312</v>
      </c>
      <c r="B36" s="1783" t="s">
        <v>1313</v>
      </c>
      <c r="C36" s="142"/>
      <c r="D36" s="1784"/>
      <c r="E36" s="1785"/>
      <c r="F36" s="1786"/>
      <c r="G36" s="126"/>
      <c r="H36" s="126"/>
      <c r="I36" s="126"/>
    </row>
    <row r="37" spans="1:15" ht="15.75" thickBot="1">
      <c r="A37" s="3619"/>
      <c r="B37" s="1670" t="s">
        <v>1314</v>
      </c>
      <c r="C37" s="144"/>
      <c r="D37" s="1135"/>
      <c r="E37" s="1135"/>
      <c r="F37" s="1786"/>
      <c r="G37" s="126"/>
      <c r="H37" s="126"/>
      <c r="I37" s="126"/>
    </row>
    <row r="38" spans="1:15" ht="15.75" thickBot="1">
      <c r="A38" s="3620"/>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5" t="s">
        <v>1326</v>
      </c>
      <c r="B45" s="3596"/>
      <c r="C45" s="3597"/>
      <c r="D45" s="152">
        <f ca="1">ROUND(H101*F45,0)</f>
        <v>2418</v>
      </c>
      <c r="E45" s="153" t="s">
        <v>1327</v>
      </c>
      <c r="F45" s="154">
        <v>1</v>
      </c>
      <c r="G45" s="155" t="s">
        <v>1328</v>
      </c>
      <c r="H45" s="126"/>
      <c r="I45" s="126"/>
      <c r="J45" s="3673" t="s">
        <v>1329</v>
      </c>
      <c r="K45" s="3673"/>
      <c r="L45" s="3673"/>
      <c r="M45" s="3673"/>
      <c r="N45" s="3673"/>
      <c r="O45" s="3673"/>
    </row>
    <row r="46" spans="1:15" ht="14.25" customHeight="1">
      <c r="A46" s="3592" t="s">
        <v>1330</v>
      </c>
      <c r="B46" s="3593"/>
      <c r="C46" s="3593"/>
      <c r="D46" s="3593"/>
      <c r="E46" s="3593"/>
      <c r="F46" s="3593"/>
      <c r="G46" s="3594"/>
      <c r="H46" s="1802"/>
      <c r="I46" s="156"/>
      <c r="J46" s="2519">
        <v>1</v>
      </c>
      <c r="K46" s="3654" t="s">
        <v>1331</v>
      </c>
      <c r="L46" s="3654"/>
      <c r="M46" s="3674"/>
      <c r="N46" s="3674"/>
      <c r="O46" s="3674"/>
    </row>
    <row r="47" spans="1:15" ht="12" customHeight="1">
      <c r="A47" s="157" t="s">
        <v>1332</v>
      </c>
      <c r="B47" s="158"/>
      <c r="C47" s="159"/>
      <c r="D47" s="1083" t="s">
        <v>1333</v>
      </c>
      <c r="E47" s="299" t="s">
        <v>1334</v>
      </c>
      <c r="F47" s="160" t="s">
        <v>1335</v>
      </c>
      <c r="G47" s="2542" t="s">
        <v>1336</v>
      </c>
      <c r="H47" s="2543"/>
      <c r="I47" s="156"/>
      <c r="J47" s="2519">
        <v>2</v>
      </c>
      <c r="K47" s="3654" t="s">
        <v>1337</v>
      </c>
      <c r="L47" s="3654"/>
      <c r="M47" s="3675">
        <f>'数据-取费表'!B2</f>
        <v>45895</v>
      </c>
      <c r="N47" s="3675"/>
      <c r="O47" s="3675"/>
    </row>
    <row r="48" spans="1:15" ht="25.5">
      <c r="A48" s="3623" t="s">
        <v>1338</v>
      </c>
      <c r="B48" s="3606"/>
      <c r="C48" s="3606"/>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54" t="s">
        <v>1340</v>
      </c>
      <c r="L48" s="3654"/>
      <c r="M48" s="3676">
        <f ca="1">H101</f>
        <v>2418</v>
      </c>
      <c r="N48" s="3676"/>
      <c r="O48" s="3676"/>
    </row>
    <row r="49" spans="1:35" ht="25.5" customHeight="1">
      <c r="A49" s="2329" t="s">
        <v>1341</v>
      </c>
      <c r="B49" s="3590" t="s">
        <v>1342</v>
      </c>
      <c r="C49" s="3590"/>
      <c r="D49" s="1586">
        <v>0</v>
      </c>
      <c r="E49" s="321" t="s">
        <v>1343</v>
      </c>
      <c r="F49" s="2420" t="s">
        <v>28</v>
      </c>
      <c r="G49" s="3660"/>
      <c r="H49" s="2306" t="s">
        <v>2130</v>
      </c>
      <c r="I49" s="2307"/>
      <c r="J49" s="2519">
        <v>4</v>
      </c>
      <c r="K49" s="3654" t="str">
        <f>IF(项目基本情况!E8="房地产抵押价值","房地产抵押价值","抵押担保权已注销时的房地产抵押价值")</f>
        <v>房地产抵押价值</v>
      </c>
      <c r="L49" s="3654"/>
      <c r="M49" s="3676">
        <f ca="1">IF(项目基本情况!E8="房地产抵押价值",H107,H109)</f>
        <v>2418</v>
      </c>
      <c r="N49" s="3676"/>
      <c r="O49" s="3676"/>
    </row>
    <row r="50" spans="1:35" ht="25.5" customHeight="1">
      <c r="A50" s="2547"/>
      <c r="B50" s="3590" t="s">
        <v>1344</v>
      </c>
      <c r="C50" s="3590"/>
      <c r="D50" s="2548"/>
      <c r="E50" s="329"/>
      <c r="F50" s="2420"/>
      <c r="G50" s="3661"/>
      <c r="H50" s="2308" t="s">
        <v>2131</v>
      </c>
      <c r="I50" s="2307"/>
      <c r="J50" s="3673" t="s">
        <v>1345</v>
      </c>
      <c r="K50" s="3673"/>
      <c r="L50" s="3673"/>
      <c r="M50" s="3673"/>
      <c r="N50" s="3673"/>
      <c r="O50" s="3673"/>
    </row>
    <row r="51" spans="1:35" ht="20.45" customHeight="1">
      <c r="A51" s="2549"/>
      <c r="B51" s="3590" t="s">
        <v>1346</v>
      </c>
      <c r="C51" s="3590"/>
      <c r="D51" s="1083"/>
      <c r="E51" s="324"/>
      <c r="F51" s="2420"/>
      <c r="G51" s="3662"/>
      <c r="H51" s="2308" t="s">
        <v>2132</v>
      </c>
      <c r="I51" s="2307"/>
      <c r="J51" s="2520" t="s">
        <v>1347</v>
      </c>
      <c r="K51" s="3654" t="s">
        <v>1348</v>
      </c>
      <c r="L51" s="3654"/>
      <c r="M51" s="2520" t="s">
        <v>1349</v>
      </c>
      <c r="N51" s="2520" t="s">
        <v>1350</v>
      </c>
      <c r="O51" s="2520" t="s">
        <v>1351</v>
      </c>
    </row>
    <row r="52" spans="1:35" ht="24" customHeight="1">
      <c r="A52" s="2331" t="s">
        <v>1352</v>
      </c>
      <c r="B52" s="3590" t="s">
        <v>1353</v>
      </c>
      <c r="C52" s="3590"/>
      <c r="D52" s="1083">
        <f ca="1">ROUND(D45*'数据-取费表'!B41/(1+'数据-取费表'!C42),0)</f>
        <v>127</v>
      </c>
      <c r="E52" s="2330" t="s">
        <v>1354</v>
      </c>
      <c r="F52" s="2550">
        <f>'数据-取费表'!B41</f>
        <v>5.5000000000000007E-2</v>
      </c>
      <c r="G52" s="2551"/>
      <c r="H52" s="2540"/>
      <c r="I52" s="1803"/>
      <c r="J52" s="2519">
        <v>1</v>
      </c>
      <c r="K52" s="3655" t="s">
        <v>1355</v>
      </c>
      <c r="L52" s="3655"/>
      <c r="M52" s="2521" t="b">
        <f>D48</f>
        <v>0</v>
      </c>
      <c r="N52" s="2519" t="str">
        <f>E48</f>
        <v>销售额×税（费）率</v>
      </c>
      <c r="O52" s="2522">
        <f>F48</f>
        <v>5.5000000000000007E-2</v>
      </c>
    </row>
    <row r="53" spans="1:35" ht="12" customHeight="1">
      <c r="A53" s="2331" t="s">
        <v>1356</v>
      </c>
      <c r="B53" s="3616" t="s">
        <v>2287</v>
      </c>
      <c r="C53" s="3617"/>
      <c r="D53" s="1083">
        <f ca="1">ROUND(D45*'数据-取费表'!B41/(1+'数据-取费表'!C42),0)</f>
        <v>127</v>
      </c>
      <c r="E53" s="2330" t="s">
        <v>1354</v>
      </c>
      <c r="F53" s="2550">
        <f>'数据-取费表'!B41</f>
        <v>5.5000000000000007E-2</v>
      </c>
      <c r="G53" s="2551"/>
      <c r="H53" s="2540"/>
      <c r="I53" s="1803"/>
      <c r="J53" s="2519">
        <v>2</v>
      </c>
      <c r="K53" s="3655" t="s">
        <v>1357</v>
      </c>
      <c r="L53" s="3655"/>
      <c r="M53" s="2521">
        <f t="shared" ref="M53:O54" ca="1" si="0">D55</f>
        <v>1</v>
      </c>
      <c r="N53" s="2519" t="str">
        <f t="shared" si="0"/>
        <v>销售额×税（费）率</v>
      </c>
      <c r="O53" s="2522" t="str">
        <f t="shared" si="0"/>
        <v>免征</v>
      </c>
    </row>
    <row r="54" spans="1:35" ht="12" customHeight="1">
      <c r="A54" s="2331" t="s">
        <v>1358</v>
      </c>
      <c r="B54" s="3616" t="s">
        <v>2288</v>
      </c>
      <c r="C54" s="3617"/>
      <c r="D54" s="1083">
        <f ca="1">C68</f>
        <v>127</v>
      </c>
      <c r="E54" s="324" t="s">
        <v>1359</v>
      </c>
      <c r="F54" s="2550">
        <f>'数据-取费表'!B41</f>
        <v>5.5000000000000007E-2</v>
      </c>
      <c r="G54" s="2551"/>
      <c r="H54" s="2552"/>
      <c r="I54" s="1803"/>
      <c r="J54" s="2519">
        <v>3</v>
      </c>
      <c r="K54" s="3655" t="s">
        <v>1360</v>
      </c>
      <c r="L54" s="3655"/>
      <c r="M54" s="2521">
        <f t="shared" ca="1" si="0"/>
        <v>1370</v>
      </c>
      <c r="N54" s="2519" t="str">
        <f t="shared" si="0"/>
        <v>增值额×税（费）率</v>
      </c>
      <c r="O54" s="2523" t="str">
        <f t="shared" si="0"/>
        <v>免征</v>
      </c>
    </row>
    <row r="55" spans="1:35" ht="24" customHeight="1">
      <c r="A55" s="3605" t="s">
        <v>1361</v>
      </c>
      <c r="B55" s="3606"/>
      <c r="C55" s="3606"/>
      <c r="D55" s="2320">
        <f ca="1">IF(H55="个人住宅",0,ROUND(D45*I55,0))</f>
        <v>1</v>
      </c>
      <c r="E55" s="2330" t="s">
        <v>1362</v>
      </c>
      <c r="F55" s="2550" t="str">
        <f>IF(H55="正常",I55,"免征")</f>
        <v>免征</v>
      </c>
      <c r="G55" s="2551"/>
      <c r="H55" s="2546"/>
      <c r="I55" s="162">
        <f>'数据-取费表'!B49</f>
        <v>5.0000000000000001E-4</v>
      </c>
      <c r="J55" s="2519">
        <f>IF(H59="非个人房产","",4)</f>
        <v>4</v>
      </c>
      <c r="K55" s="3655" t="str">
        <f>IF(H59="非个人房产","——","个人所得税")</f>
        <v>个人所得税</v>
      </c>
      <c r="L55" s="3655"/>
      <c r="M55" s="2524">
        <f ca="1">D59</f>
        <v>23</v>
      </c>
      <c r="N55" s="2036" t="str">
        <f>E59</f>
        <v>差额计税</v>
      </c>
      <c r="O55" s="2525">
        <f>F59</f>
        <v>0.01</v>
      </c>
    </row>
    <row r="56" spans="1:35" ht="24.75">
      <c r="A56" s="3605" t="s">
        <v>1363</v>
      </c>
      <c r="B56" s="3606"/>
      <c r="C56" s="3606"/>
      <c r="D56" s="2320">
        <f ca="1">IF(H56="个人住宅",D57,D58)</f>
        <v>1370</v>
      </c>
      <c r="E56" s="2330" t="s">
        <v>1364</v>
      </c>
      <c r="F56" s="2550" t="str">
        <f>IF(H56="正常",F58,"免征")</f>
        <v>免征</v>
      </c>
      <c r="G56" s="2553" t="s">
        <v>1365</v>
      </c>
      <c r="H56" s="2554"/>
      <c r="I56" s="1804"/>
      <c r="J56" s="2519" t="str">
        <f>IF(项目基本情况!K6="上海银行",IF(J55="",4,J55+1),"")</f>
        <v/>
      </c>
      <c r="K56" s="3678" t="str">
        <f>IF(项目基本情况!K6="上海银行","其他处置费用","")</f>
        <v/>
      </c>
      <c r="L56" s="3679"/>
      <c r="M56" s="2521" t="str">
        <f>IF(项目基本情况!K6="上海银行",M69,"")</f>
        <v/>
      </c>
      <c r="N56" s="3678" t="str">
        <f>IF(项目基本情况!K6="上海银行","包含处置中涉及的律师、诉讼、拍卖、评估等费用","")</f>
        <v/>
      </c>
      <c r="O56" s="3681"/>
    </row>
    <row r="57" spans="1:35" ht="12.75">
      <c r="A57" s="2331" t="s">
        <v>1341</v>
      </c>
      <c r="B57" s="3616" t="s">
        <v>1366</v>
      </c>
      <c r="C57" s="3617"/>
      <c r="D57" s="1586">
        <v>0</v>
      </c>
      <c r="E57" s="321" t="s">
        <v>1343</v>
      </c>
      <c r="F57" s="299"/>
      <c r="G57" s="2551"/>
      <c r="H57" s="2555"/>
      <c r="I57" s="1804"/>
      <c r="J57" s="3655">
        <f>IF(AND(J55="",J56=""),4,IF(项目基本情况!K6="上海银行",结果表!J56+1,结果表!J55+1))</f>
        <v>5</v>
      </c>
      <c r="K57" s="3655" t="s">
        <v>1367</v>
      </c>
      <c r="L57" s="2526" t="s">
        <v>1368</v>
      </c>
      <c r="M57" s="2527"/>
      <c r="N57" s="2528">
        <f ca="1">SUMIF(M52:M56,"&lt;9e307")</f>
        <v>1394</v>
      </c>
      <c r="O57" s="2529"/>
      <c r="P57" s="2686">
        <f ca="1">N57/M49</f>
        <v>0.57650951199338296</v>
      </c>
    </row>
    <row r="58" spans="1:35" ht="24.75">
      <c r="A58" s="2331" t="s">
        <v>1352</v>
      </c>
      <c r="B58" s="3616" t="s">
        <v>1369</v>
      </c>
      <c r="C58" s="3590"/>
      <c r="D58" s="2320">
        <f ca="1">IF(H58="转让取得",C81,C97)</f>
        <v>1370</v>
      </c>
      <c r="E58" s="2330" t="s">
        <v>1364</v>
      </c>
      <c r="F58" s="299" t="s">
        <v>28</v>
      </c>
      <c r="G58" s="2551"/>
      <c r="H58" s="2554"/>
      <c r="I58" s="1804"/>
      <c r="J58" s="3655"/>
      <c r="K58" s="3655"/>
      <c r="L58" s="2526" t="s">
        <v>1370</v>
      </c>
      <c r="M58" s="2530"/>
      <c r="N58" s="2531" t="str">
        <f ca="1">NUMBERSTRING(INT(N57*10000),2)&amp;"元整"</f>
        <v>壹仟叁佰玖拾肆万元整</v>
      </c>
      <c r="O58" s="2532"/>
    </row>
    <row r="59" spans="1:35" ht="24.75" thickBot="1">
      <c r="A59" s="3658" t="s">
        <v>1371</v>
      </c>
      <c r="B59" s="3659"/>
      <c r="C59" s="3659"/>
      <c r="D59" s="2556">
        <f ca="1">IF(H59="非个人房产","——",IF(H59="个人住宅（满五唯一有凭证）",0,IF(H59="个人其他（无凭证）",ROUND(D45*F59,0),ROUND(C67*F59,0))))</f>
        <v>23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56">
        <f>J57+1</f>
        <v>6</v>
      </c>
      <c r="K59" s="3655" t="s">
        <v>1372</v>
      </c>
      <c r="L59" s="2519" t="s">
        <v>1368</v>
      </c>
      <c r="M59" s="2533"/>
      <c r="N59" s="2534">
        <f ca="1">M49-N57</f>
        <v>1024</v>
      </c>
      <c r="O59" s="2535"/>
    </row>
    <row r="60" spans="1:35" ht="12" customHeight="1">
      <c r="A60" s="1805"/>
      <c r="B60" s="1743"/>
      <c r="C60" s="1743"/>
      <c r="D60" s="1743"/>
      <c r="E60" s="1574"/>
      <c r="F60" s="1804"/>
      <c r="G60" s="1804"/>
      <c r="H60" s="1806"/>
      <c r="I60" s="126"/>
      <c r="J60" s="3657"/>
      <c r="K60" s="3655"/>
      <c r="L60" s="2526" t="s">
        <v>1370</v>
      </c>
      <c r="M60" s="2530"/>
      <c r="N60" s="2531" t="str">
        <f ca="1">NUMBERSTRING(INT(N59*10000),2)&amp;"元整"</f>
        <v>壹仟零贰拾肆万元整</v>
      </c>
      <c r="O60" s="2532"/>
    </row>
    <row r="61" spans="1:35" ht="13.5" thickBot="1">
      <c r="A61" s="3603" t="s">
        <v>1373</v>
      </c>
      <c r="B61" s="3603"/>
      <c r="C61" s="3603"/>
      <c r="D61" s="3603"/>
      <c r="E61" s="3603"/>
      <c r="F61" s="1804"/>
      <c r="G61" s="1804"/>
      <c r="H61" s="1806"/>
      <c r="I61" s="126"/>
      <c r="J61" s="2519">
        <f>J59+1</f>
        <v>7</v>
      </c>
      <c r="K61" s="3655" t="s">
        <v>1374</v>
      </c>
      <c r="L61" s="3655"/>
      <c r="M61" s="2536"/>
      <c r="N61" s="2537">
        <f ca="1">ROUND(N59*10000/'数据-汇总表'!E3,0)</f>
        <v>1905</v>
      </c>
      <c r="O61" s="2538"/>
    </row>
    <row r="62" spans="1:35" ht="12.75">
      <c r="A62" s="3621" t="s">
        <v>1375</v>
      </c>
      <c r="B62" s="3622"/>
      <c r="C62" s="2017"/>
      <c r="D62" s="2017" t="s">
        <v>1376</v>
      </c>
      <c r="E62" s="163" t="s">
        <v>1377</v>
      </c>
      <c r="F62" s="1804"/>
      <c r="G62" s="1804"/>
      <c r="H62" s="1806"/>
      <c r="I62" s="126"/>
    </row>
    <row r="63" spans="1:35" ht="12.75">
      <c r="A63" s="170" t="s">
        <v>330</v>
      </c>
      <c r="B63" s="164" t="s">
        <v>1378</v>
      </c>
      <c r="C63" s="2560">
        <f ca="1">ROUND((C64+C65)/(1+'数据-取费表'!C42),0)</f>
        <v>2303</v>
      </c>
      <c r="D63" s="164"/>
      <c r="E63" s="165"/>
      <c r="F63" s="1804"/>
      <c r="G63" s="1804"/>
      <c r="H63" s="1806"/>
      <c r="I63" s="126"/>
      <c r="J63" s="3680" t="s">
        <v>1379</v>
      </c>
      <c r="K63" s="1328" t="s">
        <v>1380</v>
      </c>
      <c r="L63" s="1328">
        <f ca="1">IF(M49&gt;10000,M49*0.5%,IF(AND(M49&gt;1000,M49&lt;=10000),M49*1%,IF(AND(M49&gt;100,M49&lt;=1000),M49*3%,IF(AND(M49&gt;10,M49&lt;=100),M49*5%,M49*8%))))</f>
        <v>24.18</v>
      </c>
      <c r="M63" s="299">
        <f ca="1">ROUND(L63,1)</f>
        <v>24.2</v>
      </c>
      <c r="N63" s="2539"/>
      <c r="Z63" s="1748"/>
      <c r="AI63" s="1749"/>
    </row>
    <row r="64" spans="1:35" ht="14.25" customHeight="1">
      <c r="A64" s="166" t="s">
        <v>325</v>
      </c>
      <c r="B64" s="167" t="s">
        <v>1381</v>
      </c>
      <c r="C64" s="2561">
        <f ca="1">D45</f>
        <v>2418</v>
      </c>
      <c r="D64" s="167" t="s">
        <v>26</v>
      </c>
      <c r="E64" s="169"/>
      <c r="F64" s="1804"/>
      <c r="G64" s="1804"/>
      <c r="H64" s="1806"/>
      <c r="I64" s="126"/>
      <c r="J64" s="3680"/>
      <c r="K64" s="1328" t="s">
        <v>1382</v>
      </c>
      <c r="L64" s="1328">
        <f ca="1">IF(M49&gt;2000,M49*0.5%,IF(AND(M49&gt;1000,M49&lt;=2000),M49*0.6%,IF(AND(M49&gt;500,M49&lt;=1000),M49*0.7%,IF(AND(M49&gt;200,M49&lt;=500),M49*0.8%,IF(AND(M49&gt;100,M49&lt;=200),M49*0.9%,IF(AND(M49&gt;50,M49&lt;=100),M49*1%,IF(AND(M49&gt;20,M49&lt;=50),M49*1.5%,IF(AND(M49&gt;10,M49&lt;=20),M49*2%,IF(AND(M49&gt;1,M49&lt;=10),M49*2.5%)))))))))</f>
        <v>12.09</v>
      </c>
      <c r="M64" s="299">
        <f t="shared" ref="M64:M65" ca="1" si="1">ROUND(L64,1)</f>
        <v>12.1</v>
      </c>
      <c r="N64" s="2540" t="s">
        <v>1383</v>
      </c>
      <c r="Z64" s="1748"/>
      <c r="AI64" s="1749"/>
    </row>
    <row r="65" spans="1:35" ht="14.25" customHeight="1">
      <c r="A65" s="166" t="s">
        <v>326</v>
      </c>
      <c r="B65" s="167" t="s">
        <v>1384</v>
      </c>
      <c r="C65" s="2562"/>
      <c r="D65" s="167"/>
      <c r="E65" s="169"/>
      <c r="F65" s="1804"/>
      <c r="G65" s="1804"/>
      <c r="H65" s="1806"/>
      <c r="I65" s="126"/>
      <c r="J65" s="3680"/>
      <c r="K65" s="1328" t="s">
        <v>1385</v>
      </c>
      <c r="L65" s="1328">
        <f ca="1">IF(M49&gt;1000,M49*0.1%,IF(AND(M49&gt;500,M49&lt;=1000),M49*0.5%,IF(AND(M49&gt;50,M49&lt;=500),M49*1%,IF(AND(M49&gt;1,M49&lt;=50),M49*1.5%))))</f>
        <v>2.4180000000000001</v>
      </c>
      <c r="M65" s="299">
        <f t="shared" ca="1" si="1"/>
        <v>2.4</v>
      </c>
      <c r="N65" s="2540" t="s">
        <v>1383</v>
      </c>
      <c r="Z65" s="1748"/>
      <c r="AI65" s="1749"/>
    </row>
    <row r="66" spans="1:35" ht="14.25" customHeight="1">
      <c r="A66" s="170" t="s">
        <v>327</v>
      </c>
      <c r="B66" s="171" t="s">
        <v>1386</v>
      </c>
      <c r="C66" s="2563"/>
      <c r="D66" s="171" t="s">
        <v>26</v>
      </c>
      <c r="E66" s="1334" t="s">
        <v>671</v>
      </c>
      <c r="F66" s="1804"/>
      <c r="G66" s="1804"/>
      <c r="H66" s="1806"/>
      <c r="I66" s="126"/>
      <c r="J66" s="3680"/>
      <c r="K66" s="1328" t="s">
        <v>1387</v>
      </c>
      <c r="L66" s="1328">
        <f ca="1">M49*0.5%</f>
        <v>12.09</v>
      </c>
      <c r="M66" s="299">
        <f ca="1">IF(L66&gt;0.5,0.5,ROUND(L66,0))</f>
        <v>0.5</v>
      </c>
      <c r="N66" s="2540" t="s">
        <v>1388</v>
      </c>
      <c r="Z66" s="1748"/>
      <c r="AI66" s="1749"/>
    </row>
    <row r="67" spans="1:35" ht="14.25" customHeight="1">
      <c r="A67" s="170" t="s">
        <v>328</v>
      </c>
      <c r="B67" s="171" t="s">
        <v>1389</v>
      </c>
      <c r="C67" s="2564">
        <f ca="1">C63-C66</f>
        <v>2303</v>
      </c>
      <c r="D67" s="167" t="s">
        <v>26</v>
      </c>
      <c r="E67" s="169"/>
      <c r="F67" s="1804"/>
      <c r="G67" s="1804"/>
      <c r="H67" s="1806"/>
      <c r="I67" s="126"/>
      <c r="J67" s="3680"/>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127</v>
      </c>
      <c r="D68" s="2566">
        <f>'数据-取费表'!B41</f>
        <v>5.5000000000000007E-2</v>
      </c>
      <c r="E68" s="175"/>
      <c r="F68" s="1804"/>
      <c r="G68" s="1804"/>
      <c r="H68" s="1806"/>
      <c r="I68" s="126"/>
      <c r="J68" s="3680"/>
      <c r="K68" s="1328" t="s">
        <v>1392</v>
      </c>
      <c r="L68" s="1328">
        <f ca="1">IF(M49&gt;10000,M49*0.5%,IF(AND(M49&gt;5000,M49&lt;=10000),M49*1%,IF(AND(M49&gt;1000,M49&lt;=5000),M49*2%,IF(AND(M49&gt;200,M49&lt;=1000),M49*3%,M49*5%))))</f>
        <v>48.36</v>
      </c>
      <c r="M68" s="299">
        <f ca="1">ROUND(L68,1)</f>
        <v>48.4</v>
      </c>
      <c r="N68" s="2539"/>
      <c r="Z68" s="1748"/>
      <c r="AI68" s="1749"/>
    </row>
    <row r="69" spans="1:35" s="1768" customFormat="1" ht="16.5" customHeight="1">
      <c r="A69" s="1807"/>
      <c r="B69" s="1808"/>
      <c r="C69" s="1809"/>
      <c r="D69" s="1810"/>
      <c r="E69" s="1811"/>
      <c r="F69" s="1574"/>
      <c r="G69" s="1574"/>
      <c r="H69" s="1573"/>
      <c r="I69" s="1743"/>
      <c r="J69" s="3680"/>
      <c r="K69" s="1328" t="s">
        <v>1393</v>
      </c>
      <c r="L69" s="1328"/>
      <c r="M69" s="299">
        <f ca="1">ROUND(SUM(M63:M68),0)</f>
        <v>90</v>
      </c>
      <c r="N69" s="2541">
        <f ca="1">M69/M49</f>
        <v>3.7220843672456573E-2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2" t="s">
        <v>1394</v>
      </c>
      <c r="B70" s="3643"/>
      <c r="C70" s="3643"/>
      <c r="D70" s="3643"/>
      <c r="E70" s="3643"/>
      <c r="F70" s="3643"/>
      <c r="G70" s="3643"/>
      <c r="H70" s="364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1" t="s">
        <v>1375</v>
      </c>
      <c r="B71" s="3622"/>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2303</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12</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16" t="s">
        <v>1402</v>
      </c>
      <c r="F76" s="3590"/>
      <c r="G76" s="3590"/>
      <c r="H76" s="364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12</v>
      </c>
      <c r="D78" s="2573">
        <f>'数据-取费表'!B43</f>
        <v>5.000000000000001E-3</v>
      </c>
      <c r="E78" s="3600" t="s">
        <v>1406</v>
      </c>
      <c r="F78" s="3601"/>
      <c r="G78" s="3601"/>
      <c r="H78" s="361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2291</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190.91666666666666</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1370</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2" t="s">
        <v>1410</v>
      </c>
      <c r="B83" s="3643"/>
      <c r="C83" s="3643"/>
      <c r="D83" s="3643"/>
      <c r="E83" s="3643"/>
      <c r="F83" s="3643"/>
      <c r="G83" s="3643"/>
      <c r="H83" s="364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1" t="s">
        <v>1375</v>
      </c>
      <c r="B84" s="3622"/>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2303</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12</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82" t="s">
        <v>2125</v>
      </c>
      <c r="H90" s="3683"/>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00" t="s">
        <v>1419</v>
      </c>
      <c r="F91" s="3601"/>
      <c r="G91" s="360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00" t="s">
        <v>1422</v>
      </c>
      <c r="F92" s="3601"/>
      <c r="G92" s="3601"/>
      <c r="H92" s="3610"/>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12</v>
      </c>
      <c r="D93" s="2573">
        <f>'数据-取费表'!B43</f>
        <v>5.000000000000001E-3</v>
      </c>
      <c r="E93" s="3600" t="s">
        <v>1406</v>
      </c>
      <c r="F93" s="3601"/>
      <c r="G93" s="3601"/>
      <c r="H93" s="361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11" t="s">
        <v>1426</v>
      </c>
      <c r="F94" s="3612"/>
      <c r="G94" s="3612"/>
      <c r="H94" s="361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2291</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190.91666666666666</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1370</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4" t="s">
        <v>1428</v>
      </c>
      <c r="B100" s="3585"/>
      <c r="C100" s="3585"/>
      <c r="D100" s="3602"/>
      <c r="E100" s="3585" t="s">
        <v>1429</v>
      </c>
      <c r="F100" s="3585"/>
      <c r="G100" s="3585"/>
      <c r="H100" s="3602"/>
      <c r="I100" s="126"/>
    </row>
    <row r="101" spans="1:35" ht="18.75" customHeight="1">
      <c r="A101" s="3663" t="s">
        <v>1430</v>
      </c>
      <c r="B101" s="3664"/>
      <c r="C101" s="2581" t="str">
        <f>C4</f>
        <v>成本法</v>
      </c>
      <c r="D101" s="2582" t="str">
        <f>D4</f>
        <v>收益法</v>
      </c>
      <c r="E101" s="3677" t="s">
        <v>1431</v>
      </c>
      <c r="F101" s="3634"/>
      <c r="G101" s="1823" t="s">
        <v>1432</v>
      </c>
      <c r="H101" s="2591">
        <f ca="1">H118</f>
        <v>2418</v>
      </c>
      <c r="I101" s="126"/>
    </row>
    <row r="102" spans="1:35" ht="18.75" customHeight="1">
      <c r="A102" s="3636" t="s">
        <v>1433</v>
      </c>
      <c r="B102" s="2580" t="s">
        <v>1432</v>
      </c>
      <c r="C102" s="2581">
        <f ca="1">IF(D32="楼面单价",ROUND(C19,0),C19)</f>
        <v>2428</v>
      </c>
      <c r="D102" s="2582">
        <f ca="1">IF(D32="楼面单价",ROUND(D19,0),D19)</f>
        <v>2408</v>
      </c>
      <c r="E102" s="3677"/>
      <c r="F102" s="3634"/>
      <c r="G102" s="1823" t="s">
        <v>1434</v>
      </c>
      <c r="H102" s="2551">
        <f ca="1">I118</f>
        <v>4499</v>
      </c>
      <c r="I102" s="126"/>
    </row>
    <row r="103" spans="1:35" ht="42.75" customHeight="1">
      <c r="A103" s="3636"/>
      <c r="B103" s="2580" t="s">
        <v>1434</v>
      </c>
      <c r="C103" s="2583">
        <f ca="1">C20</f>
        <v>4518</v>
      </c>
      <c r="D103" s="2584">
        <f ca="1">D20</f>
        <v>4480</v>
      </c>
      <c r="E103" s="3671" t="s">
        <v>1435</v>
      </c>
      <c r="F103" s="3672"/>
      <c r="G103" s="1824" t="s">
        <v>1436</v>
      </c>
      <c r="H103" s="2591">
        <f>IF(D36="正常操作",H104+H105+H106,H105+H106)</f>
        <v>0</v>
      </c>
      <c r="I103" s="126"/>
    </row>
    <row r="104" spans="1:35" ht="18.75" customHeight="1">
      <c r="A104" s="3636" t="s">
        <v>1437</v>
      </c>
      <c r="B104" s="2585" t="s">
        <v>1432</v>
      </c>
      <c r="C104" s="2586">
        <f ca="1">H118</f>
        <v>2418</v>
      </c>
      <c r="D104" s="2587"/>
      <c r="E104" s="1670" t="s">
        <v>1438</v>
      </c>
      <c r="F104" s="1662"/>
      <c r="G104" s="1824" t="s">
        <v>1436</v>
      </c>
      <c r="H104" s="2592">
        <f>IF(D36="同一抵押权人同一抵押物续贷",C36&amp;"（续贷，未扣减，详见特别提示）",C36)</f>
        <v>0</v>
      </c>
      <c r="I104" s="126"/>
    </row>
    <row r="105" spans="1:35" ht="18.75" customHeight="1" thickBot="1">
      <c r="A105" s="3637"/>
      <c r="B105" s="2588" t="s">
        <v>1434</v>
      </c>
      <c r="C105" s="2589">
        <f ca="1">I118</f>
        <v>4499</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33" t="str">
        <f>IF(项目基本情况!E8="已注销","——","3.房地产抵押价值")</f>
        <v>3.房地产抵押价值</v>
      </c>
      <c r="F107" s="3634"/>
      <c r="G107" s="1823" t="s">
        <v>1432</v>
      </c>
      <c r="H107" s="2591">
        <f ca="1">IF(E107="——","——",H101-H103)</f>
        <v>2418</v>
      </c>
      <c r="I107" s="126"/>
    </row>
    <row r="108" spans="1:35" ht="18.75" customHeight="1">
      <c r="A108" s="126"/>
      <c r="B108" s="126"/>
      <c r="C108" s="126"/>
      <c r="D108" s="126"/>
      <c r="E108" s="3633"/>
      <c r="F108" s="3634"/>
      <c r="G108" s="1823" t="s">
        <v>1434</v>
      </c>
      <c r="H108" s="2551">
        <f ca="1">IF(H107=H101,H102,ROUND(H107*10000/'数据-汇总表'!E3,0))</f>
        <v>4499</v>
      </c>
      <c r="I108" s="126"/>
    </row>
    <row r="109" spans="1:35" ht="18.75" customHeight="1">
      <c r="A109" s="126"/>
      <c r="B109" s="126"/>
      <c r="C109" s="126"/>
      <c r="D109" s="126"/>
      <c r="E109" s="3633" t="str">
        <f>IF(项目基本情况!E8="已注销及未注销","4.抵押担保权已注销时的房地产抵押价值",IF(项目基本情况!E8="已注销","3.抵押担保权已注销时的房地产抵押价值","——"))</f>
        <v>——</v>
      </c>
      <c r="F109" s="3634"/>
      <c r="G109" s="1823" t="s">
        <v>1432</v>
      </c>
      <c r="H109" s="2594" t="str">
        <f>IF(E109="——","——",H101-H105-H106)</f>
        <v>——</v>
      </c>
      <c r="I109" s="126"/>
    </row>
    <row r="110" spans="1:35" ht="18.75" customHeight="1">
      <c r="A110" s="126"/>
      <c r="B110" s="126"/>
      <c r="C110" s="126"/>
      <c r="D110" s="126"/>
      <c r="E110" s="3633"/>
      <c r="F110" s="3634"/>
      <c r="G110" s="1823" t="s">
        <v>1434</v>
      </c>
      <c r="H110" s="2551" t="str">
        <f>IF(H109="——","——",ROUND(H109*10000/'数据-汇总表'!E3,0))</f>
        <v>——</v>
      </c>
      <c r="I110" s="126"/>
    </row>
    <row r="111" spans="1:35" ht="18.75" customHeight="1">
      <c r="A111" s="126"/>
      <c r="B111" s="126"/>
      <c r="C111" s="126"/>
      <c r="D111" s="126"/>
      <c r="E111" s="3665" t="str">
        <f>IF(项目基本情况!E9="抵押净值",IF(OR(项目基本情况!E8="已注销",项目基本情况!E8="房地产抵押价值"),"4.抵押净值","5.抵押净值"),"——")</f>
        <v>——</v>
      </c>
      <c r="F111" s="3635"/>
      <c r="G111" s="1823" t="s">
        <v>1432</v>
      </c>
      <c r="H111" s="2591" t="str">
        <f>IF(E111="——","——",N59)</f>
        <v>——</v>
      </c>
      <c r="I111" s="126"/>
    </row>
    <row r="112" spans="1:35" ht="18.75" customHeight="1" thickBot="1">
      <c r="A112" s="126"/>
      <c r="B112" s="126"/>
      <c r="C112" s="126"/>
      <c r="D112" s="126"/>
      <c r="E112" s="3666"/>
      <c r="F112" s="3667"/>
      <c r="G112" s="1826" t="s">
        <v>1434</v>
      </c>
      <c r="H112" s="2595" t="str">
        <f>IF(E111="——","——",N61)</f>
        <v>——</v>
      </c>
      <c r="I112" s="126"/>
    </row>
    <row r="113" spans="1:27" ht="18.75" customHeight="1">
      <c r="A113" s="126"/>
      <c r="B113" s="126"/>
      <c r="C113" s="126"/>
      <c r="D113" s="126"/>
      <c r="E113" s="3638" t="s">
        <v>1440</v>
      </c>
      <c r="F113" s="3638"/>
      <c r="G113" s="3638"/>
      <c r="H113" s="3638"/>
      <c r="I113" s="126"/>
    </row>
    <row r="114" spans="1:27" ht="3.75" customHeight="1">
      <c r="A114" s="1743"/>
      <c r="B114" s="1743"/>
      <c r="C114" s="1743"/>
      <c r="D114" s="1743"/>
      <c r="E114" s="1805"/>
      <c r="F114" s="1805"/>
      <c r="G114" s="1805"/>
      <c r="H114" s="1805"/>
      <c r="I114" s="1743"/>
    </row>
    <row r="115" spans="1:27" ht="18.75" customHeight="1">
      <c r="A115" s="3648" t="s">
        <v>1442</v>
      </c>
      <c r="B115" s="3649"/>
      <c r="C115" s="3649"/>
      <c r="D115" s="3649"/>
      <c r="E115" s="3649"/>
      <c r="F115" s="3649"/>
      <c r="G115" s="3649"/>
      <c r="H115" s="3649"/>
      <c r="I115" s="3650"/>
    </row>
    <row r="116" spans="1:27" ht="27" customHeight="1">
      <c r="A116" s="3604" t="s">
        <v>1443</v>
      </c>
      <c r="B116" s="3639" t="s">
        <v>3493</v>
      </c>
      <c r="C116" s="3639" t="s">
        <v>3494</v>
      </c>
      <c r="D116" s="3652" t="s">
        <v>1444</v>
      </c>
      <c r="E116" s="3653"/>
      <c r="F116" s="3647" t="s">
        <v>3513</v>
      </c>
      <c r="G116" s="3647"/>
      <c r="H116" s="3604" t="s">
        <v>1445</v>
      </c>
      <c r="I116" s="3604"/>
    </row>
    <row r="117" spans="1:27" ht="18.75" customHeight="1">
      <c r="A117" s="3604"/>
      <c r="B117" s="3640"/>
      <c r="C117" s="3640"/>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1132</v>
      </c>
      <c r="E118" s="2325">
        <f ca="1">ROUND(IF(C33="自定义",IF(D32="楼面单价",C34,D118*10000/B118),I118-G118),0)</f>
        <v>2106</v>
      </c>
      <c r="F118" s="2325">
        <f ca="1">ROUND(IF(D32="总价",C35,G118*B118/10000),0)</f>
        <v>1286</v>
      </c>
      <c r="G118" s="2325">
        <f ca="1">ROUND(IF(D32="楼面单价",C35,F118*10000/B118),0)</f>
        <v>2393</v>
      </c>
      <c r="H118" s="2325">
        <f ca="1">ROUND(IF(D32="总价",C32,I118*B118/10000),0)</f>
        <v>2418</v>
      </c>
      <c r="I118" s="2325">
        <f ca="1">ROUND(IF(D32="楼面单价",C32,H118*10000/B118),0)</f>
        <v>4499</v>
      </c>
    </row>
    <row r="119" spans="1:27" ht="18.75" customHeight="1">
      <c r="A119" s="3604" t="s">
        <v>1449</v>
      </c>
      <c r="B119" s="3604"/>
      <c r="C119" s="3604"/>
      <c r="D119" s="3644" t="str">
        <f ca="1">NUMBERSTRING(INT(D118*10000),2)&amp;"元整"</f>
        <v>壹仟壹佰叁拾贰万元整</v>
      </c>
      <c r="E119" s="3646"/>
      <c r="F119" s="3644" t="str">
        <f ca="1">NUMBERSTRING(INT(F118*10000),2)&amp;"元整"</f>
        <v>壹仟贰佰捌拾陆万元整</v>
      </c>
      <c r="G119" s="3646"/>
      <c r="H119" s="3644" t="str">
        <f ca="1">NUMBERSTRING(INT(H118*10000),2)&amp;"元整"</f>
        <v>贰仟肆佰壹拾捌万元整</v>
      </c>
      <c r="I119" s="3646"/>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4" t="s">
        <v>1449</v>
      </c>
      <c r="B121" s="3645"/>
      <c r="C121" s="3646"/>
      <c r="D121" s="3644" t="str">
        <f>IF(D120=0,"零元整",NUMBERSTRING(INT(D120*10000),2)&amp;"元整")</f>
        <v>零元整</v>
      </c>
      <c r="E121" s="3645"/>
      <c r="F121" s="3645"/>
      <c r="G121" s="3645"/>
      <c r="H121" s="3645"/>
      <c r="I121" s="3646"/>
      <c r="AA121" s="721"/>
    </row>
    <row r="122" spans="1:27" ht="18.75" customHeight="1">
      <c r="A122" s="3635" t="str">
        <f>IF(项目基本情况!B9="房地产市场价值","",MID(E107,3,LEN(E107)-2))</f>
        <v>房地产抵押价值</v>
      </c>
      <c r="B122" s="3635"/>
      <c r="C122" s="3635"/>
      <c r="D122" s="3668">
        <f ca="1">H107</f>
        <v>2418</v>
      </c>
      <c r="E122" s="3669"/>
      <c r="F122" s="3669"/>
      <c r="G122" s="3669"/>
      <c r="H122" s="3669"/>
      <c r="I122" s="3670"/>
      <c r="AA122" s="721"/>
    </row>
    <row r="123" spans="1:27" ht="18.75" customHeight="1">
      <c r="A123" s="3604" t="s">
        <v>1449</v>
      </c>
      <c r="B123" s="3604"/>
      <c r="C123" s="3604"/>
      <c r="D123" s="3644" t="str">
        <f ca="1">NUMBERSTRING(INT(D122*10000),2)&amp;"元整"</f>
        <v>贰仟肆佰壹拾捌万元整</v>
      </c>
      <c r="E123" s="3645"/>
      <c r="F123" s="3645"/>
      <c r="G123" s="3645"/>
      <c r="H123" s="3645"/>
      <c r="I123" s="3646"/>
      <c r="AA123" s="721"/>
    </row>
    <row r="124" spans="1:27" ht="18.75" customHeight="1">
      <c r="A124" s="3635" t="str">
        <f>IF(项目基本情况!B9="房地产市场价值","",MID(E109,3,LEN(E109)-2))</f>
        <v/>
      </c>
      <c r="B124" s="3635"/>
      <c r="C124" s="3635"/>
      <c r="D124" s="3668" t="str">
        <f>H109</f>
        <v>——</v>
      </c>
      <c r="E124" s="3669"/>
      <c r="F124" s="3669"/>
      <c r="G124" s="3669"/>
      <c r="H124" s="3669"/>
      <c r="I124" s="3670"/>
      <c r="AA124" s="721"/>
    </row>
    <row r="125" spans="1:27" ht="18.75" customHeight="1">
      <c r="A125" s="3604" t="s">
        <v>1449</v>
      </c>
      <c r="B125" s="3604"/>
      <c r="C125" s="3604"/>
      <c r="D125" s="3644" t="e">
        <f>NUMBERSTRING(INT(D124*10000),2)&amp;"元整"</f>
        <v>#VALUE!</v>
      </c>
      <c r="E125" s="3645"/>
      <c r="F125" s="3645"/>
      <c r="G125" s="3645"/>
      <c r="H125" s="3645"/>
      <c r="I125" s="3646"/>
      <c r="AA125" s="721"/>
    </row>
    <row r="126" spans="1:27" ht="18.75" customHeight="1">
      <c r="A126" s="3635" t="str">
        <f>IF(项目基本情况!B9="房地产市场价值","",MID(E111,3,LEN(E111)-2))</f>
        <v/>
      </c>
      <c r="B126" s="3635"/>
      <c r="C126" s="3635"/>
      <c r="D126" s="3668" t="str">
        <f>H111</f>
        <v>——</v>
      </c>
      <c r="E126" s="3669"/>
      <c r="F126" s="3669"/>
      <c r="G126" s="3669"/>
      <c r="H126" s="3669"/>
      <c r="I126" s="3670"/>
      <c r="AA126" s="721"/>
    </row>
    <row r="127" spans="1:27" ht="18.75" customHeight="1">
      <c r="A127" s="3604" t="s">
        <v>1449</v>
      </c>
      <c r="B127" s="3604"/>
      <c r="C127" s="3604"/>
      <c r="D127" s="3644" t="e">
        <f>NUMBERSTRING(INT(D126*10000),2)&amp;"元整"</f>
        <v>#VALUE!</v>
      </c>
      <c r="E127" s="3645"/>
      <c r="F127" s="3645"/>
      <c r="G127" s="3645"/>
      <c r="H127" s="3645"/>
      <c r="I127" s="3646"/>
      <c r="AA127" s="721"/>
    </row>
    <row r="128" spans="1:27" ht="21.75" customHeight="1">
      <c r="A128" s="3651" t="s">
        <v>1450</v>
      </c>
      <c r="B128" s="3651"/>
      <c r="C128" s="3651"/>
      <c r="D128" s="3651"/>
      <c r="E128" s="3651"/>
      <c r="F128" s="3651"/>
      <c r="G128" s="3651"/>
      <c r="H128" s="3651"/>
      <c r="I128" s="3651"/>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2428</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4518</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3487</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3488</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3489</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1597</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1419</v>
      </c>
      <c r="D34" s="214"/>
      <c r="E34" s="217"/>
      <c r="F34" s="254">
        <f ca="1">IF('数据-取费表'!B24=0,1,IF(B1="",'数据-取费表'!N16,INDIRECT("'数据-取费表'!n"&amp;$G$1)))</f>
        <v>1</v>
      </c>
      <c r="G34" s="216" t="s">
        <v>1523</v>
      </c>
    </row>
    <row r="35" spans="1:7" ht="13.5" customHeight="1">
      <c r="A35" s="776" t="s">
        <v>351</v>
      </c>
      <c r="B35" s="212" t="s">
        <v>1524</v>
      </c>
      <c r="C35" s="217">
        <f ca="1">ROUND(C34*F35,0)</f>
        <v>43</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28</v>
      </c>
      <c r="D38" s="217"/>
      <c r="E38" s="217"/>
      <c r="F38" s="256">
        <f>'数据-取费表'!B36</f>
        <v>0.02</v>
      </c>
      <c r="G38" s="216" t="s">
        <v>1525</v>
      </c>
    </row>
    <row r="39" spans="1:7" s="211" customFormat="1" ht="13.5" customHeight="1">
      <c r="A39" s="252" t="s">
        <v>1531</v>
      </c>
      <c r="B39" s="207" t="s">
        <v>1532</v>
      </c>
      <c r="C39" s="229">
        <f ca="1">ROUND(C33*F20,0)</f>
        <v>32</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24</v>
      </c>
      <c r="D42" s="235"/>
      <c r="E42" s="235"/>
      <c r="F42" s="236"/>
      <c r="G42" s="3684" t="s">
        <v>1541</v>
      </c>
    </row>
    <row r="43" spans="1:7" ht="13.5" customHeight="1">
      <c r="A43" s="776" t="s">
        <v>347</v>
      </c>
      <c r="B43" s="212" t="s">
        <v>1542</v>
      </c>
      <c r="C43" s="235">
        <f ca="1">ROUND(IF('数据-取费表'!B22&lt;=1,C39*F22*'数据-取费表'!B21/2,C39*(POWER((1+F22),'数据-取费表'!B21/2)-1)),0)</f>
        <v>0</v>
      </c>
      <c r="D43" s="235"/>
      <c r="E43" s="235"/>
      <c r="F43" s="236"/>
      <c r="G43" s="3685"/>
    </row>
    <row r="44" spans="1:7" ht="13.5" customHeight="1">
      <c r="A44" s="776" t="s">
        <v>348</v>
      </c>
      <c r="B44" s="212" t="s">
        <v>1543</v>
      </c>
      <c r="C44" s="235">
        <f ca="1">ROUND(IF('数据-取费表'!B22&lt;=1,C40*F22*'数据-取费表'!B21/2,C40*(POWER((1+F22),'数据-取费表'!B21/2)-1)),4)</f>
        <v>2.9999999999999997E-4</v>
      </c>
      <c r="D44" s="235"/>
      <c r="E44" s="235"/>
      <c r="F44" s="236"/>
      <c r="G44" s="3686"/>
    </row>
    <row r="45" spans="1:7" s="211" customFormat="1" ht="13.5" customHeight="1">
      <c r="A45" s="252" t="s">
        <v>1544</v>
      </c>
      <c r="B45" s="241" t="s">
        <v>1510</v>
      </c>
      <c r="C45" s="242">
        <f ca="1">C46</f>
        <v>81</v>
      </c>
      <c r="D45" s="232">
        <f ca="1">C47</f>
        <v>1E-3</v>
      </c>
      <c r="E45" s="233" t="s">
        <v>1536</v>
      </c>
      <c r="F45" s="243">
        <f ca="1">F27</f>
        <v>0.05</v>
      </c>
      <c r="G45" s="244" t="s">
        <v>1545</v>
      </c>
    </row>
    <row r="46" spans="1:7" s="211" customFormat="1" ht="13.5" customHeight="1">
      <c r="A46" s="776" t="s">
        <v>346</v>
      </c>
      <c r="B46" s="245" t="s">
        <v>1546</v>
      </c>
      <c r="C46" s="246">
        <f ca="1">ROUND((C33+C39)*F27,0)</f>
        <v>81</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1872</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1292</v>
      </c>
      <c r="D51" s="229"/>
      <c r="E51" s="229"/>
      <c r="F51" s="261"/>
      <c r="G51" s="231" t="s">
        <v>1557</v>
      </c>
    </row>
    <row r="52" spans="1:7" s="205" customFormat="1" ht="16.5" thickBot="1">
      <c r="A52" s="262" t="s">
        <v>1558</v>
      </c>
      <c r="B52" s="263"/>
      <c r="C52" s="264">
        <f ca="1">C31+C51</f>
        <v>2428</v>
      </c>
      <c r="D52" s="263"/>
      <c r="E52" s="263"/>
      <c r="F52" s="263"/>
      <c r="G52" s="265"/>
    </row>
    <row r="55" spans="1:7" ht="15">
      <c r="B55" s="267" t="s">
        <v>1559</v>
      </c>
      <c r="C55" s="268"/>
    </row>
    <row r="56" spans="1:7">
      <c r="B56" s="270" t="s">
        <v>802</v>
      </c>
      <c r="C56" s="272">
        <f ca="1">1-C57</f>
        <v>0.46799999999999997</v>
      </c>
    </row>
    <row r="57" spans="1:7">
      <c r="B57" s="270" t="s">
        <v>803</v>
      </c>
      <c r="C57" s="271">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1" t="str">
        <f>项目基本情况!B1</f>
        <v>北京市平谷区大兴幢镇大兴庄京兴路22号院1至5号楼工业用房房地产抵押价值预评估</v>
      </c>
      <c r="C37" s="3501"/>
      <c r="D37" s="3501"/>
      <c r="E37" s="3501"/>
      <c r="F37" s="3501"/>
      <c r="G37" s="3501"/>
      <c r="H37" s="3501"/>
      <c r="I37" s="350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1471.5361</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2738</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15974388</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14190000</v>
      </c>
      <c r="D34" s="214"/>
      <c r="E34" s="217"/>
      <c r="F34" s="254"/>
      <c r="G34" s="216"/>
    </row>
    <row r="35" spans="1:7" ht="13.5" customHeight="1">
      <c r="A35" s="776" t="s">
        <v>351</v>
      </c>
      <c r="B35" s="212" t="s">
        <v>1524</v>
      </c>
      <c r="C35" s="217">
        <f ca="1">ROUND(C34*F35,0)</f>
        <v>425700</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283800</v>
      </c>
      <c r="D38" s="217"/>
      <c r="E38" s="217"/>
      <c r="F38" s="256">
        <f>'数据-取费表'!B36</f>
        <v>0.02</v>
      </c>
      <c r="G38" s="216" t="s">
        <v>1525</v>
      </c>
    </row>
    <row r="39" spans="1:7" s="211" customFormat="1" ht="13.5" customHeight="1">
      <c r="A39" s="252" t="s">
        <v>1531</v>
      </c>
      <c r="B39" s="207" t="s">
        <v>1532</v>
      </c>
      <c r="C39" s="229">
        <f ca="1">ROUND(C33*F20,0)</f>
        <v>319488</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244408</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239616</v>
      </c>
      <c r="D42" s="235"/>
      <c r="E42" s="235"/>
      <c r="F42" s="236"/>
      <c r="G42" s="3684" t="s">
        <v>1588</v>
      </c>
    </row>
    <row r="43" spans="1:7" ht="13.5" customHeight="1">
      <c r="A43" s="776" t="s">
        <v>347</v>
      </c>
      <c r="B43" s="212" t="s">
        <v>1542</v>
      </c>
      <c r="C43" s="235">
        <f ca="1">ROUND(IF('数据-取费表'!B22&lt;=1,C39*F22*'数据-取费表'!B20/2,C39*(POWER((1+F22),'数据-取费表'!B20/2)-1)),0)</f>
        <v>4792</v>
      </c>
      <c r="D43" s="235"/>
      <c r="E43" s="235"/>
      <c r="F43" s="236"/>
      <c r="G43" s="3685"/>
    </row>
    <row r="44" spans="1:7" ht="13.5" customHeight="1">
      <c r="A44" s="776" t="s">
        <v>348</v>
      </c>
      <c r="B44" s="212" t="s">
        <v>1543</v>
      </c>
      <c r="C44" s="235">
        <f ca="1">ROUND(IF('数据-取费表'!B22&lt;=1,C40*F22*'数据-取费表'!B20/2,C40*(POWER((1+F22),'数据-取费表'!B20/2)-1)),4)</f>
        <v>2.9999999999999997E-4</v>
      </c>
      <c r="D44" s="235"/>
      <c r="E44" s="235"/>
      <c r="F44" s="236"/>
      <c r="G44" s="3686"/>
    </row>
    <row r="45" spans="1:7" s="211" customFormat="1" ht="13.5" customHeight="1">
      <c r="A45" s="252" t="s">
        <v>1544</v>
      </c>
      <c r="B45" s="241" t="s">
        <v>1510</v>
      </c>
      <c r="C45" s="242">
        <f ca="1">C46</f>
        <v>814694</v>
      </c>
      <c r="D45" s="232">
        <f ca="1">C47</f>
        <v>1E-3</v>
      </c>
      <c r="E45" s="233" t="s">
        <v>1536</v>
      </c>
      <c r="F45" s="243">
        <f ca="1">F27</f>
        <v>0.05</v>
      </c>
      <c r="G45" s="244" t="s">
        <v>1545</v>
      </c>
    </row>
    <row r="46" spans="1:7" s="211" customFormat="1" ht="13.5" customHeight="1">
      <c r="A46" s="776" t="s">
        <v>346</v>
      </c>
      <c r="B46" s="245" t="s">
        <v>1546</v>
      </c>
      <c r="C46" s="246">
        <f ca="1">ROUND((C33+C39)*F27,0)</f>
        <v>814694</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18733648</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12926217</v>
      </c>
      <c r="D51" s="229"/>
      <c r="E51" s="229"/>
      <c r="F51" s="261"/>
      <c r="G51" s="231" t="s">
        <v>1557</v>
      </c>
    </row>
    <row r="52" spans="1:7" s="205" customFormat="1" ht="16.5" thickBot="1">
      <c r="A52" s="262" t="s">
        <v>1558</v>
      </c>
      <c r="B52" s="263"/>
      <c r="C52" s="264">
        <f ca="1">C31+C51</f>
        <v>14715361</v>
      </c>
      <c r="D52" s="263"/>
      <c r="E52" s="263"/>
      <c r="F52" s="263"/>
      <c r="G52" s="265"/>
    </row>
    <row r="55" spans="1:7" ht="15">
      <c r="B55" s="267" t="s">
        <v>1559</v>
      </c>
      <c r="C55" s="268"/>
    </row>
    <row r="56" spans="1:7">
      <c r="B56" s="270" t="s">
        <v>802</v>
      </c>
      <c r="C56" s="272">
        <f ca="1">1-C57</f>
        <v>0.122</v>
      </c>
    </row>
    <row r="57" spans="1:7">
      <c r="B57" s="270" t="s">
        <v>803</v>
      </c>
      <c r="C57" s="271">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691" t="s">
        <v>1767</v>
      </c>
      <c r="D4" s="3703"/>
      <c r="E4" s="3704" t="s">
        <v>1768</v>
      </c>
      <c r="F4" s="3705"/>
      <c r="G4" s="3691" t="s">
        <v>1769</v>
      </c>
      <c r="H4" s="3703"/>
      <c r="I4" s="3691" t="s">
        <v>1770</v>
      </c>
      <c r="J4" s="3703"/>
      <c r="K4" s="556" t="s">
        <v>1771</v>
      </c>
      <c r="L4" s="2711"/>
      <c r="M4" s="2712"/>
      <c r="N4" s="2712"/>
      <c r="O4" s="2712"/>
      <c r="P4" s="3706" t="s">
        <v>1772</v>
      </c>
      <c r="Q4" s="3707"/>
      <c r="R4" s="3712" t="s">
        <v>1768</v>
      </c>
      <c r="S4" s="3713"/>
      <c r="T4" s="3712" t="s">
        <v>1769</v>
      </c>
      <c r="U4" s="3713"/>
      <c r="V4" s="3699" t="s">
        <v>1770</v>
      </c>
      <c r="W4" s="3699"/>
      <c r="X4" s="1351"/>
      <c r="Y4" s="3712" t="s">
        <v>1772</v>
      </c>
      <c r="Z4" s="3713"/>
      <c r="AA4" s="3700" t="s">
        <v>1768</v>
      </c>
      <c r="AB4" s="3701" t="s">
        <v>1769</v>
      </c>
      <c r="AC4" s="3700" t="s">
        <v>1770</v>
      </c>
    </row>
    <row r="5" spans="1:30" ht="15">
      <c r="A5" s="355"/>
      <c r="B5" s="356"/>
      <c r="C5" s="3720" t="s">
        <v>1670</v>
      </c>
      <c r="D5" s="3721"/>
      <c r="E5" s="3727" t="s">
        <v>1671</v>
      </c>
      <c r="F5" s="3728"/>
      <c r="G5" s="3720" t="s">
        <v>1672</v>
      </c>
      <c r="H5" s="3721"/>
      <c r="I5" s="3720" t="s">
        <v>1673</v>
      </c>
      <c r="J5" s="3721"/>
      <c r="K5" s="556"/>
      <c r="L5" s="2711"/>
      <c r="M5" s="2712"/>
      <c r="N5" s="2712"/>
      <c r="O5" s="2712"/>
      <c r="P5" s="3708"/>
      <c r="Q5" s="3709"/>
      <c r="R5" s="3714"/>
      <c r="S5" s="3715"/>
      <c r="T5" s="3714"/>
      <c r="U5" s="3715"/>
      <c r="V5" s="3699"/>
      <c r="W5" s="3699"/>
      <c r="X5" s="1351"/>
      <c r="Y5" s="3714"/>
      <c r="Z5" s="3715"/>
      <c r="AA5" s="3701"/>
      <c r="AB5" s="3701"/>
      <c r="AC5" s="3701"/>
    </row>
    <row r="6" spans="1:30" ht="15.75" thickBot="1">
      <c r="A6" s="357"/>
      <c r="B6" s="358"/>
      <c r="C6" s="3718" t="s">
        <v>1674</v>
      </c>
      <c r="D6" s="3719"/>
      <c r="E6" s="3725" t="s">
        <v>1674</v>
      </c>
      <c r="F6" s="3726"/>
      <c r="G6" s="3718" t="s">
        <v>1674</v>
      </c>
      <c r="H6" s="3719"/>
      <c r="I6" s="3718" t="s">
        <v>1674</v>
      </c>
      <c r="J6" s="3719"/>
      <c r="K6" s="556" t="s">
        <v>1675</v>
      </c>
      <c r="L6" s="2711"/>
      <c r="M6" s="2712"/>
      <c r="N6" s="2712"/>
      <c r="O6" s="2712"/>
      <c r="P6" s="3710"/>
      <c r="Q6" s="3711"/>
      <c r="R6" s="3714"/>
      <c r="S6" s="3715"/>
      <c r="T6" s="3716"/>
      <c r="U6" s="3717"/>
      <c r="V6" s="3699"/>
      <c r="W6" s="3699"/>
      <c r="X6" s="1351"/>
      <c r="Y6" s="3716"/>
      <c r="Z6" s="3717"/>
      <c r="AA6" s="3702"/>
      <c r="AB6" s="3702"/>
      <c r="AC6" s="3702"/>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722" t="s">
        <v>1677</v>
      </c>
      <c r="Q7" s="3724"/>
      <c r="R7" s="697" t="s">
        <v>14</v>
      </c>
      <c r="S7" s="698">
        <f t="shared" ref="S7:S15" si="0">F7</f>
        <v>0</v>
      </c>
      <c r="T7" s="697" t="s">
        <v>14</v>
      </c>
      <c r="U7" s="698">
        <f t="shared" ref="U7:U15" si="1">H7</f>
        <v>0</v>
      </c>
      <c r="V7" s="697" t="s">
        <v>14</v>
      </c>
      <c r="W7" s="698">
        <f t="shared" ref="W7:W15" si="2">J7</f>
        <v>0</v>
      </c>
      <c r="X7" s="699"/>
      <c r="Y7" s="3722" t="s">
        <v>1677</v>
      </c>
      <c r="Z7" s="3723"/>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722" t="s">
        <v>1680</v>
      </c>
      <c r="Q8" s="3723"/>
      <c r="R8" s="697" t="s">
        <v>14</v>
      </c>
      <c r="S8" s="698">
        <f t="shared" si="0"/>
        <v>0</v>
      </c>
      <c r="T8" s="697" t="s">
        <v>14</v>
      </c>
      <c r="U8" s="698">
        <f t="shared" si="1"/>
        <v>0</v>
      </c>
      <c r="V8" s="697" t="s">
        <v>14</v>
      </c>
      <c r="W8" s="698">
        <f t="shared" si="2"/>
        <v>0</v>
      </c>
      <c r="X8" s="699"/>
      <c r="Y8" s="3722" t="s">
        <v>1680</v>
      </c>
      <c r="Z8" s="3723"/>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694"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694"/>
      <c r="Q10" s="1339" t="str">
        <f t="shared" si="6"/>
        <v>土地使用年限（年）</v>
      </c>
      <c r="R10" s="697" t="s">
        <v>14</v>
      </c>
      <c r="S10" s="698">
        <f t="shared" si="0"/>
        <v>122</v>
      </c>
      <c r="T10" s="697" t="s">
        <v>14</v>
      </c>
      <c r="U10" s="698">
        <f t="shared" si="1"/>
        <v>122</v>
      </c>
      <c r="V10" s="697" t="s">
        <v>14</v>
      </c>
      <c r="W10" s="698">
        <f t="shared" si="2"/>
        <v>122</v>
      </c>
      <c r="X10" s="699"/>
      <c r="Y10" s="3591"/>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694"/>
      <c r="Q11" s="1339" t="str">
        <f t="shared" si="6"/>
        <v>容积率</v>
      </c>
      <c r="R11" s="697" t="s">
        <v>14</v>
      </c>
      <c r="S11" s="698" t="e">
        <f t="shared" si="0"/>
        <v>#N/A</v>
      </c>
      <c r="T11" s="697" t="s">
        <v>14</v>
      </c>
      <c r="U11" s="698" t="e">
        <f t="shared" si="1"/>
        <v>#N/A</v>
      </c>
      <c r="V11" s="697" t="s">
        <v>14</v>
      </c>
      <c r="W11" s="698" t="e">
        <f t="shared" si="2"/>
        <v>#N/A</v>
      </c>
      <c r="X11" s="699"/>
      <c r="Y11" s="3591"/>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694"/>
      <c r="Q12" s="1339" t="str">
        <f t="shared" si="6"/>
        <v>配建</v>
      </c>
      <c r="R12" s="697" t="s">
        <v>14</v>
      </c>
      <c r="S12" s="698">
        <f t="shared" si="0"/>
        <v>100</v>
      </c>
      <c r="T12" s="697" t="s">
        <v>14</v>
      </c>
      <c r="U12" s="698">
        <f t="shared" si="1"/>
        <v>100</v>
      </c>
      <c r="V12" s="697" t="s">
        <v>14</v>
      </c>
      <c r="W12" s="698">
        <f t="shared" si="2"/>
        <v>100</v>
      </c>
      <c r="X12" s="699"/>
      <c r="Y12" s="3591"/>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694"/>
      <c r="Q13" s="1339">
        <f t="shared" si="6"/>
        <v>111</v>
      </c>
      <c r="R13" s="697" t="s">
        <v>14</v>
      </c>
      <c r="S13" s="698">
        <f t="shared" si="0"/>
        <v>100</v>
      </c>
      <c r="T13" s="697" t="s">
        <v>14</v>
      </c>
      <c r="U13" s="698">
        <f t="shared" si="1"/>
        <v>100</v>
      </c>
      <c r="V13" s="697" t="s">
        <v>14</v>
      </c>
      <c r="W13" s="698">
        <f t="shared" si="2"/>
        <v>100</v>
      </c>
      <c r="X13" s="699"/>
      <c r="Y13" s="3591"/>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694"/>
      <c r="Q14" s="1339">
        <f t="shared" si="6"/>
        <v>111</v>
      </c>
      <c r="R14" s="697" t="s">
        <v>14</v>
      </c>
      <c r="S14" s="698">
        <f t="shared" si="0"/>
        <v>100</v>
      </c>
      <c r="T14" s="697" t="s">
        <v>14</v>
      </c>
      <c r="U14" s="698">
        <f t="shared" si="1"/>
        <v>100</v>
      </c>
      <c r="V14" s="697" t="s">
        <v>14</v>
      </c>
      <c r="W14" s="698">
        <f t="shared" si="2"/>
        <v>100</v>
      </c>
      <c r="X14" s="699"/>
      <c r="Y14" s="3591"/>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695" t="s">
        <v>1688</v>
      </c>
      <c r="Q15" s="1348" t="str">
        <f t="shared" si="6"/>
        <v>居住社区成熟度</v>
      </c>
      <c r="R15" s="701" t="s">
        <v>14</v>
      </c>
      <c r="S15" s="702">
        <f t="shared" si="0"/>
        <v>100</v>
      </c>
      <c r="T15" s="701" t="s">
        <v>14</v>
      </c>
      <c r="U15" s="702">
        <f t="shared" si="1"/>
        <v>100</v>
      </c>
      <c r="V15" s="701" t="s">
        <v>14</v>
      </c>
      <c r="W15" s="702">
        <f t="shared" si="2"/>
        <v>100</v>
      </c>
      <c r="X15" s="1351"/>
      <c r="Y15" s="3695"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696"/>
      <c r="Q16" s="1348"/>
      <c r="R16" s="701"/>
      <c r="S16" s="702"/>
      <c r="T16" s="701"/>
      <c r="U16" s="702"/>
      <c r="V16" s="701"/>
      <c r="W16" s="702"/>
      <c r="X16" s="1351"/>
      <c r="Y16" s="3696"/>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696"/>
      <c r="Q17" s="1348" t="str">
        <f>B17</f>
        <v>商业繁华度</v>
      </c>
      <c r="R17" s="701" t="s">
        <v>14</v>
      </c>
      <c r="S17" s="702">
        <f>F17</f>
        <v>100</v>
      </c>
      <c r="T17" s="701" t="s">
        <v>14</v>
      </c>
      <c r="U17" s="702">
        <f>H17</f>
        <v>100</v>
      </c>
      <c r="V17" s="701" t="s">
        <v>14</v>
      </c>
      <c r="W17" s="702">
        <f>J17</f>
        <v>100</v>
      </c>
      <c r="X17" s="1351"/>
      <c r="Y17" s="3696"/>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696"/>
      <c r="Q18" s="1348"/>
      <c r="R18" s="701"/>
      <c r="S18" s="702"/>
      <c r="T18" s="701"/>
      <c r="U18" s="702"/>
      <c r="V18" s="701"/>
      <c r="W18" s="702"/>
      <c r="X18" s="1351"/>
      <c r="Y18" s="3696"/>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696"/>
      <c r="Q19" s="1348" t="str">
        <f>B19</f>
        <v>办公集聚程度</v>
      </c>
      <c r="R19" s="701" t="s">
        <v>14</v>
      </c>
      <c r="S19" s="702">
        <f>F19</f>
        <v>100</v>
      </c>
      <c r="T19" s="701" t="s">
        <v>14</v>
      </c>
      <c r="U19" s="702">
        <f>H19</f>
        <v>100</v>
      </c>
      <c r="V19" s="701" t="s">
        <v>14</v>
      </c>
      <c r="W19" s="702">
        <f>J19</f>
        <v>100</v>
      </c>
      <c r="X19" s="1351"/>
      <c r="Y19" s="3696"/>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696"/>
      <c r="Q20" s="1348"/>
      <c r="R20" s="701"/>
      <c r="S20" s="702"/>
      <c r="T20" s="701"/>
      <c r="U20" s="702"/>
      <c r="V20" s="701"/>
      <c r="W20" s="702"/>
      <c r="X20" s="1351"/>
      <c r="Y20" s="3696"/>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696"/>
      <c r="Q21" s="1348" t="str">
        <f>B21</f>
        <v>交通便捷度</v>
      </c>
      <c r="R21" s="701" t="s">
        <v>14</v>
      </c>
      <c r="S21" s="702">
        <f>F21</f>
        <v>100</v>
      </c>
      <c r="T21" s="701" t="s">
        <v>14</v>
      </c>
      <c r="U21" s="702">
        <f>H21</f>
        <v>100</v>
      </c>
      <c r="V21" s="701" t="s">
        <v>14</v>
      </c>
      <c r="W21" s="702">
        <f>J21</f>
        <v>100</v>
      </c>
      <c r="X21" s="1351"/>
      <c r="Y21" s="3696"/>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696"/>
      <c r="Q22" s="1348"/>
      <c r="R22" s="701"/>
      <c r="S22" s="702"/>
      <c r="T22" s="701"/>
      <c r="U22" s="702"/>
      <c r="V22" s="701"/>
      <c r="W22" s="702"/>
      <c r="X22" s="1351"/>
      <c r="Y22" s="3696"/>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696"/>
      <c r="Q23" s="1348" t="str">
        <f t="shared" ref="Q23:Q37" si="8">B23</f>
        <v>区域土地利用方向</v>
      </c>
      <c r="R23" s="701" t="s">
        <v>14</v>
      </c>
      <c r="S23" s="702">
        <f>F23</f>
        <v>100</v>
      </c>
      <c r="T23" s="701" t="s">
        <v>14</v>
      </c>
      <c r="U23" s="702">
        <f>H23</f>
        <v>100</v>
      </c>
      <c r="V23" s="701" t="s">
        <v>14</v>
      </c>
      <c r="W23" s="702">
        <f>J23</f>
        <v>100</v>
      </c>
      <c r="X23" s="1351"/>
      <c r="Y23" s="3696"/>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696"/>
      <c r="Q24" s="1348"/>
      <c r="R24" s="701"/>
      <c r="S24" s="702"/>
      <c r="T24" s="701"/>
      <c r="U24" s="702"/>
      <c r="V24" s="701"/>
      <c r="W24" s="702"/>
      <c r="X24" s="1351"/>
      <c r="Y24" s="3696"/>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696"/>
      <c r="Q25" s="1348" t="str">
        <f t="shared" si="8"/>
        <v>自然及人文环境状况</v>
      </c>
      <c r="R25" s="701" t="s">
        <v>14</v>
      </c>
      <c r="S25" s="702">
        <f>F25</f>
        <v>100</v>
      </c>
      <c r="T25" s="701" t="s">
        <v>14</v>
      </c>
      <c r="U25" s="702">
        <f>H25</f>
        <v>100</v>
      </c>
      <c r="V25" s="701" t="s">
        <v>14</v>
      </c>
      <c r="W25" s="702">
        <f>J25</f>
        <v>100</v>
      </c>
      <c r="X25" s="1351"/>
      <c r="Y25" s="3696"/>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696"/>
      <c r="Q26" s="1348"/>
      <c r="R26" s="701"/>
      <c r="S26" s="702"/>
      <c r="T26" s="701"/>
      <c r="U26" s="702"/>
      <c r="V26" s="701"/>
      <c r="W26" s="702"/>
      <c r="X26" s="1351"/>
      <c r="Y26" s="3696"/>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696"/>
      <c r="Q27" s="1339" t="str">
        <f t="shared" si="8"/>
        <v>公共配套设施</v>
      </c>
      <c r="R27" s="697" t="s">
        <v>14</v>
      </c>
      <c r="S27" s="698">
        <f>F27</f>
        <v>100</v>
      </c>
      <c r="T27" s="697" t="s">
        <v>14</v>
      </c>
      <c r="U27" s="698">
        <f>H27</f>
        <v>100</v>
      </c>
      <c r="V27" s="697" t="s">
        <v>14</v>
      </c>
      <c r="W27" s="698">
        <f>J27</f>
        <v>100</v>
      </c>
      <c r="X27" s="699"/>
      <c r="Y27" s="3696"/>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696"/>
      <c r="Q28" s="1339"/>
      <c r="R28" s="697"/>
      <c r="S28" s="698"/>
      <c r="T28" s="697"/>
      <c r="U28" s="698"/>
      <c r="V28" s="697"/>
      <c r="W28" s="698"/>
      <c r="X28" s="699"/>
      <c r="Y28" s="3696"/>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696"/>
      <c r="Q29" s="1339" t="str">
        <f t="shared" ref="Q29" si="9">B29</f>
        <v>基础设施水平</v>
      </c>
      <c r="R29" s="697" t="s">
        <v>14</v>
      </c>
      <c r="S29" s="698">
        <f>F29</f>
        <v>100</v>
      </c>
      <c r="T29" s="697" t="s">
        <v>14</v>
      </c>
      <c r="U29" s="698">
        <f>H29</f>
        <v>100</v>
      </c>
      <c r="V29" s="697" t="s">
        <v>14</v>
      </c>
      <c r="W29" s="698">
        <f>J29</f>
        <v>100</v>
      </c>
      <c r="X29" s="699"/>
      <c r="Y29" s="3696"/>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696"/>
      <c r="Q30" s="1339"/>
      <c r="R30" s="697"/>
      <c r="S30" s="698"/>
      <c r="T30" s="697"/>
      <c r="U30" s="698"/>
      <c r="V30" s="697"/>
      <c r="W30" s="698"/>
      <c r="X30" s="699"/>
      <c r="Y30" s="3696"/>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696"/>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96"/>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696"/>
      <c r="Q32" s="1348" t="str">
        <f t="shared" si="8"/>
        <v>毗邻道路的类型与等级</v>
      </c>
      <c r="R32" s="701" t="s">
        <v>14</v>
      </c>
      <c r="S32" s="702">
        <f t="shared" si="10"/>
        <v>100</v>
      </c>
      <c r="T32" s="701" t="s">
        <v>14</v>
      </c>
      <c r="U32" s="702">
        <f t="shared" si="11"/>
        <v>100</v>
      </c>
      <c r="V32" s="701" t="s">
        <v>14</v>
      </c>
      <c r="W32" s="702">
        <f t="shared" si="12"/>
        <v>100</v>
      </c>
      <c r="X32" s="1351"/>
      <c r="Y32" s="3696"/>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696"/>
      <c r="Q33" s="1348"/>
      <c r="R33" s="701"/>
      <c r="S33" s="702"/>
      <c r="T33" s="701"/>
      <c r="U33" s="702"/>
      <c r="V33" s="701"/>
      <c r="W33" s="702"/>
      <c r="X33" s="1351"/>
      <c r="Y33" s="3696"/>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696"/>
      <c r="Q34" s="1348" t="str">
        <f t="shared" si="8"/>
        <v>土地级别</v>
      </c>
      <c r="R34" s="701" t="s">
        <v>14</v>
      </c>
      <c r="S34" s="702">
        <f t="shared" si="10"/>
        <v>100</v>
      </c>
      <c r="T34" s="701" t="s">
        <v>14</v>
      </c>
      <c r="U34" s="702">
        <f t="shared" si="11"/>
        <v>100</v>
      </c>
      <c r="V34" s="701" t="s">
        <v>14</v>
      </c>
      <c r="W34" s="702">
        <f t="shared" si="12"/>
        <v>100</v>
      </c>
      <c r="X34" s="1351"/>
      <c r="Y34" s="3696"/>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696"/>
      <c r="Q35" s="1348">
        <f t="shared" si="8"/>
        <v>111</v>
      </c>
      <c r="R35" s="701" t="s">
        <v>14</v>
      </c>
      <c r="S35" s="702">
        <f t="shared" si="10"/>
        <v>100</v>
      </c>
      <c r="T35" s="701" t="s">
        <v>14</v>
      </c>
      <c r="U35" s="702">
        <f t="shared" si="11"/>
        <v>100</v>
      </c>
      <c r="V35" s="701" t="s">
        <v>14</v>
      </c>
      <c r="W35" s="702">
        <f t="shared" si="12"/>
        <v>100</v>
      </c>
      <c r="X35" s="1351"/>
      <c r="Y35" s="3696"/>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697" t="s">
        <v>1693</v>
      </c>
      <c r="Q36" s="1348">
        <f t="shared" si="8"/>
        <v>111</v>
      </c>
      <c r="R36" s="701" t="s">
        <v>14</v>
      </c>
      <c r="S36" s="702">
        <f t="shared" si="10"/>
        <v>100</v>
      </c>
      <c r="T36" s="701" t="s">
        <v>14</v>
      </c>
      <c r="U36" s="702">
        <f t="shared" si="11"/>
        <v>100</v>
      </c>
      <c r="V36" s="701" t="s">
        <v>14</v>
      </c>
      <c r="W36" s="702">
        <f t="shared" si="12"/>
        <v>100</v>
      </c>
      <c r="X36" s="1351"/>
      <c r="Y36" s="3698"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698"/>
      <c r="Q37" s="1348">
        <f t="shared" si="8"/>
        <v>111</v>
      </c>
      <c r="R37" s="704" t="s">
        <v>14</v>
      </c>
      <c r="S37" s="705">
        <f t="shared" si="10"/>
        <v>100</v>
      </c>
      <c r="T37" s="704" t="s">
        <v>14</v>
      </c>
      <c r="U37" s="705">
        <f t="shared" si="11"/>
        <v>100</v>
      </c>
      <c r="V37" s="704" t="s">
        <v>14</v>
      </c>
      <c r="W37" s="705">
        <f t="shared" si="12"/>
        <v>100</v>
      </c>
      <c r="X37" s="706"/>
      <c r="Y37" s="3698"/>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698"/>
      <c r="Q38" s="1348" t="str">
        <f>B38</f>
        <v>宗地面积</v>
      </c>
      <c r="R38" s="701" t="s">
        <v>14</v>
      </c>
      <c r="S38" s="702" t="e">
        <f t="shared" si="10"/>
        <v>#N/A</v>
      </c>
      <c r="T38" s="701" t="s">
        <v>14</v>
      </c>
      <c r="U38" s="702" t="e">
        <f t="shared" si="11"/>
        <v>#N/A</v>
      </c>
      <c r="V38" s="701" t="s">
        <v>14</v>
      </c>
      <c r="W38" s="702" t="e">
        <f t="shared" si="12"/>
        <v>#N/A</v>
      </c>
      <c r="X38" s="1351"/>
      <c r="Y38" s="3698"/>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698"/>
      <c r="Q39" s="1348" t="str">
        <f t="shared" ref="Q39:Q45" si="14">B39</f>
        <v>宗地形状</v>
      </c>
      <c r="R39" s="701" t="s">
        <v>14</v>
      </c>
      <c r="S39" s="702">
        <f t="shared" si="10"/>
        <v>100</v>
      </c>
      <c r="T39" s="701" t="s">
        <v>14</v>
      </c>
      <c r="U39" s="702">
        <f t="shared" si="11"/>
        <v>100</v>
      </c>
      <c r="V39" s="701" t="s">
        <v>14</v>
      </c>
      <c r="W39" s="702">
        <f t="shared" si="12"/>
        <v>100</v>
      </c>
      <c r="X39" s="1351"/>
      <c r="Y39" s="3698"/>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698"/>
      <c r="Q40" s="1348" t="str">
        <f t="shared" si="14"/>
        <v>临街宽度及深度</v>
      </c>
      <c r="R40" s="701" t="s">
        <v>14</v>
      </c>
      <c r="S40" s="702">
        <f t="shared" si="10"/>
        <v>100</v>
      </c>
      <c r="T40" s="701" t="s">
        <v>14</v>
      </c>
      <c r="U40" s="702">
        <f t="shared" si="11"/>
        <v>100</v>
      </c>
      <c r="V40" s="701" t="s">
        <v>14</v>
      </c>
      <c r="W40" s="702">
        <f t="shared" si="12"/>
        <v>100</v>
      </c>
      <c r="X40" s="1351"/>
      <c r="Y40" s="3698"/>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698"/>
      <c r="Q41" s="1348" t="str">
        <f t="shared" si="14"/>
        <v>宗地开发程度</v>
      </c>
      <c r="R41" s="697" t="s">
        <v>14</v>
      </c>
      <c r="S41" s="698">
        <f t="shared" si="10"/>
        <v>100</v>
      </c>
      <c r="T41" s="697" t="s">
        <v>14</v>
      </c>
      <c r="U41" s="698">
        <f t="shared" si="11"/>
        <v>100</v>
      </c>
      <c r="V41" s="697" t="s">
        <v>14</v>
      </c>
      <c r="W41" s="698">
        <f t="shared" si="12"/>
        <v>100</v>
      </c>
      <c r="X41" s="699"/>
      <c r="Y41" s="3698"/>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698" t="s">
        <v>1693</v>
      </c>
      <c r="Q42" s="1348" t="str">
        <f t="shared" si="14"/>
        <v>工程地质条件</v>
      </c>
      <c r="R42" s="701" t="s">
        <v>14</v>
      </c>
      <c r="S42" s="702">
        <f t="shared" si="10"/>
        <v>100</v>
      </c>
      <c r="T42" s="701" t="s">
        <v>14</v>
      </c>
      <c r="U42" s="702">
        <f t="shared" si="11"/>
        <v>100</v>
      </c>
      <c r="V42" s="701" t="s">
        <v>14</v>
      </c>
      <c r="W42" s="702">
        <f t="shared" si="12"/>
        <v>100</v>
      </c>
      <c r="X42" s="1351"/>
      <c r="Y42" s="3698"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698"/>
      <c r="Q43" s="1348">
        <f t="shared" si="14"/>
        <v>111</v>
      </c>
      <c r="R43" s="701" t="s">
        <v>14</v>
      </c>
      <c r="S43" s="702">
        <f t="shared" si="10"/>
        <v>100</v>
      </c>
      <c r="T43" s="701" t="s">
        <v>14</v>
      </c>
      <c r="U43" s="702">
        <f t="shared" si="11"/>
        <v>100</v>
      </c>
      <c r="V43" s="701" t="s">
        <v>14</v>
      </c>
      <c r="W43" s="702">
        <f t="shared" si="12"/>
        <v>100</v>
      </c>
      <c r="X43" s="1351"/>
      <c r="Y43" s="3698"/>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698"/>
      <c r="Q44" s="1348">
        <f t="shared" si="14"/>
        <v>111</v>
      </c>
      <c r="R44" s="701" t="s">
        <v>14</v>
      </c>
      <c r="S44" s="702">
        <f t="shared" si="10"/>
        <v>100</v>
      </c>
      <c r="T44" s="701" t="s">
        <v>14</v>
      </c>
      <c r="U44" s="702">
        <f t="shared" si="11"/>
        <v>100</v>
      </c>
      <c r="V44" s="701" t="s">
        <v>14</v>
      </c>
      <c r="W44" s="702">
        <f t="shared" si="12"/>
        <v>100</v>
      </c>
      <c r="X44" s="1351"/>
      <c r="Y44" s="3698"/>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698"/>
      <c r="Q45" s="1348">
        <f t="shared" si="14"/>
        <v>111</v>
      </c>
      <c r="R45" s="704" t="s">
        <v>14</v>
      </c>
      <c r="S45" s="705">
        <f t="shared" si="10"/>
        <v>100</v>
      </c>
      <c r="T45" s="704" t="s">
        <v>14</v>
      </c>
      <c r="U45" s="705">
        <f t="shared" si="11"/>
        <v>100</v>
      </c>
      <c r="V45" s="704" t="s">
        <v>14</v>
      </c>
      <c r="W45" s="705">
        <f t="shared" si="12"/>
        <v>100</v>
      </c>
      <c r="X45" s="706"/>
      <c r="Y45" s="3698"/>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694" t="str">
        <f>A46</f>
        <v>成交单价</v>
      </c>
      <c r="Q46" s="3694"/>
      <c r="R46" s="3699">
        <f>E46</f>
        <v>0</v>
      </c>
      <c r="S46" s="3699"/>
      <c r="T46" s="3699">
        <f>G46</f>
        <v>0</v>
      </c>
      <c r="U46" s="3699"/>
      <c r="V46" s="3699">
        <f>I46</f>
        <v>0</v>
      </c>
      <c r="W46" s="3699"/>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694" t="str">
        <f>A47</f>
        <v>比较价值（元/平方米）</v>
      </c>
      <c r="Q47" s="3694"/>
      <c r="R47" s="3687" t="e">
        <f>ROUND(PRODUCT(R46,AA7:AA45),0)</f>
        <v>#DIV/0!</v>
      </c>
      <c r="S47" s="3687"/>
      <c r="T47" s="3687" t="e">
        <f>ROUND(PRODUCT(T46,AB7:AB45),0)</f>
        <v>#DIV/0!</v>
      </c>
      <c r="U47" s="3687"/>
      <c r="V47" s="3687" t="e">
        <f>ROUND(PRODUCT(V46,AC7:AC45),0)</f>
        <v>#DIV/0!</v>
      </c>
      <c r="W47" s="3687"/>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688" t="str">
        <f>A48</f>
        <v>估价对象XX用房的比较价值（楼面单价，元/平方米）</v>
      </c>
      <c r="Q48" s="3689"/>
      <c r="R48" s="3690" t="e">
        <f>ROUND(IF(D47="简单平均",AVERAGE(R47:W47),R47*F47+T47*H47+V47*J47),0)</f>
        <v>#DIV/0!</v>
      </c>
      <c r="S48" s="3690"/>
      <c r="T48" s="3690"/>
      <c r="U48" s="3690"/>
      <c r="V48" s="3690"/>
      <c r="W48" s="3690"/>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691" t="s">
        <v>1884</v>
      </c>
      <c r="H55" s="3692"/>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693"/>
      <c r="H56" s="3694"/>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3475</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36"/>
      <c r="B4" s="3737"/>
      <c r="C4" s="3737"/>
      <c r="D4" s="3738"/>
      <c r="E4" s="3738"/>
      <c r="F4" s="3738"/>
      <c r="G4" s="3738"/>
      <c r="H4" s="3738"/>
      <c r="I4" s="3738"/>
      <c r="J4" s="373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3" t="s">
        <v>1956</v>
      </c>
      <c r="X8" s="373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5"/>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40" t="s">
        <v>3250</v>
      </c>
      <c r="B20" s="164" t="s">
        <v>1990</v>
      </c>
      <c r="C20" s="3321">
        <f>ROUND(IF(F21="与级别开发程度一致",0,(G21-E21)/C21),0)</f>
        <v>0</v>
      </c>
      <c r="D20" s="3337" t="s">
        <v>1994</v>
      </c>
      <c r="E20" s="3338"/>
      <c r="F20" s="3746" t="s">
        <v>1991</v>
      </c>
      <c r="G20" s="3747"/>
      <c r="H20" s="3322" t="s">
        <v>3478</v>
      </c>
      <c r="I20" s="3322" t="s">
        <v>3479</v>
      </c>
      <c r="J20" s="3323" t="s">
        <v>3480</v>
      </c>
      <c r="K20" s="2043" t="s">
        <v>3481</v>
      </c>
      <c r="L20" s="2043" t="s">
        <v>3482</v>
      </c>
      <c r="M20" s="2043" t="s">
        <v>3483</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1"/>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3477</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4"/>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5"/>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5"/>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3484</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3485</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3486</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3486</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3486</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3486</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3485</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3486</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2" t="s">
        <v>3290</v>
      </c>
      <c r="B103" s="3742"/>
      <c r="C103" s="3742"/>
      <c r="D103" s="3742"/>
      <c r="E103" s="3742"/>
      <c r="F103" s="3742"/>
      <c r="G103" s="3742"/>
      <c r="H103" s="3742"/>
      <c r="I103" s="3742"/>
      <c r="J103" s="3742"/>
      <c r="K103" s="3386"/>
      <c r="L103" s="3386"/>
      <c r="M103" s="3386"/>
      <c r="N103" s="3386"/>
    </row>
    <row r="104" spans="1:14">
      <c r="A104" s="3743" t="s">
        <v>3291</v>
      </c>
      <c r="B104" s="3743" t="s">
        <v>3292</v>
      </c>
      <c r="C104" s="3387" t="s">
        <v>3293</v>
      </c>
      <c r="D104" s="3388"/>
      <c r="E104" s="3388"/>
      <c r="F104" s="3388"/>
      <c r="G104" s="3388"/>
      <c r="H104" s="3388"/>
      <c r="I104" s="3388"/>
      <c r="J104" s="3389"/>
      <c r="K104" s="3390"/>
      <c r="L104" s="3390"/>
      <c r="M104" s="3390"/>
      <c r="N104" s="3390"/>
    </row>
    <row r="105" spans="1:14">
      <c r="A105" s="3743"/>
      <c r="B105" s="3743"/>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29"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0"/>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1"/>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2" t="s">
        <v>3307</v>
      </c>
      <c r="B113" s="3732"/>
      <c r="C113" s="3732"/>
      <c r="D113" s="3732"/>
      <c r="E113" s="3732"/>
      <c r="F113" s="3732"/>
      <c r="G113" s="3732"/>
      <c r="H113" s="3732"/>
      <c r="I113" s="3732"/>
      <c r="J113" s="373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1" t="s">
        <v>1767</v>
      </c>
      <c r="D4" s="3703"/>
      <c r="E4" s="3704" t="s">
        <v>1768</v>
      </c>
      <c r="F4" s="3705"/>
      <c r="G4" s="3691" t="s">
        <v>1769</v>
      </c>
      <c r="H4" s="3703"/>
      <c r="I4" s="3691" t="s">
        <v>1770</v>
      </c>
      <c r="J4" s="3703"/>
      <c r="K4" s="556" t="s">
        <v>1771</v>
      </c>
      <c r="L4" s="2711"/>
      <c r="M4" s="2712"/>
      <c r="N4" s="2712"/>
      <c r="O4" s="2712"/>
      <c r="P4" s="3706" t="s">
        <v>1772</v>
      </c>
      <c r="Q4" s="3707"/>
      <c r="R4" s="3712" t="s">
        <v>1768</v>
      </c>
      <c r="S4" s="3713"/>
      <c r="T4" s="3712" t="s">
        <v>1769</v>
      </c>
      <c r="U4" s="3713"/>
      <c r="V4" s="3699" t="s">
        <v>1770</v>
      </c>
      <c r="W4" s="3699"/>
      <c r="X4" s="1351"/>
      <c r="Y4" s="3712" t="s">
        <v>1772</v>
      </c>
      <c r="Z4" s="3713"/>
      <c r="AA4" s="3700" t="s">
        <v>1768</v>
      </c>
      <c r="AB4" s="3701" t="s">
        <v>1769</v>
      </c>
      <c r="AC4" s="3700" t="s">
        <v>1770</v>
      </c>
    </row>
    <row r="5" spans="1:29" ht="15">
      <c r="A5" s="355"/>
      <c r="B5" s="356"/>
      <c r="C5" s="3720" t="s">
        <v>1670</v>
      </c>
      <c r="D5" s="3721"/>
      <c r="E5" s="3727" t="s">
        <v>1671</v>
      </c>
      <c r="F5" s="3728"/>
      <c r="G5" s="3720" t="s">
        <v>1672</v>
      </c>
      <c r="H5" s="3721"/>
      <c r="I5" s="3720" t="s">
        <v>1673</v>
      </c>
      <c r="J5" s="3721"/>
      <c r="K5" s="556"/>
      <c r="L5" s="2711"/>
      <c r="M5" s="2712"/>
      <c r="N5" s="2712"/>
      <c r="O5" s="2712"/>
      <c r="P5" s="3708"/>
      <c r="Q5" s="3709"/>
      <c r="R5" s="3714"/>
      <c r="S5" s="3715"/>
      <c r="T5" s="3714"/>
      <c r="U5" s="3715"/>
      <c r="V5" s="3699"/>
      <c r="W5" s="3699"/>
      <c r="X5" s="1351"/>
      <c r="Y5" s="3714"/>
      <c r="Z5" s="3715"/>
      <c r="AA5" s="3701"/>
      <c r="AB5" s="3701"/>
      <c r="AC5" s="3701"/>
    </row>
    <row r="6" spans="1:29" ht="15.75" thickBot="1">
      <c r="A6" s="357"/>
      <c r="B6" s="358"/>
      <c r="C6" s="3748" t="s">
        <v>1916</v>
      </c>
      <c r="D6" s="3749"/>
      <c r="E6" s="3750" t="s">
        <v>1916</v>
      </c>
      <c r="F6" s="3751"/>
      <c r="G6" s="3748" t="s">
        <v>1916</v>
      </c>
      <c r="H6" s="3749"/>
      <c r="I6" s="3748" t="s">
        <v>1916</v>
      </c>
      <c r="J6" s="3749"/>
      <c r="K6" s="556" t="s">
        <v>1675</v>
      </c>
      <c r="L6" s="2711"/>
      <c r="M6" s="2712"/>
      <c r="N6" s="2712"/>
      <c r="O6" s="2712"/>
      <c r="P6" s="3710"/>
      <c r="Q6" s="3711"/>
      <c r="R6" s="3714"/>
      <c r="S6" s="3715"/>
      <c r="T6" s="3716"/>
      <c r="U6" s="3717"/>
      <c r="V6" s="3699"/>
      <c r="W6" s="3699"/>
      <c r="X6" s="1351"/>
      <c r="Y6" s="3716"/>
      <c r="Z6" s="3717"/>
      <c r="AA6" s="3702"/>
      <c r="AB6" s="3702"/>
      <c r="AC6" s="3702"/>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722" t="s">
        <v>1677</v>
      </c>
      <c r="Q7" s="3724"/>
      <c r="R7" s="697" t="s">
        <v>14</v>
      </c>
      <c r="S7" s="698">
        <f t="shared" ref="S7:S15" si="0">F7</f>
        <v>0</v>
      </c>
      <c r="T7" s="697" t="s">
        <v>14</v>
      </c>
      <c r="U7" s="698">
        <f t="shared" ref="U7:U15" si="1">H7</f>
        <v>0</v>
      </c>
      <c r="V7" s="697" t="s">
        <v>14</v>
      </c>
      <c r="W7" s="698">
        <f t="shared" ref="W7:W15" si="2">J7</f>
        <v>0</v>
      </c>
      <c r="X7" s="699"/>
      <c r="Y7" s="3722" t="s">
        <v>1677</v>
      </c>
      <c r="Z7" s="3723"/>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722" t="s">
        <v>1680</v>
      </c>
      <c r="Q8" s="3723"/>
      <c r="R8" s="697" t="s">
        <v>14</v>
      </c>
      <c r="S8" s="698">
        <f t="shared" si="0"/>
        <v>100</v>
      </c>
      <c r="T8" s="697" t="s">
        <v>14</v>
      </c>
      <c r="U8" s="698">
        <f t="shared" si="1"/>
        <v>100</v>
      </c>
      <c r="V8" s="697" t="s">
        <v>14</v>
      </c>
      <c r="W8" s="698">
        <f t="shared" si="2"/>
        <v>100</v>
      </c>
      <c r="X8" s="699"/>
      <c r="Y8" s="3722" t="s">
        <v>1680</v>
      </c>
      <c r="Z8" s="3723"/>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694"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694"/>
      <c r="Q10" s="1339" t="str">
        <f t="shared" si="6"/>
        <v>土地使用年限（年）</v>
      </c>
      <c r="R10" s="697" t="s">
        <v>14</v>
      </c>
      <c r="S10" s="698">
        <f t="shared" si="0"/>
        <v>122</v>
      </c>
      <c r="T10" s="697" t="s">
        <v>14</v>
      </c>
      <c r="U10" s="698">
        <f t="shared" si="1"/>
        <v>122</v>
      </c>
      <c r="V10" s="697" t="s">
        <v>14</v>
      </c>
      <c r="W10" s="698">
        <f t="shared" si="2"/>
        <v>122</v>
      </c>
      <c r="X10" s="699"/>
      <c r="Y10" s="3591"/>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694"/>
      <c r="Q11" s="1339" t="str">
        <f t="shared" si="6"/>
        <v>容积率</v>
      </c>
      <c r="R11" s="697" t="s">
        <v>14</v>
      </c>
      <c r="S11" s="698">
        <f t="shared" si="0"/>
        <v>100</v>
      </c>
      <c r="T11" s="697" t="s">
        <v>14</v>
      </c>
      <c r="U11" s="698">
        <f t="shared" si="1"/>
        <v>100</v>
      </c>
      <c r="V11" s="697" t="s">
        <v>14</v>
      </c>
      <c r="W11" s="698">
        <f t="shared" si="2"/>
        <v>100</v>
      </c>
      <c r="X11" s="699"/>
      <c r="Y11" s="3591"/>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694"/>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694"/>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694"/>
      <c r="Q14" s="1339">
        <f t="shared" si="6"/>
        <v>111</v>
      </c>
      <c r="R14" s="697" t="s">
        <v>14</v>
      </c>
      <c r="S14" s="698">
        <f t="shared" si="0"/>
        <v>100</v>
      </c>
      <c r="T14" s="697" t="s">
        <v>14</v>
      </c>
      <c r="U14" s="698">
        <f t="shared" si="1"/>
        <v>100</v>
      </c>
      <c r="V14" s="697" t="s">
        <v>14</v>
      </c>
      <c r="W14" s="698">
        <f t="shared" si="2"/>
        <v>100</v>
      </c>
      <c r="X14" s="699"/>
      <c r="Y14" s="3591"/>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695" t="s">
        <v>1688</v>
      </c>
      <c r="Q15" s="1348" t="str">
        <f t="shared" si="6"/>
        <v>产业集聚程度</v>
      </c>
      <c r="R15" s="701" t="s">
        <v>14</v>
      </c>
      <c r="S15" s="702">
        <f t="shared" si="0"/>
        <v>100</v>
      </c>
      <c r="T15" s="701" t="s">
        <v>14</v>
      </c>
      <c r="U15" s="702">
        <f t="shared" si="1"/>
        <v>100</v>
      </c>
      <c r="V15" s="701" t="s">
        <v>14</v>
      </c>
      <c r="W15" s="702">
        <f t="shared" si="2"/>
        <v>100</v>
      </c>
      <c r="X15" s="1351"/>
      <c r="Y15" s="3695" t="s">
        <v>1688</v>
      </c>
      <c r="Z15" s="1352" t="str">
        <f t="shared" si="7"/>
        <v>产业集聚程度</v>
      </c>
      <c r="AA15" s="1349">
        <f t="shared" si="3"/>
        <v>1</v>
      </c>
      <c r="AB15" s="1349">
        <f t="shared" si="4"/>
        <v>1</v>
      </c>
      <c r="AC15" s="1349">
        <f t="shared" si="5"/>
        <v>1</v>
      </c>
    </row>
    <row r="16" spans="1:29" ht="15">
      <c r="A16" s="376"/>
      <c r="B16" s="575"/>
      <c r="C16" s="395" t="s">
        <v>3484</v>
      </c>
      <c r="D16" s="396"/>
      <c r="E16" s="395" t="s">
        <v>3484</v>
      </c>
      <c r="F16" s="396"/>
      <c r="G16" s="395" t="s">
        <v>3484</v>
      </c>
      <c r="H16" s="398"/>
      <c r="I16" s="395" t="s">
        <v>3484</v>
      </c>
      <c r="J16" s="396"/>
      <c r="K16" s="617"/>
      <c r="L16" s="2718"/>
      <c r="M16" s="2712"/>
      <c r="N16" s="2712"/>
      <c r="O16" s="2770"/>
      <c r="P16" s="3696"/>
      <c r="Q16" s="1348"/>
      <c r="R16" s="701"/>
      <c r="S16" s="702"/>
      <c r="T16" s="701"/>
      <c r="U16" s="702"/>
      <c r="V16" s="701"/>
      <c r="W16" s="702"/>
      <c r="X16" s="1351"/>
      <c r="Y16" s="3696"/>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696"/>
      <c r="Q17" s="1348" t="str">
        <f>B17</f>
        <v>交通便捷度</v>
      </c>
      <c r="R17" s="701" t="s">
        <v>14</v>
      </c>
      <c r="S17" s="702">
        <f>F17</f>
        <v>100</v>
      </c>
      <c r="T17" s="701" t="s">
        <v>14</v>
      </c>
      <c r="U17" s="702">
        <f>H17</f>
        <v>100</v>
      </c>
      <c r="V17" s="701" t="s">
        <v>14</v>
      </c>
      <c r="W17" s="702">
        <f>J17</f>
        <v>100</v>
      </c>
      <c r="X17" s="1351"/>
      <c r="Y17" s="3696"/>
      <c r="Z17" s="1352" t="str">
        <f>Q17</f>
        <v>交通便捷度</v>
      </c>
      <c r="AA17" s="1349">
        <f t="shared" si="3"/>
        <v>1</v>
      </c>
      <c r="AB17" s="1349">
        <f t="shared" si="4"/>
        <v>1</v>
      </c>
      <c r="AC17" s="1349">
        <f t="shared" si="5"/>
        <v>1</v>
      </c>
    </row>
    <row r="18" spans="1:29" ht="15">
      <c r="A18" s="376"/>
      <c r="B18" s="577"/>
      <c r="C18" s="395" t="s">
        <v>3485</v>
      </c>
      <c r="D18" s="396"/>
      <c r="E18" s="395" t="s">
        <v>3485</v>
      </c>
      <c r="F18" s="396"/>
      <c r="G18" s="395" t="s">
        <v>3485</v>
      </c>
      <c r="H18" s="396"/>
      <c r="I18" s="395" t="s">
        <v>3485</v>
      </c>
      <c r="J18" s="396"/>
      <c r="K18" s="617"/>
      <c r="L18" s="2718"/>
      <c r="M18" s="2712"/>
      <c r="N18" s="2712"/>
      <c r="O18" s="2770"/>
      <c r="P18" s="3696"/>
      <c r="Q18" s="1348"/>
      <c r="R18" s="701"/>
      <c r="S18" s="702"/>
      <c r="T18" s="701"/>
      <c r="U18" s="702"/>
      <c r="V18" s="701"/>
      <c r="W18" s="702"/>
      <c r="X18" s="1351"/>
      <c r="Y18" s="3696"/>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696"/>
      <c r="Q19" s="1348" t="str">
        <f t="shared" ref="Q19:Q33" si="8">B19</f>
        <v>区域土地利用方向</v>
      </c>
      <c r="R19" s="701" t="s">
        <v>14</v>
      </c>
      <c r="S19" s="702">
        <f>F19</f>
        <v>100</v>
      </c>
      <c r="T19" s="701" t="s">
        <v>14</v>
      </c>
      <c r="U19" s="702">
        <f>H19</f>
        <v>100</v>
      </c>
      <c r="V19" s="701" t="s">
        <v>14</v>
      </c>
      <c r="W19" s="702">
        <f>J19</f>
        <v>100</v>
      </c>
      <c r="X19" s="1351"/>
      <c r="Y19" s="3696"/>
      <c r="Z19" s="1352" t="str">
        <f>Q19</f>
        <v>区域土地利用方向</v>
      </c>
      <c r="AA19" s="1349">
        <f t="shared" si="3"/>
        <v>1</v>
      </c>
      <c r="AB19" s="1349">
        <f t="shared" si="4"/>
        <v>1</v>
      </c>
      <c r="AC19" s="1349">
        <f t="shared" si="5"/>
        <v>1</v>
      </c>
    </row>
    <row r="20" spans="1:29" ht="15">
      <c r="A20" s="355"/>
      <c r="B20" s="577"/>
      <c r="C20" s="395" t="s">
        <v>3486</v>
      </c>
      <c r="D20" s="396"/>
      <c r="E20" s="395" t="s">
        <v>3486</v>
      </c>
      <c r="F20" s="396"/>
      <c r="G20" s="395" t="s">
        <v>3486</v>
      </c>
      <c r="H20" s="396"/>
      <c r="I20" s="395" t="s">
        <v>3486</v>
      </c>
      <c r="J20" s="396"/>
      <c r="K20" s="736"/>
      <c r="L20" s="2718"/>
      <c r="M20" s="2712"/>
      <c r="N20" s="2712"/>
      <c r="O20" s="2770"/>
      <c r="P20" s="3696"/>
      <c r="Q20" s="1348"/>
      <c r="R20" s="701"/>
      <c r="S20" s="702"/>
      <c r="T20" s="701"/>
      <c r="U20" s="702"/>
      <c r="V20" s="701"/>
      <c r="W20" s="702"/>
      <c r="X20" s="1351"/>
      <c r="Y20" s="3696"/>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696"/>
      <c r="Q21" s="1348" t="str">
        <f t="shared" si="8"/>
        <v>环境状况</v>
      </c>
      <c r="R21" s="701" t="s">
        <v>14</v>
      </c>
      <c r="S21" s="702">
        <f>F21</f>
        <v>100</v>
      </c>
      <c r="T21" s="701" t="s">
        <v>14</v>
      </c>
      <c r="U21" s="702">
        <f>H21</f>
        <v>100</v>
      </c>
      <c r="V21" s="701" t="s">
        <v>14</v>
      </c>
      <c r="W21" s="702">
        <f>J21</f>
        <v>100</v>
      </c>
      <c r="X21" s="1351"/>
      <c r="Y21" s="3696"/>
      <c r="Z21" s="1352" t="str">
        <f>Q21</f>
        <v>环境状况</v>
      </c>
      <c r="AA21" s="1349">
        <f t="shared" si="3"/>
        <v>1</v>
      </c>
      <c r="AB21" s="1349">
        <f t="shared" si="4"/>
        <v>1</v>
      </c>
      <c r="AC21" s="1349">
        <f t="shared" si="5"/>
        <v>1</v>
      </c>
    </row>
    <row r="22" spans="1:29" ht="15">
      <c r="A22" s="355"/>
      <c r="B22" s="577"/>
      <c r="C22" s="395" t="s">
        <v>3486</v>
      </c>
      <c r="D22" s="396"/>
      <c r="E22" s="395" t="s">
        <v>3486</v>
      </c>
      <c r="F22" s="396"/>
      <c r="G22" s="395" t="s">
        <v>3486</v>
      </c>
      <c r="H22" s="396"/>
      <c r="I22" s="395" t="s">
        <v>3486</v>
      </c>
      <c r="J22" s="396"/>
      <c r="K22" s="617"/>
      <c r="L22" s="2718"/>
      <c r="M22" s="2712"/>
      <c r="N22" s="2712"/>
      <c r="O22" s="2770"/>
      <c r="P22" s="3696"/>
      <c r="Q22" s="1348"/>
      <c r="R22" s="701"/>
      <c r="S22" s="702"/>
      <c r="T22" s="701"/>
      <c r="U22" s="702"/>
      <c r="V22" s="701"/>
      <c r="W22" s="702"/>
      <c r="X22" s="1351"/>
      <c r="Y22" s="3696"/>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696"/>
      <c r="Q23" s="1339" t="str">
        <f t="shared" si="8"/>
        <v>公共配套设施</v>
      </c>
      <c r="R23" s="697" t="s">
        <v>14</v>
      </c>
      <c r="S23" s="698">
        <f>F23</f>
        <v>100</v>
      </c>
      <c r="T23" s="697" t="s">
        <v>14</v>
      </c>
      <c r="U23" s="698">
        <f>H23</f>
        <v>100</v>
      </c>
      <c r="V23" s="697" t="s">
        <v>14</v>
      </c>
      <c r="W23" s="698">
        <f>J23</f>
        <v>100</v>
      </c>
      <c r="X23" s="699"/>
      <c r="Y23" s="3696"/>
      <c r="Z23" s="52" t="str">
        <f>Q23</f>
        <v>公共配套设施</v>
      </c>
      <c r="AA23" s="1349">
        <f>D23/F23</f>
        <v>1</v>
      </c>
      <c r="AB23" s="1349">
        <f>D23/H23</f>
        <v>1</v>
      </c>
      <c r="AC23" s="1349">
        <f>D23/J23</f>
        <v>1</v>
      </c>
    </row>
    <row r="24" spans="1:29" s="108" customFormat="1" ht="15">
      <c r="A24" s="594"/>
      <c r="B24" s="577"/>
      <c r="C24" s="1974" t="s">
        <v>3486</v>
      </c>
      <c r="D24" s="396"/>
      <c r="E24" s="1974" t="s">
        <v>3486</v>
      </c>
      <c r="F24" s="396"/>
      <c r="G24" s="1974" t="s">
        <v>3486</v>
      </c>
      <c r="H24" s="396"/>
      <c r="I24" s="1974" t="s">
        <v>3486</v>
      </c>
      <c r="J24" s="396"/>
      <c r="K24" s="617"/>
      <c r="L24" s="2713"/>
      <c r="M24" s="2714"/>
      <c r="N24" s="2714"/>
      <c r="O24" s="2768"/>
      <c r="P24" s="3696"/>
      <c r="Q24" s="1339"/>
      <c r="R24" s="697"/>
      <c r="S24" s="698"/>
      <c r="T24" s="697"/>
      <c r="U24" s="698"/>
      <c r="V24" s="697"/>
      <c r="W24" s="698"/>
      <c r="X24" s="699"/>
      <c r="Y24" s="3696"/>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696"/>
      <c r="Q25" s="1339" t="str">
        <f t="shared" ref="Q25" si="9">B25</f>
        <v>基础设施水平</v>
      </c>
      <c r="R25" s="697" t="s">
        <v>14</v>
      </c>
      <c r="S25" s="698">
        <f>F25</f>
        <v>100</v>
      </c>
      <c r="T25" s="697" t="s">
        <v>14</v>
      </c>
      <c r="U25" s="698">
        <f>H25</f>
        <v>100</v>
      </c>
      <c r="V25" s="697" t="s">
        <v>14</v>
      </c>
      <c r="W25" s="698">
        <f>J25</f>
        <v>100</v>
      </c>
      <c r="X25" s="699"/>
      <c r="Y25" s="3696"/>
      <c r="Z25" s="52" t="str">
        <f>Q25</f>
        <v>基础设施水平</v>
      </c>
      <c r="AA25" s="1349">
        <f>D25/F25</f>
        <v>1</v>
      </c>
      <c r="AB25" s="1349">
        <f>D25/H25</f>
        <v>1</v>
      </c>
      <c r="AC25" s="1349">
        <f>D25/J25</f>
        <v>1</v>
      </c>
    </row>
    <row r="26" spans="1:29" s="108" customFormat="1" ht="15">
      <c r="A26" s="594"/>
      <c r="B26" s="577"/>
      <c r="C26" s="1974" t="s">
        <v>3506</v>
      </c>
      <c r="D26" s="396"/>
      <c r="E26" s="1974" t="s">
        <v>3506</v>
      </c>
      <c r="F26" s="396"/>
      <c r="G26" s="1974" t="s">
        <v>3506</v>
      </c>
      <c r="H26" s="396"/>
      <c r="I26" s="1974" t="s">
        <v>3506</v>
      </c>
      <c r="J26" s="396"/>
      <c r="K26" s="617"/>
      <c r="L26" s="2713"/>
      <c r="M26" s="2714"/>
      <c r="N26" s="2714"/>
      <c r="O26" s="2768"/>
      <c r="P26" s="3696"/>
      <c r="Q26" s="1339"/>
      <c r="R26" s="697"/>
      <c r="S26" s="698"/>
      <c r="T26" s="697"/>
      <c r="U26" s="698"/>
      <c r="V26" s="697"/>
      <c r="W26" s="698"/>
      <c r="X26" s="699"/>
      <c r="Y26" s="3696"/>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696"/>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96"/>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696"/>
      <c r="Q28" s="1348" t="str">
        <f t="shared" si="8"/>
        <v>毗邻道路的类型与等级</v>
      </c>
      <c r="R28" s="701" t="s">
        <v>14</v>
      </c>
      <c r="S28" s="702">
        <f t="shared" si="10"/>
        <v>100</v>
      </c>
      <c r="T28" s="701" t="s">
        <v>14</v>
      </c>
      <c r="U28" s="702">
        <f t="shared" si="11"/>
        <v>100</v>
      </c>
      <c r="V28" s="701" t="s">
        <v>14</v>
      </c>
      <c r="W28" s="702">
        <f t="shared" si="12"/>
        <v>100</v>
      </c>
      <c r="X28" s="1351"/>
      <c r="Y28" s="3696"/>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696"/>
      <c r="Q29" s="1348"/>
      <c r="R29" s="701"/>
      <c r="S29" s="702"/>
      <c r="T29" s="701"/>
      <c r="U29" s="702"/>
      <c r="V29" s="701"/>
      <c r="W29" s="702"/>
      <c r="X29" s="1351"/>
      <c r="Y29" s="3696"/>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696"/>
      <c r="Q30" s="1348" t="str">
        <f t="shared" si="8"/>
        <v>土地级别</v>
      </c>
      <c r="R30" s="701" t="s">
        <v>14</v>
      </c>
      <c r="S30" s="702">
        <f t="shared" si="10"/>
        <v>100</v>
      </c>
      <c r="T30" s="701" t="s">
        <v>14</v>
      </c>
      <c r="U30" s="702">
        <f t="shared" si="11"/>
        <v>100</v>
      </c>
      <c r="V30" s="701" t="s">
        <v>14</v>
      </c>
      <c r="W30" s="702">
        <f t="shared" si="12"/>
        <v>100</v>
      </c>
      <c r="X30" s="1351"/>
      <c r="Y30" s="3696"/>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696"/>
      <c r="Q31" s="1348">
        <f t="shared" si="8"/>
        <v>111</v>
      </c>
      <c r="R31" s="701" t="s">
        <v>14</v>
      </c>
      <c r="S31" s="702">
        <f t="shared" si="10"/>
        <v>100</v>
      </c>
      <c r="T31" s="701" t="s">
        <v>14</v>
      </c>
      <c r="U31" s="702">
        <f t="shared" si="11"/>
        <v>100</v>
      </c>
      <c r="V31" s="701" t="s">
        <v>14</v>
      </c>
      <c r="W31" s="702">
        <f t="shared" si="12"/>
        <v>100</v>
      </c>
      <c r="X31" s="1351"/>
      <c r="Y31" s="3696"/>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697" t="s">
        <v>1693</v>
      </c>
      <c r="Q32" s="1348">
        <f t="shared" si="8"/>
        <v>111</v>
      </c>
      <c r="R32" s="701" t="s">
        <v>14</v>
      </c>
      <c r="S32" s="702">
        <f t="shared" si="10"/>
        <v>100</v>
      </c>
      <c r="T32" s="701" t="s">
        <v>14</v>
      </c>
      <c r="U32" s="702">
        <f t="shared" si="11"/>
        <v>100</v>
      </c>
      <c r="V32" s="701" t="s">
        <v>14</v>
      </c>
      <c r="W32" s="702">
        <f t="shared" si="12"/>
        <v>100</v>
      </c>
      <c r="X32" s="1351"/>
      <c r="Y32" s="3698"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698"/>
      <c r="Q33" s="1348">
        <f t="shared" si="8"/>
        <v>111</v>
      </c>
      <c r="R33" s="704" t="s">
        <v>14</v>
      </c>
      <c r="S33" s="705">
        <f t="shared" si="10"/>
        <v>100</v>
      </c>
      <c r="T33" s="704" t="s">
        <v>14</v>
      </c>
      <c r="U33" s="705">
        <f t="shared" si="11"/>
        <v>100</v>
      </c>
      <c r="V33" s="704" t="s">
        <v>14</v>
      </c>
      <c r="W33" s="705">
        <f t="shared" si="12"/>
        <v>100</v>
      </c>
      <c r="X33" s="706"/>
      <c r="Y33" s="3698"/>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698"/>
      <c r="Q34" s="1348" t="str">
        <f>B34</f>
        <v>宗地面积</v>
      </c>
      <c r="R34" s="701" t="s">
        <v>14</v>
      </c>
      <c r="S34" s="702">
        <f t="shared" si="10"/>
        <v>99</v>
      </c>
      <c r="T34" s="701" t="s">
        <v>14</v>
      </c>
      <c r="U34" s="702">
        <f t="shared" si="11"/>
        <v>99</v>
      </c>
      <c r="V34" s="701" t="s">
        <v>14</v>
      </c>
      <c r="W34" s="702">
        <f t="shared" si="12"/>
        <v>99</v>
      </c>
      <c r="X34" s="1351"/>
      <c r="Y34" s="3698"/>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3500</v>
      </c>
      <c r="D35" s="383">
        <v>100</v>
      </c>
      <c r="E35" s="1902" t="s">
        <v>3500</v>
      </c>
      <c r="F35" s="383">
        <f>SUMIF(110:110,E35,111:111)-SUMIF(110:110,C35,111:111)+100</f>
        <v>100</v>
      </c>
      <c r="G35" s="1902" t="s">
        <v>3500</v>
      </c>
      <c r="H35" s="383">
        <f>SUMIF(110:110,G35,111:111)-SUMIF(110:110,C35,111:111)+100</f>
        <v>100</v>
      </c>
      <c r="I35" s="1902" t="s">
        <v>3500</v>
      </c>
      <c r="J35" s="383">
        <f>SUMIF(110:110,I35,111:111)-SUMIF(110:110,C35,111:111)+100</f>
        <v>100</v>
      </c>
      <c r="K35" s="558">
        <v>1</v>
      </c>
      <c r="L35" s="2718"/>
      <c r="M35" s="2712"/>
      <c r="N35" s="2712"/>
      <c r="O35" s="2770"/>
      <c r="P35" s="3698"/>
      <c r="Q35" s="1348" t="str">
        <f t="shared" ref="Q35:Q40" si="14">B35</f>
        <v>宗地形状</v>
      </c>
      <c r="R35" s="701" t="s">
        <v>14</v>
      </c>
      <c r="S35" s="702">
        <f t="shared" si="10"/>
        <v>100</v>
      </c>
      <c r="T35" s="701" t="s">
        <v>14</v>
      </c>
      <c r="U35" s="702">
        <f t="shared" si="11"/>
        <v>100</v>
      </c>
      <c r="V35" s="701" t="s">
        <v>14</v>
      </c>
      <c r="W35" s="702">
        <f t="shared" si="12"/>
        <v>100</v>
      </c>
      <c r="X35" s="1351"/>
      <c r="Y35" s="3698"/>
      <c r="Z35" s="1352" t="str">
        <f t="shared" si="13"/>
        <v>宗地形状</v>
      </c>
      <c r="AA35" s="1349">
        <f t="shared" si="3"/>
        <v>1</v>
      </c>
      <c r="AB35" s="1349">
        <f t="shared" si="4"/>
        <v>1</v>
      </c>
      <c r="AC35" s="1349">
        <f t="shared" si="5"/>
        <v>1</v>
      </c>
    </row>
    <row r="36" spans="1:31" s="108" customFormat="1" ht="15">
      <c r="A36" s="421"/>
      <c r="B36" s="372" t="s">
        <v>1874</v>
      </c>
      <c r="C36" s="1976" t="s">
        <v>3506</v>
      </c>
      <c r="D36" s="124">
        <v>100</v>
      </c>
      <c r="E36" s="1976" t="s">
        <v>3506</v>
      </c>
      <c r="F36" s="383">
        <f>SUMIF(112:112,E36,113:113)-SUMIF(112:112,C36,113:113)+100</f>
        <v>100</v>
      </c>
      <c r="G36" s="1976" t="s">
        <v>3506</v>
      </c>
      <c r="H36" s="383">
        <f>SUMIF(112:112,G36,113:113)-SUMIF(112:112,C36,113:113)+100</f>
        <v>100</v>
      </c>
      <c r="I36" s="1976" t="s">
        <v>3506</v>
      </c>
      <c r="J36" s="383">
        <f>SUMIF(112:112,I36,113:113)-SUMIF(112:112,C36,113:113)+100</f>
        <v>100</v>
      </c>
      <c r="K36" s="558">
        <v>1</v>
      </c>
      <c r="L36" s="2713"/>
      <c r="M36" s="2714"/>
      <c r="N36" s="2714"/>
      <c r="O36" s="2768"/>
      <c r="P36" s="3698"/>
      <c r="Q36" s="1348" t="str">
        <f t="shared" si="14"/>
        <v>宗地开发程度</v>
      </c>
      <c r="R36" s="697" t="s">
        <v>14</v>
      </c>
      <c r="S36" s="698">
        <f t="shared" si="10"/>
        <v>100</v>
      </c>
      <c r="T36" s="697" t="s">
        <v>14</v>
      </c>
      <c r="U36" s="698">
        <f t="shared" si="11"/>
        <v>100</v>
      </c>
      <c r="V36" s="697" t="s">
        <v>14</v>
      </c>
      <c r="W36" s="698">
        <f t="shared" si="12"/>
        <v>100</v>
      </c>
      <c r="X36" s="699"/>
      <c r="Y36" s="3698"/>
      <c r="Z36" s="52" t="str">
        <f t="shared" si="13"/>
        <v>宗地开发程度</v>
      </c>
      <c r="AA36" s="700">
        <f t="shared" si="3"/>
        <v>1</v>
      </c>
      <c r="AB36" s="700">
        <f t="shared" si="4"/>
        <v>1</v>
      </c>
      <c r="AC36" s="700">
        <f t="shared" si="5"/>
        <v>1</v>
      </c>
    </row>
    <row r="37" spans="1:31" ht="15">
      <c r="A37" s="420"/>
      <c r="B37" s="372" t="s">
        <v>1875</v>
      </c>
      <c r="C37" s="1902" t="s">
        <v>3485</v>
      </c>
      <c r="D37" s="383">
        <v>100</v>
      </c>
      <c r="E37" s="1902" t="s">
        <v>3485</v>
      </c>
      <c r="F37" s="383">
        <f>SUMIF(114:114,E37,115:115)-SUMIF(114:114,C37,115:115)+100</f>
        <v>100</v>
      </c>
      <c r="G37" s="1902" t="s">
        <v>3485</v>
      </c>
      <c r="H37" s="383">
        <f>SUMIF(114:114,G37,115:115)-SUMIF(114:114,C37,115:115)+100</f>
        <v>100</v>
      </c>
      <c r="I37" s="1902" t="s">
        <v>3485</v>
      </c>
      <c r="J37" s="383">
        <f>SUMIF(114:114,I37,115:115)-SUMIF(114:114,C37,115:115)+100</f>
        <v>100</v>
      </c>
      <c r="K37" s="558">
        <v>1</v>
      </c>
      <c r="L37" s="2718"/>
      <c r="M37" s="2712"/>
      <c r="N37" s="2712"/>
      <c r="O37" s="2770"/>
      <c r="P37" s="3698" t="s">
        <v>1693</v>
      </c>
      <c r="Q37" s="1348" t="str">
        <f t="shared" si="14"/>
        <v>工程地质条件</v>
      </c>
      <c r="R37" s="701" t="s">
        <v>14</v>
      </c>
      <c r="S37" s="702">
        <f t="shared" si="10"/>
        <v>100</v>
      </c>
      <c r="T37" s="701" t="s">
        <v>14</v>
      </c>
      <c r="U37" s="702">
        <f t="shared" si="11"/>
        <v>100</v>
      </c>
      <c r="V37" s="701" t="s">
        <v>14</v>
      </c>
      <c r="W37" s="702">
        <f t="shared" si="12"/>
        <v>100</v>
      </c>
      <c r="X37" s="1351"/>
      <c r="Y37" s="3698"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698"/>
      <c r="Q38" s="1348">
        <f t="shared" si="14"/>
        <v>111</v>
      </c>
      <c r="R38" s="701" t="s">
        <v>14</v>
      </c>
      <c r="S38" s="702">
        <f t="shared" si="10"/>
        <v>100</v>
      </c>
      <c r="T38" s="701" t="s">
        <v>14</v>
      </c>
      <c r="U38" s="702">
        <f t="shared" si="11"/>
        <v>100</v>
      </c>
      <c r="V38" s="701" t="s">
        <v>14</v>
      </c>
      <c r="W38" s="702">
        <f t="shared" si="12"/>
        <v>100</v>
      </c>
      <c r="X38" s="1351"/>
      <c r="Y38" s="3698"/>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698"/>
      <c r="Q39" s="1348">
        <f t="shared" si="14"/>
        <v>111</v>
      </c>
      <c r="R39" s="701" t="s">
        <v>14</v>
      </c>
      <c r="S39" s="702">
        <f t="shared" si="10"/>
        <v>100</v>
      </c>
      <c r="T39" s="701" t="s">
        <v>14</v>
      </c>
      <c r="U39" s="702">
        <f t="shared" si="11"/>
        <v>100</v>
      </c>
      <c r="V39" s="701" t="s">
        <v>14</v>
      </c>
      <c r="W39" s="702">
        <f t="shared" si="12"/>
        <v>100</v>
      </c>
      <c r="X39" s="1351"/>
      <c r="Y39" s="3698"/>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698"/>
      <c r="Q40" s="1348">
        <f t="shared" si="14"/>
        <v>111</v>
      </c>
      <c r="R40" s="704" t="s">
        <v>14</v>
      </c>
      <c r="S40" s="705">
        <f t="shared" si="10"/>
        <v>100</v>
      </c>
      <c r="T40" s="704" t="s">
        <v>14</v>
      </c>
      <c r="U40" s="705">
        <f t="shared" si="11"/>
        <v>100</v>
      </c>
      <c r="V40" s="704" t="s">
        <v>14</v>
      </c>
      <c r="W40" s="705">
        <f t="shared" si="12"/>
        <v>100</v>
      </c>
      <c r="X40" s="706"/>
      <c r="Y40" s="3698"/>
      <c r="Z40" s="707">
        <f t="shared" si="13"/>
        <v>111</v>
      </c>
      <c r="AA40" s="1349">
        <f t="shared" si="3"/>
        <v>1</v>
      </c>
      <c r="AB40" s="1349">
        <f t="shared" si="4"/>
        <v>1</v>
      </c>
      <c r="AC40" s="1349">
        <f t="shared" si="5"/>
        <v>1</v>
      </c>
    </row>
    <row r="41" spans="1:31" ht="15">
      <c r="A41" s="427" t="s">
        <v>1841</v>
      </c>
      <c r="B41" s="1978" t="s">
        <v>3497</v>
      </c>
      <c r="C41" s="627" t="s">
        <v>0</v>
      </c>
      <c r="D41" s="429"/>
      <c r="E41" s="430"/>
      <c r="F41" s="431"/>
      <c r="G41" s="432"/>
      <c r="H41" s="433"/>
      <c r="I41" s="430"/>
      <c r="J41" s="433"/>
      <c r="K41" s="710"/>
      <c r="L41" s="2720"/>
      <c r="M41" s="2712"/>
      <c r="N41" s="2712"/>
      <c r="O41" s="2721"/>
      <c r="P41" s="3694" t="str">
        <f>A41</f>
        <v>成交单价</v>
      </c>
      <c r="Q41" s="3694"/>
      <c r="R41" s="3699">
        <f>E41</f>
        <v>0</v>
      </c>
      <c r="S41" s="3699"/>
      <c r="T41" s="3699">
        <f>G41</f>
        <v>0</v>
      </c>
      <c r="U41" s="3699"/>
      <c r="V41" s="3699">
        <f>I41</f>
        <v>0</v>
      </c>
      <c r="W41" s="3699"/>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694" t="str">
        <f>A42</f>
        <v>比较价值（元/平方米）</v>
      </c>
      <c r="Q42" s="3694"/>
      <c r="R42" s="3687" t="e">
        <f>ROUND(PRODUCT(R41,AA7:AA40),0)</f>
        <v>#DIV/0!</v>
      </c>
      <c r="S42" s="3687"/>
      <c r="T42" s="3687" t="e">
        <f>ROUND(PRODUCT(T41,AB7:AB40),0)</f>
        <v>#DIV/0!</v>
      </c>
      <c r="U42" s="3687"/>
      <c r="V42" s="3687" t="e">
        <f>ROUND(PRODUCT(V41,AC7:AC40),0)</f>
        <v>#DIV/0!</v>
      </c>
      <c r="W42" s="3687"/>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688" t="str">
        <f>A43</f>
        <v>估价对象XX用房的比较价值（楼面单价，元/平方米）</v>
      </c>
      <c r="Q43" s="3689"/>
      <c r="R43" s="3690" t="e">
        <f>ROUND(IF(D42="简单平均",AVERAGE(R42:W42),R42*F42+T42*H42+V42*J42),0)</f>
        <v>#DIV/0!</v>
      </c>
      <c r="S43" s="3690"/>
      <c r="T43" s="3690"/>
      <c r="U43" s="3690"/>
      <c r="V43" s="3690"/>
      <c r="W43" s="3690"/>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691" t="s">
        <v>1884</v>
      </c>
      <c r="H50" s="3692"/>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693"/>
      <c r="H51" s="3694"/>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3498</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3499</v>
      </c>
      <c r="D110" s="3496" t="s">
        <v>3501</v>
      </c>
      <c r="E110" s="3496" t="s">
        <v>3502</v>
      </c>
      <c r="F110" s="3496" t="s">
        <v>3503</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3504</v>
      </c>
      <c r="D112" s="3497" t="s">
        <v>3505</v>
      </c>
      <c r="E112" s="3497" t="s">
        <v>3507</v>
      </c>
      <c r="F112" s="3497" t="s">
        <v>3508</v>
      </c>
      <c r="G112" s="3497" t="s">
        <v>3509</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3510</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80" zoomScaleNormal="70" zoomScaleSheetLayoutView="80" workbookViewId="0">
      <selection activeCell="I39" sqref="I3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2408</v>
      </c>
      <c r="C2" s="1383" t="s">
        <v>805</v>
      </c>
      <c r="D2" s="1383"/>
      <c r="E2" s="1384"/>
      <c r="F2" s="1385"/>
      <c r="G2" s="2702"/>
      <c r="H2" s="2691"/>
      <c r="I2" s="2691"/>
      <c r="J2" s="2691"/>
      <c r="K2" s="2692"/>
      <c r="L2" s="2691"/>
      <c r="M2" s="2691"/>
    </row>
    <row r="3" spans="1:37" ht="18" customHeight="1" thickBot="1">
      <c r="A3" s="1386" t="s">
        <v>806</v>
      </c>
      <c r="B3" s="1387">
        <f ca="1">IF(ISERROR(B2*10000/F43),0,ROUND(B2*10000/F43,0))</f>
        <v>4480</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4" t="s">
        <v>694</v>
      </c>
      <c r="C6" s="1070">
        <f ca="1">ROUND(F6*F8*F7*(1-F9)/10000,0)</f>
        <v>177</v>
      </c>
      <c r="D6" s="152" t="s">
        <v>2105</v>
      </c>
      <c r="E6" s="299" t="s">
        <v>696</v>
      </c>
      <c r="F6" s="300">
        <f ca="1">INDIRECT("'数据-取费表'!u"&amp;$G$1)</f>
        <v>1</v>
      </c>
      <c r="G6" s="1380"/>
      <c r="H6" s="1065" t="s">
        <v>398</v>
      </c>
      <c r="I6" s="3754" t="s">
        <v>694</v>
      </c>
      <c r="J6" s="298">
        <f ca="1">ROUND(M6*M8*M7*(1-M9)/10000,0)</f>
        <v>0</v>
      </c>
      <c r="K6" s="152" t="s">
        <v>2104</v>
      </c>
      <c r="L6" s="299" t="s">
        <v>696</v>
      </c>
      <c r="M6" s="300">
        <f ca="1">INDIRECT("'数据-取费表'!z"&amp;$G$1)</f>
        <v>0</v>
      </c>
    </row>
    <row r="7" spans="1:37" ht="18" customHeight="1">
      <c r="A7" s="1069"/>
      <c r="B7" s="3755"/>
      <c r="C7" s="1071"/>
      <c r="D7" s="304"/>
      <c r="E7" s="1072" t="s">
        <v>697</v>
      </c>
      <c r="F7" s="300">
        <f ca="1">IF(INDIRECT("'数据-取费表'!ah"&amp;$G$1)="",INDIRECT("'数据-取费表'!k"&amp;$G$1),INDIRECT("'数据-取费表'!ah"&amp;$G$1))</f>
        <v>5374.44</v>
      </c>
      <c r="G7" s="1380"/>
      <c r="H7" s="301"/>
      <c r="I7" s="3755"/>
      <c r="J7" s="303"/>
      <c r="K7" s="304"/>
      <c r="L7" s="299" t="s">
        <v>697</v>
      </c>
      <c r="M7" s="300">
        <f ca="1">F7</f>
        <v>5374.44</v>
      </c>
    </row>
    <row r="8" spans="1:37" ht="18" customHeight="1">
      <c r="A8" s="301"/>
      <c r="B8" s="3755"/>
      <c r="C8" s="303"/>
      <c r="D8" s="304"/>
      <c r="E8" s="299" t="s">
        <v>698</v>
      </c>
      <c r="F8" s="300">
        <f ca="1">INDIRECT("'数据-取费表'!ai"&amp;$G$1)</f>
        <v>365</v>
      </c>
      <c r="G8" s="1380"/>
      <c r="H8" s="301"/>
      <c r="I8" s="3755"/>
      <c r="J8" s="303"/>
      <c r="K8" s="304"/>
      <c r="L8" s="299" t="s">
        <v>698</v>
      </c>
      <c r="M8" s="300">
        <f ca="1">INDIRECT("'数据-取费表'!ai"&amp;$G$1)</f>
        <v>365</v>
      </c>
    </row>
    <row r="9" spans="1:37" ht="18" customHeight="1">
      <c r="A9" s="301"/>
      <c r="B9" s="3756"/>
      <c r="C9" s="303"/>
      <c r="D9" s="304"/>
      <c r="E9" s="299" t="s">
        <v>699</v>
      </c>
      <c r="F9" s="309">
        <f ca="1">INDIRECT("'数据-取费表'!w"&amp;$G$1)</f>
        <v>0.1</v>
      </c>
      <c r="G9" s="1380"/>
      <c r="H9" s="301"/>
      <c r="I9" s="3756"/>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3474</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1292</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1419</v>
      </c>
      <c r="D14" s="1341" t="s">
        <v>708</v>
      </c>
      <c r="E14" s="1338"/>
      <c r="F14" s="316"/>
      <c r="G14" s="1380"/>
      <c r="H14" s="978" t="s">
        <v>398</v>
      </c>
      <c r="I14" s="299" t="s">
        <v>709</v>
      </c>
      <c r="J14" s="21">
        <f ca="1">C29</f>
        <v>1872</v>
      </c>
      <c r="K14" s="12"/>
      <c r="L14" s="803"/>
      <c r="M14" s="804"/>
    </row>
    <row r="15" spans="1:37" s="1393" customFormat="1" ht="18" customHeight="1" thickBot="1">
      <c r="A15" s="978" t="s">
        <v>399</v>
      </c>
      <c r="B15" s="299" t="s">
        <v>710</v>
      </c>
      <c r="C15" s="21">
        <f ca="1">ROUND(C14*F15,0)</f>
        <v>43</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6</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28</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1597</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32</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3.74</v>
      </c>
      <c r="K22" s="1340" t="s">
        <v>739</v>
      </c>
      <c r="L22" s="299" t="s">
        <v>712</v>
      </c>
      <c r="M22" s="325">
        <f ca="1">INDIRECT("'数据-取费表'!Ak"&amp;$G$1)</f>
        <v>2E-3</v>
      </c>
    </row>
    <row r="23" spans="1:37" s="1393" customFormat="1" ht="18" customHeight="1">
      <c r="A23" s="978" t="s">
        <v>397</v>
      </c>
      <c r="B23" s="299" t="s">
        <v>740</v>
      </c>
      <c r="C23" s="21">
        <f ca="1">IF('数据-取费表'!B22&lt;=1,ROUND(C19*F24*F23/2,0)+ROUND(C20*F24*F23/2,0),ROUND(C19*(POWER((1+F24),F23/2)-1),0)+ROUND(C20*(POWER((1+F24),F23/2)-1),0))</f>
        <v>24</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-6</v>
      </c>
      <c r="K25" s="1091" t="s">
        <v>753</v>
      </c>
      <c r="L25" s="1092"/>
      <c r="M25" s="1093"/>
    </row>
    <row r="26" spans="1:37">
      <c r="A26" s="978" t="s">
        <v>397</v>
      </c>
      <c r="B26" s="299" t="s">
        <v>754</v>
      </c>
      <c r="C26" s="21">
        <f ca="1">ROUND((C19+C20)*F26,0)</f>
        <v>81</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1872</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38</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3.74</v>
      </c>
      <c r="D36" s="1340" t="s">
        <v>771</v>
      </c>
      <c r="E36" s="299" t="s">
        <v>712</v>
      </c>
      <c r="F36" s="325">
        <f ca="1">INDIRECT("'数据-取费表'!Ak"&amp;$G$1)</f>
        <v>2E-3</v>
      </c>
      <c r="G36" s="1380"/>
      <c r="H36" s="2696"/>
      <c r="I36" s="1394"/>
      <c r="J36" s="1395"/>
      <c r="K36" s="2540"/>
      <c r="L36" s="2696"/>
      <c r="M36" s="2696"/>
    </row>
    <row r="37" spans="1:18" ht="18" customHeight="1">
      <c r="A37" s="978" t="s">
        <v>437</v>
      </c>
      <c r="B37" s="299" t="s">
        <v>742</v>
      </c>
      <c r="C37" s="21">
        <f ca="1">ROUND(C13*F37,2)</f>
        <v>1.29</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1.77</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07">
        <f ca="1">C5-C30</f>
        <v>139</v>
      </c>
      <c r="D39" s="1091" t="s">
        <v>773</v>
      </c>
      <c r="E39" s="1092"/>
      <c r="F39" s="1093"/>
      <c r="G39" s="1380"/>
      <c r="H39" s="2696"/>
      <c r="I39" s="1394"/>
      <c r="J39" s="1395"/>
      <c r="K39" s="2700"/>
      <c r="L39" s="2696"/>
      <c r="M39" s="2696"/>
    </row>
    <row r="40" spans="1:18" ht="18" customHeight="1">
      <c r="A40" s="296" t="s">
        <v>395</v>
      </c>
      <c r="B40" s="297" t="s">
        <v>774</v>
      </c>
      <c r="C40" s="298">
        <f ca="1">ROUND(C39*(1-((1+F42)/(1+F40))^F41)/(F40-F42),0)</f>
        <v>2311</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1.4999999999999999E-2</v>
      </c>
      <c r="G42" s="1380"/>
      <c r="H42" s="1187"/>
      <c r="I42" s="1394"/>
      <c r="J42" s="1395"/>
      <c r="K42" s="2540"/>
      <c r="L42" s="1187"/>
      <c r="M42" s="1187"/>
    </row>
    <row r="43" spans="1:18" ht="18" customHeight="1" thickBot="1">
      <c r="A43" s="331" t="s">
        <v>396</v>
      </c>
      <c r="B43" s="332" t="s">
        <v>776</v>
      </c>
      <c r="C43" s="333">
        <f ca="1">ROUND(C40*10000/F43,0)</f>
        <v>4300</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-2410</v>
      </c>
      <c r="D46" s="1402" t="str">
        <f>C2</f>
        <v>万元</v>
      </c>
      <c r="E46" s="1396"/>
      <c r="F46" s="1396"/>
      <c r="I46" s="1403" t="s">
        <v>810</v>
      </c>
      <c r="J46" s="1404"/>
      <c r="K46" s="1405"/>
      <c r="L46" s="1406">
        <f ca="1">IF(M47="住宅",0,IF(L48&gt;J51,L60,J60))</f>
        <v>97</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3461</v>
      </c>
      <c r="K47" s="1412" t="s">
        <v>816</v>
      </c>
      <c r="L47" s="1413">
        <f ca="1">INDIRECT("'数据-取费表'!d"&amp;$G$1)</f>
        <v>50</v>
      </c>
      <c r="M47" s="1376" t="str">
        <f>IF(ISNUMBER(FIND("住宅",C1)),"住宅","非住宅")</f>
        <v>非住宅</v>
      </c>
      <c r="O47" s="1414" t="s">
        <v>403</v>
      </c>
      <c r="P47" s="1415" t="s">
        <v>817</v>
      </c>
      <c r="Q47" s="1416">
        <f ca="1">C40+J29</f>
        <v>2311</v>
      </c>
      <c r="R47" s="1416" t="s">
        <v>818</v>
      </c>
    </row>
    <row r="48" spans="1:18" s="1380" customFormat="1" ht="28.5" thickBot="1">
      <c r="A48" s="1106" t="s">
        <v>438</v>
      </c>
      <c r="B48" s="297" t="s">
        <v>692</v>
      </c>
      <c r="C48" s="1355">
        <f ca="1">C49+C53+C55</f>
        <v>0</v>
      </c>
      <c r="D48" s="1108"/>
      <c r="E48" s="1109"/>
      <c r="F48" s="958"/>
      <c r="G48" s="718"/>
      <c r="H48" s="719"/>
      <c r="I48" s="1417" t="s">
        <v>819</v>
      </c>
      <c r="J48" s="1418" t="s">
        <v>3462</v>
      </c>
      <c r="K48" s="1419" t="s">
        <v>820</v>
      </c>
      <c r="L48" s="1420">
        <f ca="1">INDIRECT("'数据-取费表'!f"&amp;$G$1)</f>
        <v>28.3</v>
      </c>
      <c r="O48" s="1414" t="s">
        <v>404</v>
      </c>
      <c r="P48" s="1415" t="s">
        <v>821</v>
      </c>
      <c r="Q48" s="1416">
        <f ca="1">J60</f>
        <v>97</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1872</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852</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2" t="s">
        <v>837</v>
      </c>
      <c r="L53" s="3753"/>
      <c r="O53" s="1414" t="s">
        <v>409</v>
      </c>
      <c r="P53" s="1415" t="s">
        <v>838</v>
      </c>
      <c r="Q53" s="1416">
        <f ca="1">Q47+Q48</f>
        <v>2408</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1292</v>
      </c>
      <c r="D56" s="1443"/>
      <c r="E56" s="1444"/>
      <c r="F56" s="1436"/>
      <c r="I56" s="1445" t="s">
        <v>842</v>
      </c>
      <c r="J56" s="1446" t="s">
        <v>3423</v>
      </c>
      <c r="K56" s="1417" t="s">
        <v>843</v>
      </c>
      <c r="L56" s="1420" t="str">
        <f ca="1">IF(L48&lt;J51,"——",L48-J53)</f>
        <v>——</v>
      </c>
      <c r="O56" s="1414" t="s">
        <v>403</v>
      </c>
      <c r="P56" s="1415" t="s">
        <v>817</v>
      </c>
      <c r="Q56" s="1416">
        <f ca="1">C40+J29</f>
        <v>2311</v>
      </c>
      <c r="R56" s="1416" t="s">
        <v>818</v>
      </c>
    </row>
    <row r="57" spans="1:18" s="1380" customFormat="1" ht="24.75" thickBot="1">
      <c r="A57" s="1447"/>
      <c r="B57" s="946" t="s">
        <v>767</v>
      </c>
      <c r="C57" s="235">
        <f ca="1">C29</f>
        <v>1872</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749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97</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2311</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3.74</v>
      </c>
      <c r="D64" s="960" t="s">
        <v>791</v>
      </c>
      <c r="E64" s="946" t="s">
        <v>783</v>
      </c>
      <c r="F64" s="325">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1.29</v>
      </c>
      <c r="D65" s="960" t="s">
        <v>743</v>
      </c>
      <c r="E65" s="946" t="s">
        <v>744</v>
      </c>
      <c r="F65" s="327">
        <f t="shared" ca="1" si="0"/>
        <v>1E-3</v>
      </c>
      <c r="I65" s="1458" t="s">
        <v>867</v>
      </c>
      <c r="J65" s="1459">
        <v>40</v>
      </c>
      <c r="K65" s="1459">
        <v>30</v>
      </c>
      <c r="L65" s="1459">
        <v>50</v>
      </c>
      <c r="M65" s="1461">
        <v>0.02</v>
      </c>
      <c r="O65" s="1414" t="s">
        <v>403</v>
      </c>
      <c r="P65" s="1415" t="s">
        <v>868</v>
      </c>
      <c r="Q65" s="1416">
        <f ca="1">C40+J29</f>
        <v>2311</v>
      </c>
      <c r="R65" s="1416" t="s">
        <v>818</v>
      </c>
    </row>
    <row r="66" spans="1:18" s="1380" customFormat="1" ht="16.5" thickBot="1">
      <c r="A66" s="978" t="s">
        <v>793</v>
      </c>
      <c r="B66" s="946" t="s">
        <v>728</v>
      </c>
      <c r="C66" s="21">
        <f ca="1">ROUND(C48*F66,2)</f>
        <v>0</v>
      </c>
      <c r="D66" s="960" t="s">
        <v>794</v>
      </c>
      <c r="E66" s="946" t="s">
        <v>712</v>
      </c>
      <c r="F66" s="309">
        <f t="shared" ca="1" si="0"/>
        <v>0.01</v>
      </c>
      <c r="O66" s="1414" t="s">
        <v>404</v>
      </c>
      <c r="P66" s="1415" t="s">
        <v>846</v>
      </c>
      <c r="Q66" s="1416">
        <f ca="1">L60</f>
        <v>0</v>
      </c>
      <c r="R66" s="1416" t="s">
        <v>869</v>
      </c>
    </row>
    <row r="67" spans="1:18" s="1380" customFormat="1" ht="16.5" thickBot="1">
      <c r="A67" s="953" t="s">
        <v>394</v>
      </c>
      <c r="B67" s="963" t="s">
        <v>752</v>
      </c>
      <c r="C67" s="313">
        <f ca="1">C48-C58</f>
        <v>-7</v>
      </c>
      <c r="D67" s="959" t="s">
        <v>753</v>
      </c>
      <c r="E67" s="964"/>
      <c r="F67" s="965"/>
      <c r="O67" s="1424" t="s">
        <v>405</v>
      </c>
      <c r="P67" s="1415" t="s">
        <v>850</v>
      </c>
      <c r="Q67" s="1462">
        <f ca="1">L51</f>
        <v>852</v>
      </c>
      <c r="R67" s="1416" t="s">
        <v>870</v>
      </c>
    </row>
    <row r="68" spans="1:18" s="1380" customFormat="1" ht="16.5" thickBot="1">
      <c r="A68" s="943" t="s">
        <v>395</v>
      </c>
      <c r="B68" s="944" t="s">
        <v>774</v>
      </c>
      <c r="C68" s="298">
        <f ca="1">ROUND(C67*(1-((1+F70)/(1+F68))^F69)/(F68-F70),0)</f>
        <v>-99</v>
      </c>
      <c r="D68" s="961" t="s">
        <v>758</v>
      </c>
      <c r="E68" s="946" t="s">
        <v>759</v>
      </c>
      <c r="F68" s="309">
        <f ca="1">F40</f>
        <v>5.5E-2</v>
      </c>
      <c r="O68" s="1424" t="s">
        <v>406</v>
      </c>
      <c r="P68" s="1463" t="s">
        <v>871</v>
      </c>
      <c r="Q68" s="1416">
        <f ca="1">ROUND(Q69-Q70*Q71,0)</f>
        <v>49</v>
      </c>
      <c r="R68" s="1416" t="s">
        <v>414</v>
      </c>
    </row>
    <row r="69" spans="1:18" s="1380" customFormat="1" ht="13.5" thickBot="1">
      <c r="A69" s="947"/>
      <c r="B69" s="948"/>
      <c r="C69" s="303"/>
      <c r="D69" s="966" t="s">
        <v>762</v>
      </c>
      <c r="E69" s="946" t="s">
        <v>763</v>
      </c>
      <c r="F69" s="330">
        <f ca="1">F41</f>
        <v>28.3</v>
      </c>
      <c r="O69" s="1424" t="s">
        <v>411</v>
      </c>
      <c r="P69" s="1463" t="s">
        <v>872</v>
      </c>
      <c r="Q69" s="1416">
        <f ca="1">C39</f>
        <v>139</v>
      </c>
      <c r="R69" s="1416" t="s">
        <v>818</v>
      </c>
    </row>
    <row r="70" spans="1:18" s="1380" customFormat="1" ht="13.5" thickBot="1">
      <c r="A70" s="950"/>
      <c r="B70" s="951"/>
      <c r="C70" s="307"/>
      <c r="D70" s="962"/>
      <c r="E70" s="946" t="s">
        <v>766</v>
      </c>
      <c r="F70" s="1050"/>
      <c r="O70" s="1424" t="s">
        <v>412</v>
      </c>
      <c r="P70" s="1463" t="s">
        <v>873</v>
      </c>
      <c r="Q70" s="1416">
        <f ca="1">C13</f>
        <v>1292</v>
      </c>
      <c r="R70" s="1416" t="s">
        <v>818</v>
      </c>
    </row>
    <row r="71" spans="1:18" s="1380" customFormat="1" ht="13.5" thickBot="1">
      <c r="A71" s="967" t="s">
        <v>396</v>
      </c>
      <c r="B71" s="968" t="s">
        <v>776</v>
      </c>
      <c r="C71" s="333">
        <f ca="1">ROUND(C68*10000/F71,0)</f>
        <v>-184</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90</v>
      </c>
      <c r="D75" s="1380"/>
      <c r="E75" s="1380"/>
      <c r="F75" s="1380"/>
      <c r="K75" s="1398"/>
      <c r="L75" s="1380"/>
      <c r="O75" s="1414" t="s">
        <v>409</v>
      </c>
      <c r="P75" s="1415" t="s">
        <v>838</v>
      </c>
      <c r="Q75" s="1416">
        <f ca="1">Q65+Q66</f>
        <v>2311</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0.35299999999999998</v>
      </c>
    </row>
    <row r="80" spans="1:18">
      <c r="B80" s="337" t="s">
        <v>800</v>
      </c>
      <c r="C80" s="271">
        <f ca="1">ROUND(C75/C39,3)</f>
        <v>0.64700000000000002</v>
      </c>
    </row>
    <row r="81" spans="2:3">
      <c r="B81" s="267" t="s">
        <v>801</v>
      </c>
      <c r="C81" s="235"/>
    </row>
    <row r="82" spans="2:3">
      <c r="B82" s="270" t="s">
        <v>802</v>
      </c>
      <c r="C82" s="272">
        <f ca="1">1-C83</f>
        <v>0.44099999999999995</v>
      </c>
    </row>
    <row r="83" spans="2:3">
      <c r="B83" s="270" t="s">
        <v>803</v>
      </c>
      <c r="C83" s="271">
        <f ca="1">ROUND(C13/C40,3)</f>
        <v>0.55900000000000005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4" t="s">
        <v>694</v>
      </c>
      <c r="C6" s="1070">
        <f ca="1">ROUND(F6*F8*F7*(1-F9),0)</f>
        <v>0</v>
      </c>
      <c r="D6" s="152" t="s">
        <v>2102</v>
      </c>
      <c r="E6" s="299" t="s">
        <v>696</v>
      </c>
      <c r="F6" s="300">
        <f ca="1">INDIRECT("'数据-取费表'!u"&amp;$G$1)</f>
        <v>0</v>
      </c>
      <c r="G6" s="1380"/>
      <c r="H6" s="1065" t="s">
        <v>398</v>
      </c>
      <c r="I6" s="3754" t="s">
        <v>694</v>
      </c>
      <c r="J6" s="298">
        <f ca="1">ROUND(M6*M8*M7*(1-M9),0)</f>
        <v>0</v>
      </c>
      <c r="K6" s="1372" t="s">
        <v>2103</v>
      </c>
      <c r="L6" s="299" t="s">
        <v>696</v>
      </c>
      <c r="M6" s="300">
        <f ca="1">INDIRECT("'数据-取费表'!z"&amp;$G$1)</f>
        <v>0</v>
      </c>
    </row>
    <row r="7" spans="1:37" ht="18" customHeight="1">
      <c r="A7" s="1069"/>
      <c r="B7" s="3755"/>
      <c r="C7" s="1071"/>
      <c r="D7" s="304"/>
      <c r="E7" s="1072" t="s">
        <v>697</v>
      </c>
      <c r="F7" s="300">
        <f ca="1">IF(INDIRECT("'数据-取费表'!ah"&amp;$G$1)="",INDIRECT("'数据-取费表'!k"&amp;$G$1),INDIRECT("'数据-取费表'!ah"&amp;$G$1))</f>
        <v>0</v>
      </c>
      <c r="G7" s="1380"/>
      <c r="H7" s="301"/>
      <c r="I7" s="3755"/>
      <c r="J7" s="303"/>
      <c r="K7" s="304"/>
      <c r="L7" s="299" t="s">
        <v>697</v>
      </c>
      <c r="M7" s="300">
        <f ca="1">F7</f>
        <v>0</v>
      </c>
    </row>
    <row r="8" spans="1:37" ht="18" customHeight="1">
      <c r="A8" s="301"/>
      <c r="B8" s="3755"/>
      <c r="C8" s="303"/>
      <c r="D8" s="304"/>
      <c r="E8" s="299" t="s">
        <v>698</v>
      </c>
      <c r="F8" s="300">
        <f ca="1">INDIRECT("'数据-取费表'!ai"&amp;$G$1)</f>
        <v>0</v>
      </c>
      <c r="G8" s="1380"/>
      <c r="H8" s="301"/>
      <c r="I8" s="3755"/>
      <c r="J8" s="303"/>
      <c r="K8" s="304"/>
      <c r="L8" s="299" t="s">
        <v>698</v>
      </c>
      <c r="M8" s="300">
        <f ca="1">INDIRECT("'数据-取费表'!ai"&amp;$G$1)</f>
        <v>0</v>
      </c>
    </row>
    <row r="9" spans="1:37" ht="18" customHeight="1">
      <c r="A9" s="301"/>
      <c r="B9" s="3756"/>
      <c r="C9" s="303"/>
      <c r="D9" s="304"/>
      <c r="E9" s="299" t="s">
        <v>699</v>
      </c>
      <c r="F9" s="309">
        <f ca="1">INDIRECT("'数据-取费表'!w"&amp;$G$1)</f>
        <v>0</v>
      </c>
      <c r="G9" s="1380"/>
      <c r="H9" s="301"/>
      <c r="I9" s="3756"/>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2" t="s">
        <v>837</v>
      </c>
      <c r="L53" s="3753"/>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63" t="s">
        <v>2313</v>
      </c>
      <c r="K2" s="3764"/>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65" t="s">
        <v>2323</v>
      </c>
      <c r="K3" s="3766"/>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65" t="s">
        <v>2325</v>
      </c>
      <c r="K4" s="3766"/>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71" t="s">
        <v>2329</v>
      </c>
      <c r="B6" s="3772"/>
      <c r="C6" s="3773"/>
      <c r="D6" s="2866"/>
      <c r="E6" s="2867"/>
      <c r="F6" s="2868"/>
      <c r="G6" s="2869"/>
      <c r="H6" s="2844"/>
      <c r="I6" s="2845"/>
      <c r="J6" s="3757">
        <v>1</v>
      </c>
      <c r="K6" s="3758"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57"/>
      <c r="K7" s="3759"/>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74" t="s">
        <v>2343</v>
      </c>
      <c r="C8" s="3775"/>
      <c r="D8" s="2885" t="s">
        <v>2344</v>
      </c>
      <c r="E8" s="2886" t="s">
        <v>2345</v>
      </c>
      <c r="F8" s="2887" t="s">
        <v>2346</v>
      </c>
      <c r="G8" s="2888"/>
      <c r="H8" s="2844"/>
      <c r="I8" s="2845"/>
      <c r="J8" s="3757"/>
      <c r="K8" s="3759"/>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74" t="s">
        <v>2349</v>
      </c>
      <c r="C9" s="3775"/>
      <c r="D9" s="2885">
        <f>ROUND(D6*E9,0)</f>
        <v>0</v>
      </c>
      <c r="E9" s="2889"/>
      <c r="F9" s="2890" t="s">
        <v>2350</v>
      </c>
      <c r="G9" s="2869"/>
      <c r="H9" s="2844"/>
      <c r="I9" s="2845"/>
      <c r="J9" s="3757"/>
      <c r="K9" s="3759"/>
      <c r="L9" s="2879" t="s">
        <v>2351</v>
      </c>
      <c r="M9" s="2880"/>
      <c r="N9" s="2856"/>
      <c r="O9" s="2881"/>
      <c r="P9" s="2881"/>
      <c r="Q9" s="2882">
        <v>365</v>
      </c>
      <c r="R9" s="2883">
        <f t="shared" si="0"/>
        <v>0</v>
      </c>
      <c r="S9" s="2837"/>
      <c r="T9" s="2837"/>
      <c r="U9" s="2837"/>
      <c r="V9" s="2845"/>
    </row>
    <row r="10" spans="1:22" s="2849" customFormat="1" ht="13.15" customHeight="1">
      <c r="A10" s="2884">
        <v>2</v>
      </c>
      <c r="B10" s="3774" t="s">
        <v>2352</v>
      </c>
      <c r="C10" s="3775"/>
      <c r="D10" s="2885">
        <f>ROUND(D6*E10,0)</f>
        <v>0</v>
      </c>
      <c r="E10" s="2889"/>
      <c r="F10" s="2890" t="s">
        <v>2353</v>
      </c>
      <c r="G10" s="2869"/>
      <c r="H10" s="2844"/>
      <c r="I10" s="2845"/>
      <c r="J10" s="3757"/>
      <c r="K10" s="3759"/>
      <c r="L10" s="2879" t="s">
        <v>2354</v>
      </c>
      <c r="M10" s="2880"/>
      <c r="N10" s="2856"/>
      <c r="O10" s="2881"/>
      <c r="P10" s="2881"/>
      <c r="Q10" s="2882">
        <v>365</v>
      </c>
      <c r="R10" s="2883">
        <f t="shared" si="0"/>
        <v>0</v>
      </c>
      <c r="S10" s="2837"/>
      <c r="T10" s="2837"/>
      <c r="U10" s="2837"/>
      <c r="V10" s="2845"/>
    </row>
    <row r="11" spans="1:22" s="2849" customFormat="1" ht="13.15" customHeight="1">
      <c r="A11" s="2884">
        <v>3</v>
      </c>
      <c r="B11" s="3774" t="s">
        <v>2355</v>
      </c>
      <c r="C11" s="3775"/>
      <c r="D11" s="2885">
        <f>D12+D14+D15+D16</f>
        <v>0</v>
      </c>
      <c r="E11" s="2891" t="e">
        <f>D11/D6</f>
        <v>#DIV/0!</v>
      </c>
      <c r="F11" s="2887"/>
      <c r="G11" s="2888"/>
      <c r="H11" s="2844"/>
      <c r="I11" s="2845"/>
      <c r="J11" s="3757"/>
      <c r="K11" s="3759"/>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7" t="s">
        <v>2358</v>
      </c>
      <c r="C12" s="3768"/>
      <c r="D12" s="2893">
        <f>ROUND(D13*1.2%*(1-30%),0)</f>
        <v>0</v>
      </c>
      <c r="E12" s="2894">
        <v>1.2E-2</v>
      </c>
      <c r="F12" s="2887" t="s">
        <v>2359</v>
      </c>
      <c r="G12" s="2888"/>
      <c r="H12" s="2844"/>
      <c r="I12" s="2845"/>
      <c r="J12" s="3757"/>
      <c r="K12" s="3759"/>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57"/>
      <c r="K13" s="3759"/>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7" t="s">
        <v>2364</v>
      </c>
      <c r="C14" s="3768"/>
      <c r="D14" s="2893">
        <f>ROUND(E14*B5/10000,0)</f>
        <v>0</v>
      </c>
      <c r="E14" s="2882"/>
      <c r="F14" s="2887" t="s">
        <v>2365</v>
      </c>
      <c r="G14" s="2888"/>
      <c r="H14" s="2844"/>
      <c r="I14" s="2845"/>
      <c r="J14" s="3757"/>
      <c r="K14" s="3760"/>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7" t="s">
        <v>2368</v>
      </c>
      <c r="C15" s="3768"/>
      <c r="D15" s="2893">
        <f>ROUND(D6*E15,0)</f>
        <v>0</v>
      </c>
      <c r="E15" s="2894">
        <v>5.5E-2</v>
      </c>
      <c r="F15" s="2887" t="s">
        <v>2369</v>
      </c>
      <c r="G15" s="2869"/>
      <c r="H15" s="2844"/>
      <c r="I15" s="2845"/>
      <c r="J15" s="3757">
        <v>2</v>
      </c>
      <c r="K15" s="3758"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7" t="s">
        <v>2377</v>
      </c>
      <c r="C16" s="3768"/>
      <c r="D16" s="2904">
        <f>D6*E16</f>
        <v>0</v>
      </c>
      <c r="E16" s="2905"/>
      <c r="F16" s="2890" t="s">
        <v>2378</v>
      </c>
      <c r="G16" s="2869"/>
      <c r="H16" s="2844"/>
      <c r="I16" s="2845"/>
      <c r="J16" s="3757"/>
      <c r="K16" s="3759"/>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69" t="s">
        <v>2380</v>
      </c>
      <c r="C17" s="3770"/>
      <c r="D17" s="2907">
        <f>ROUND(D6*E17,0)</f>
        <v>0</v>
      </c>
      <c r="E17" s="2908"/>
      <c r="F17" s="2909" t="s">
        <v>2381</v>
      </c>
      <c r="G17" s="2869"/>
      <c r="H17" s="2844"/>
      <c r="I17" s="2845"/>
      <c r="J17" s="3757"/>
      <c r="K17" s="3759"/>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57"/>
      <c r="K18" s="3759"/>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57"/>
      <c r="K19" s="3760"/>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7">
        <v>3</v>
      </c>
      <c r="K20" s="3758"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57"/>
      <c r="K21" s="3759"/>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57"/>
      <c r="K22" s="3759"/>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57"/>
      <c r="K23" s="3759"/>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57"/>
      <c r="K24" s="3760"/>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61">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63" t="s">
        <v>2313</v>
      </c>
      <c r="K32" s="3764"/>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65" t="s">
        <v>2323</v>
      </c>
      <c r="K33" s="3766"/>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65" t="s">
        <v>2325</v>
      </c>
      <c r="K34" s="376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57">
        <v>1</v>
      </c>
      <c r="K36" s="3758"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57"/>
      <c r="K37" s="3759"/>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7"/>
      <c r="K38" s="3759"/>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57"/>
      <c r="K39" s="3759"/>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57"/>
      <c r="K40" s="3760"/>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1">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2408</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4480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76" t="s">
        <v>1651</v>
      </c>
      <c r="C5" s="3777"/>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2408</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691" t="s">
        <v>1664</v>
      </c>
      <c r="D4" s="3703"/>
      <c r="E4" s="3704" t="s">
        <v>1665</v>
      </c>
      <c r="F4" s="3705"/>
      <c r="G4" s="3691" t="s">
        <v>1666</v>
      </c>
      <c r="H4" s="3703"/>
      <c r="I4" s="3691" t="s">
        <v>1667</v>
      </c>
      <c r="J4" s="3703"/>
      <c r="K4" s="1885" t="s">
        <v>1668</v>
      </c>
      <c r="L4" s="2711"/>
      <c r="M4" s="2712"/>
      <c r="N4" s="2712"/>
      <c r="O4" s="2712"/>
      <c r="P4" s="3706" t="s">
        <v>1669</v>
      </c>
      <c r="Q4" s="3707"/>
      <c r="R4" s="3712" t="s">
        <v>1665</v>
      </c>
      <c r="S4" s="3713"/>
      <c r="T4" s="3712" t="s">
        <v>1666</v>
      </c>
      <c r="U4" s="3713"/>
      <c r="V4" s="3699" t="s">
        <v>1667</v>
      </c>
      <c r="W4" s="3699"/>
      <c r="X4" s="1351"/>
      <c r="Y4" s="3712" t="s">
        <v>1669</v>
      </c>
      <c r="Z4" s="3713"/>
      <c r="AA4" s="3700" t="s">
        <v>1665</v>
      </c>
      <c r="AB4" s="3700" t="s">
        <v>1666</v>
      </c>
      <c r="AC4" s="3700" t="s">
        <v>1667</v>
      </c>
    </row>
    <row r="5" spans="1:29" ht="15">
      <c r="A5" s="355"/>
      <c r="B5" s="356"/>
      <c r="C5" s="3720" t="s">
        <v>1670</v>
      </c>
      <c r="D5" s="3721"/>
      <c r="E5" s="3727" t="s">
        <v>1671</v>
      </c>
      <c r="F5" s="3728"/>
      <c r="G5" s="3720" t="s">
        <v>1672</v>
      </c>
      <c r="H5" s="3721"/>
      <c r="I5" s="3720" t="s">
        <v>1673</v>
      </c>
      <c r="J5" s="3721"/>
      <c r="K5" s="1886"/>
      <c r="L5" s="2711"/>
      <c r="M5" s="2712"/>
      <c r="N5" s="2712"/>
      <c r="O5" s="2712"/>
      <c r="P5" s="3708"/>
      <c r="Q5" s="3709"/>
      <c r="R5" s="3714"/>
      <c r="S5" s="3715"/>
      <c r="T5" s="3714"/>
      <c r="U5" s="3715"/>
      <c r="V5" s="3699"/>
      <c r="W5" s="3699"/>
      <c r="X5" s="1351"/>
      <c r="Y5" s="3714"/>
      <c r="Z5" s="3715"/>
      <c r="AA5" s="3701"/>
      <c r="AB5" s="3701"/>
      <c r="AC5" s="3701"/>
    </row>
    <row r="6" spans="1:29" ht="15.75" thickBot="1">
      <c r="A6" s="357"/>
      <c r="B6" s="358"/>
      <c r="C6" s="3718" t="s">
        <v>1674</v>
      </c>
      <c r="D6" s="3719"/>
      <c r="E6" s="3725" t="s">
        <v>1674</v>
      </c>
      <c r="F6" s="3726"/>
      <c r="G6" s="3718" t="s">
        <v>1674</v>
      </c>
      <c r="H6" s="3719"/>
      <c r="I6" s="3718" t="s">
        <v>1674</v>
      </c>
      <c r="J6" s="3719"/>
      <c r="K6" s="1886" t="s">
        <v>1675</v>
      </c>
      <c r="L6" s="2711"/>
      <c r="M6" s="2712"/>
      <c r="N6" s="2712"/>
      <c r="O6" s="2712"/>
      <c r="P6" s="3710"/>
      <c r="Q6" s="3711"/>
      <c r="R6" s="3714"/>
      <c r="S6" s="3715"/>
      <c r="T6" s="3716"/>
      <c r="U6" s="3717"/>
      <c r="V6" s="3699"/>
      <c r="W6" s="3699"/>
      <c r="X6" s="1351"/>
      <c r="Y6" s="3716"/>
      <c r="Z6" s="3717"/>
      <c r="AA6" s="3702"/>
      <c r="AB6" s="3702"/>
      <c r="AC6" s="3702"/>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722" t="s">
        <v>1677</v>
      </c>
      <c r="Q7" s="3724"/>
      <c r="R7" s="697" t="s">
        <v>20</v>
      </c>
      <c r="S7" s="698">
        <f t="shared" ref="S7:S15" si="0">F7</f>
        <v>0</v>
      </c>
      <c r="T7" s="697" t="s">
        <v>20</v>
      </c>
      <c r="U7" s="698">
        <f t="shared" ref="U7:U15" si="1">H7</f>
        <v>0</v>
      </c>
      <c r="V7" s="697" t="s">
        <v>20</v>
      </c>
      <c r="W7" s="698">
        <f t="shared" ref="W7:W15" si="2">J7</f>
        <v>0</v>
      </c>
      <c r="X7" s="699"/>
      <c r="Y7" s="3722" t="s">
        <v>1677</v>
      </c>
      <c r="Z7" s="3723"/>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722" t="s">
        <v>1680</v>
      </c>
      <c r="Q8" s="3723"/>
      <c r="R8" s="697" t="s">
        <v>20</v>
      </c>
      <c r="S8" s="698">
        <f t="shared" si="0"/>
        <v>100</v>
      </c>
      <c r="T8" s="697" t="s">
        <v>20</v>
      </c>
      <c r="U8" s="698">
        <f t="shared" si="1"/>
        <v>100</v>
      </c>
      <c r="V8" s="697" t="s">
        <v>20</v>
      </c>
      <c r="W8" s="698">
        <f t="shared" si="2"/>
        <v>100</v>
      </c>
      <c r="X8" s="699"/>
      <c r="Y8" s="3722" t="s">
        <v>1680</v>
      </c>
      <c r="Z8" s="3723"/>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693"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693"/>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693"/>
      <c r="Q11" s="1339" t="str">
        <f t="shared" si="6"/>
        <v>容积率</v>
      </c>
      <c r="R11" s="697" t="s">
        <v>18</v>
      </c>
      <c r="S11" s="698" t="e">
        <f t="shared" si="0"/>
        <v>#N/A</v>
      </c>
      <c r="T11" s="697" t="s">
        <v>18</v>
      </c>
      <c r="U11" s="698" t="e">
        <f t="shared" si="1"/>
        <v>#N/A</v>
      </c>
      <c r="V11" s="697" t="s">
        <v>18</v>
      </c>
      <c r="W11" s="698" t="e">
        <f t="shared" si="2"/>
        <v>#N/A</v>
      </c>
      <c r="X11" s="699"/>
      <c r="Y11" s="3591"/>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693"/>
      <c r="Q12" s="1339">
        <f t="shared" si="6"/>
        <v>111</v>
      </c>
      <c r="R12" s="697" t="s">
        <v>18</v>
      </c>
      <c r="S12" s="698">
        <f t="shared" si="0"/>
        <v>100</v>
      </c>
      <c r="T12" s="697" t="s">
        <v>18</v>
      </c>
      <c r="U12" s="698">
        <f t="shared" si="1"/>
        <v>100</v>
      </c>
      <c r="V12" s="697" t="s">
        <v>18</v>
      </c>
      <c r="W12" s="698">
        <f t="shared" si="2"/>
        <v>100</v>
      </c>
      <c r="X12" s="699"/>
      <c r="Y12" s="3591"/>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693"/>
      <c r="Q13" s="1339">
        <f t="shared" si="6"/>
        <v>111</v>
      </c>
      <c r="R13" s="697" t="s">
        <v>18</v>
      </c>
      <c r="S13" s="698">
        <f t="shared" si="0"/>
        <v>100</v>
      </c>
      <c r="T13" s="697" t="s">
        <v>18</v>
      </c>
      <c r="U13" s="698">
        <f t="shared" si="1"/>
        <v>100</v>
      </c>
      <c r="V13" s="697" t="s">
        <v>18</v>
      </c>
      <c r="W13" s="698">
        <f t="shared" si="2"/>
        <v>100</v>
      </c>
      <c r="X13" s="699"/>
      <c r="Y13" s="3591"/>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693"/>
      <c r="Q14" s="1339">
        <f t="shared" si="6"/>
        <v>111</v>
      </c>
      <c r="R14" s="697" t="s">
        <v>18</v>
      </c>
      <c r="S14" s="698">
        <f t="shared" si="0"/>
        <v>100</v>
      </c>
      <c r="T14" s="697" t="s">
        <v>18</v>
      </c>
      <c r="U14" s="698">
        <f t="shared" si="1"/>
        <v>100</v>
      </c>
      <c r="V14" s="697" t="s">
        <v>18</v>
      </c>
      <c r="W14" s="698">
        <f t="shared" si="2"/>
        <v>100</v>
      </c>
      <c r="X14" s="699"/>
      <c r="Y14" s="3591"/>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4" t="s">
        <v>1688</v>
      </c>
      <c r="Q15" s="1348" t="str">
        <f t="shared" si="6"/>
        <v>居住社区成熟度</v>
      </c>
      <c r="R15" s="701" t="s">
        <v>18</v>
      </c>
      <c r="S15" s="702">
        <f t="shared" si="0"/>
        <v>100</v>
      </c>
      <c r="T15" s="701" t="s">
        <v>18</v>
      </c>
      <c r="U15" s="702">
        <f t="shared" si="1"/>
        <v>100</v>
      </c>
      <c r="V15" s="701" t="s">
        <v>18</v>
      </c>
      <c r="W15" s="702">
        <f t="shared" si="2"/>
        <v>100</v>
      </c>
      <c r="X15" s="1351"/>
      <c r="Y15" s="3695"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5"/>
      <c r="Q16" s="1348"/>
      <c r="R16" s="701"/>
      <c r="S16" s="702"/>
      <c r="T16" s="701"/>
      <c r="U16" s="702"/>
      <c r="V16" s="701"/>
      <c r="W16" s="702"/>
      <c r="X16" s="1351"/>
      <c r="Y16" s="3696"/>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5"/>
      <c r="Q17" s="1348" t="str">
        <f>B17</f>
        <v>交通便捷度</v>
      </c>
      <c r="R17" s="701" t="s">
        <v>18</v>
      </c>
      <c r="S17" s="702">
        <f>F17</f>
        <v>100</v>
      </c>
      <c r="T17" s="701" t="s">
        <v>18</v>
      </c>
      <c r="U17" s="702">
        <f>H17</f>
        <v>100</v>
      </c>
      <c r="V17" s="701" t="s">
        <v>18</v>
      </c>
      <c r="W17" s="702">
        <f>J17</f>
        <v>100</v>
      </c>
      <c r="X17" s="1351"/>
      <c r="Y17" s="3696"/>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5"/>
      <c r="Q18" s="1348"/>
      <c r="R18" s="701"/>
      <c r="S18" s="702"/>
      <c r="T18" s="701"/>
      <c r="U18" s="702"/>
      <c r="V18" s="701"/>
      <c r="W18" s="702"/>
      <c r="X18" s="1351"/>
      <c r="Y18" s="3696"/>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5"/>
      <c r="Q19" s="1348" t="str">
        <f>B19</f>
        <v>公共配套设施</v>
      </c>
      <c r="R19" s="701" t="s">
        <v>18</v>
      </c>
      <c r="S19" s="702">
        <f>F19</f>
        <v>100</v>
      </c>
      <c r="T19" s="701" t="s">
        <v>18</v>
      </c>
      <c r="U19" s="702">
        <f>H19</f>
        <v>100</v>
      </c>
      <c r="V19" s="701" t="s">
        <v>18</v>
      </c>
      <c r="W19" s="702">
        <f>J19</f>
        <v>100</v>
      </c>
      <c r="X19" s="1351"/>
      <c r="Y19" s="3696"/>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5"/>
      <c r="Q20" s="1348"/>
      <c r="R20" s="701"/>
      <c r="S20" s="702"/>
      <c r="T20" s="701"/>
      <c r="U20" s="702"/>
      <c r="V20" s="701"/>
      <c r="W20" s="702"/>
      <c r="X20" s="1351"/>
      <c r="Y20" s="3696"/>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5"/>
      <c r="Q21" s="1348" t="str">
        <f>B21</f>
        <v>基础设施水平</v>
      </c>
      <c r="R21" s="701" t="s">
        <v>14</v>
      </c>
      <c r="S21" s="702">
        <f>F21</f>
        <v>100</v>
      </c>
      <c r="T21" s="701" t="s">
        <v>14</v>
      </c>
      <c r="U21" s="702">
        <f>H21</f>
        <v>100</v>
      </c>
      <c r="V21" s="701" t="s">
        <v>14</v>
      </c>
      <c r="W21" s="702">
        <f>J21</f>
        <v>100</v>
      </c>
      <c r="X21" s="1351"/>
      <c r="Y21" s="3696"/>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5"/>
      <c r="Q22" s="1348"/>
      <c r="R22" s="701"/>
      <c r="S22" s="702"/>
      <c r="T22" s="701"/>
      <c r="U22" s="702"/>
      <c r="V22" s="701"/>
      <c r="W22" s="702"/>
      <c r="X22" s="1351"/>
      <c r="Y22" s="3696"/>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5"/>
      <c r="Q23" s="1348" t="str">
        <f>B23</f>
        <v>自然及人文环境</v>
      </c>
      <c r="R23" s="701" t="s">
        <v>18</v>
      </c>
      <c r="S23" s="702">
        <f>F23</f>
        <v>100</v>
      </c>
      <c r="T23" s="701" t="s">
        <v>18</v>
      </c>
      <c r="U23" s="702">
        <f>H23</f>
        <v>100</v>
      </c>
      <c r="V23" s="701" t="s">
        <v>18</v>
      </c>
      <c r="W23" s="702">
        <f>J23</f>
        <v>100</v>
      </c>
      <c r="X23" s="1351"/>
      <c r="Y23" s="3696"/>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5"/>
      <c r="Q24" s="1348"/>
      <c r="R24" s="701"/>
      <c r="S24" s="702"/>
      <c r="T24" s="701"/>
      <c r="U24" s="702"/>
      <c r="V24" s="701"/>
      <c r="W24" s="702"/>
      <c r="X24" s="1351"/>
      <c r="Y24" s="3696"/>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5"/>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96"/>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5"/>
      <c r="Q26" s="1348" t="str">
        <f t="shared" si="11"/>
        <v>朝向</v>
      </c>
      <c r="R26" s="701" t="s">
        <v>18</v>
      </c>
      <c r="S26" s="702">
        <f t="shared" si="12"/>
        <v>100</v>
      </c>
      <c r="T26" s="701" t="s">
        <v>18</v>
      </c>
      <c r="U26" s="702">
        <f t="shared" si="13"/>
        <v>100</v>
      </c>
      <c r="V26" s="701" t="s">
        <v>18</v>
      </c>
      <c r="W26" s="702">
        <f t="shared" si="14"/>
        <v>100</v>
      </c>
      <c r="X26" s="1351"/>
      <c r="Y26" s="3696"/>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5"/>
      <c r="Q27" s="1339">
        <f t="shared" si="11"/>
        <v>111</v>
      </c>
      <c r="R27" s="697" t="s">
        <v>18</v>
      </c>
      <c r="S27" s="698">
        <f t="shared" si="12"/>
        <v>100</v>
      </c>
      <c r="T27" s="697" t="s">
        <v>18</v>
      </c>
      <c r="U27" s="698">
        <f t="shared" si="13"/>
        <v>100</v>
      </c>
      <c r="V27" s="697" t="s">
        <v>18</v>
      </c>
      <c r="W27" s="698">
        <f t="shared" si="14"/>
        <v>100</v>
      </c>
      <c r="X27" s="699"/>
      <c r="Y27" s="3696"/>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5"/>
      <c r="Q28" s="1348">
        <f t="shared" si="11"/>
        <v>111</v>
      </c>
      <c r="R28" s="701" t="s">
        <v>18</v>
      </c>
      <c r="S28" s="702">
        <f t="shared" si="12"/>
        <v>100</v>
      </c>
      <c r="T28" s="701" t="s">
        <v>18</v>
      </c>
      <c r="U28" s="702">
        <f t="shared" si="13"/>
        <v>100</v>
      </c>
      <c r="V28" s="701" t="s">
        <v>18</v>
      </c>
      <c r="W28" s="702">
        <f t="shared" si="14"/>
        <v>100</v>
      </c>
      <c r="X28" s="1351"/>
      <c r="Y28" s="3696"/>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5"/>
      <c r="Q29" s="1348">
        <f t="shared" si="11"/>
        <v>111</v>
      </c>
      <c r="R29" s="701" t="s">
        <v>18</v>
      </c>
      <c r="S29" s="702">
        <f t="shared" si="12"/>
        <v>100</v>
      </c>
      <c r="T29" s="701" t="s">
        <v>18</v>
      </c>
      <c r="U29" s="702">
        <f t="shared" si="13"/>
        <v>100</v>
      </c>
      <c r="V29" s="701" t="s">
        <v>18</v>
      </c>
      <c r="W29" s="702">
        <f t="shared" si="14"/>
        <v>100</v>
      </c>
      <c r="X29" s="1351"/>
      <c r="Y29" s="3696"/>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5"/>
      <c r="Q30" s="1348">
        <f t="shared" si="11"/>
        <v>111</v>
      </c>
      <c r="R30" s="701" t="s">
        <v>18</v>
      </c>
      <c r="S30" s="702">
        <f t="shared" si="12"/>
        <v>100</v>
      </c>
      <c r="T30" s="701" t="s">
        <v>18</v>
      </c>
      <c r="U30" s="702">
        <f t="shared" si="13"/>
        <v>100</v>
      </c>
      <c r="V30" s="701" t="s">
        <v>18</v>
      </c>
      <c r="W30" s="702">
        <f t="shared" si="14"/>
        <v>100</v>
      </c>
      <c r="X30" s="1351"/>
      <c r="Y30" s="3696"/>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5"/>
      <c r="Q31" s="1348">
        <f t="shared" si="11"/>
        <v>111</v>
      </c>
      <c r="R31" s="701" t="s">
        <v>18</v>
      </c>
      <c r="S31" s="702">
        <f t="shared" si="12"/>
        <v>100</v>
      </c>
      <c r="T31" s="701" t="s">
        <v>18</v>
      </c>
      <c r="U31" s="702">
        <f t="shared" si="13"/>
        <v>100</v>
      </c>
      <c r="V31" s="701" t="s">
        <v>18</v>
      </c>
      <c r="W31" s="702">
        <f t="shared" si="14"/>
        <v>100</v>
      </c>
      <c r="X31" s="1351"/>
      <c r="Y31" s="3696"/>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80" t="s">
        <v>1693</v>
      </c>
      <c r="Q32" s="1348" t="str">
        <f t="shared" si="11"/>
        <v>建筑类型</v>
      </c>
      <c r="R32" s="701" t="s">
        <v>18</v>
      </c>
      <c r="S32" s="702">
        <f t="shared" si="12"/>
        <v>100</v>
      </c>
      <c r="T32" s="701" t="s">
        <v>18</v>
      </c>
      <c r="U32" s="702">
        <f t="shared" si="13"/>
        <v>100</v>
      </c>
      <c r="V32" s="701" t="s">
        <v>18</v>
      </c>
      <c r="W32" s="702">
        <f t="shared" si="14"/>
        <v>100</v>
      </c>
      <c r="X32" s="1351"/>
      <c r="Y32" s="3698"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1"/>
      <c r="Q33" s="703" t="str">
        <f t="shared" si="11"/>
        <v>项目建筑规模</v>
      </c>
      <c r="R33" s="704" t="s">
        <v>18</v>
      </c>
      <c r="S33" s="705" t="e">
        <f t="shared" si="12"/>
        <v>#N/A</v>
      </c>
      <c r="T33" s="704" t="s">
        <v>18</v>
      </c>
      <c r="U33" s="705" t="e">
        <f t="shared" si="13"/>
        <v>#N/A</v>
      </c>
      <c r="V33" s="704" t="s">
        <v>18</v>
      </c>
      <c r="W33" s="705" t="e">
        <f t="shared" si="14"/>
        <v>#N/A</v>
      </c>
      <c r="X33" s="706"/>
      <c r="Y33" s="3698"/>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1"/>
      <c r="Q34" s="1348" t="str">
        <f t="shared" si="11"/>
        <v>建筑结构</v>
      </c>
      <c r="R34" s="701" t="s">
        <v>18</v>
      </c>
      <c r="S34" s="702">
        <f t="shared" si="12"/>
        <v>100</v>
      </c>
      <c r="T34" s="701" t="s">
        <v>18</v>
      </c>
      <c r="U34" s="702">
        <f t="shared" si="13"/>
        <v>100</v>
      </c>
      <c r="V34" s="701" t="s">
        <v>18</v>
      </c>
      <c r="W34" s="702">
        <f t="shared" si="14"/>
        <v>100</v>
      </c>
      <c r="X34" s="1351"/>
      <c r="Y34" s="3698"/>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1"/>
      <c r="Q35" s="1348" t="str">
        <f t="shared" si="11"/>
        <v>建筑品质</v>
      </c>
      <c r="R35" s="701" t="s">
        <v>18</v>
      </c>
      <c r="S35" s="702">
        <f t="shared" si="12"/>
        <v>100</v>
      </c>
      <c r="T35" s="701" t="s">
        <v>18</v>
      </c>
      <c r="U35" s="702">
        <f t="shared" si="13"/>
        <v>100</v>
      </c>
      <c r="V35" s="701" t="s">
        <v>18</v>
      </c>
      <c r="W35" s="702">
        <f t="shared" si="14"/>
        <v>100</v>
      </c>
      <c r="X35" s="1351"/>
      <c r="Y35" s="3698"/>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1"/>
      <c r="Q36" s="1348" t="str">
        <f t="shared" si="11"/>
        <v>公共部分装修</v>
      </c>
      <c r="R36" s="701" t="s">
        <v>18</v>
      </c>
      <c r="S36" s="702">
        <f t="shared" si="12"/>
        <v>100</v>
      </c>
      <c r="T36" s="701" t="s">
        <v>18</v>
      </c>
      <c r="U36" s="702">
        <f t="shared" si="13"/>
        <v>100</v>
      </c>
      <c r="V36" s="701" t="s">
        <v>18</v>
      </c>
      <c r="W36" s="702">
        <f t="shared" si="14"/>
        <v>100</v>
      </c>
      <c r="X36" s="1351"/>
      <c r="Y36" s="3698"/>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1"/>
      <c r="Q37" s="1339" t="str">
        <f t="shared" si="11"/>
        <v>成新度</v>
      </c>
      <c r="R37" s="697" t="s">
        <v>18</v>
      </c>
      <c r="S37" s="698" t="e">
        <f t="shared" si="12"/>
        <v>#N/A</v>
      </c>
      <c r="T37" s="697" t="s">
        <v>18</v>
      </c>
      <c r="U37" s="698" t="e">
        <f t="shared" si="13"/>
        <v>#N/A</v>
      </c>
      <c r="V37" s="697" t="s">
        <v>18</v>
      </c>
      <c r="W37" s="698" t="e">
        <f t="shared" si="14"/>
        <v>#N/A</v>
      </c>
      <c r="X37" s="699"/>
      <c r="Y37" s="3698"/>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1" t="s">
        <v>1693</v>
      </c>
      <c r="Q38" s="1348" t="str">
        <f t="shared" si="11"/>
        <v>物业管理</v>
      </c>
      <c r="R38" s="701" t="s">
        <v>18</v>
      </c>
      <c r="S38" s="702">
        <f t="shared" si="12"/>
        <v>100</v>
      </c>
      <c r="T38" s="701" t="s">
        <v>18</v>
      </c>
      <c r="U38" s="702">
        <f t="shared" si="13"/>
        <v>100</v>
      </c>
      <c r="V38" s="701" t="s">
        <v>18</v>
      </c>
      <c r="W38" s="702">
        <f t="shared" si="14"/>
        <v>100</v>
      </c>
      <c r="X38" s="1351"/>
      <c r="Y38" s="3698"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1"/>
      <c r="Q39" s="1348" t="str">
        <f t="shared" si="11"/>
        <v>市政基础设施</v>
      </c>
      <c r="R39" s="701" t="s">
        <v>18</v>
      </c>
      <c r="S39" s="702">
        <f t="shared" si="12"/>
        <v>100</v>
      </c>
      <c r="T39" s="701" t="s">
        <v>18</v>
      </c>
      <c r="U39" s="702">
        <f t="shared" si="13"/>
        <v>100</v>
      </c>
      <c r="V39" s="701" t="s">
        <v>18</v>
      </c>
      <c r="W39" s="702">
        <f t="shared" si="14"/>
        <v>100</v>
      </c>
      <c r="X39" s="1351"/>
      <c r="Y39" s="3698"/>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1"/>
      <c r="Q40" s="1348" t="str">
        <f t="shared" si="11"/>
        <v>房型</v>
      </c>
      <c r="R40" s="701" t="s">
        <v>18</v>
      </c>
      <c r="S40" s="702">
        <f t="shared" si="12"/>
        <v>100</v>
      </c>
      <c r="T40" s="701" t="s">
        <v>18</v>
      </c>
      <c r="U40" s="702">
        <f t="shared" si="13"/>
        <v>100</v>
      </c>
      <c r="V40" s="701" t="s">
        <v>18</v>
      </c>
      <c r="W40" s="702">
        <f t="shared" si="14"/>
        <v>100</v>
      </c>
      <c r="X40" s="1351"/>
      <c r="Y40" s="3698"/>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1"/>
      <c r="Q41" s="703" t="str">
        <f t="shared" si="11"/>
        <v>单套/主力户型建筑面积</v>
      </c>
      <c r="R41" s="704" t="s">
        <v>18</v>
      </c>
      <c r="S41" s="705">
        <f t="shared" si="12"/>
        <v>100</v>
      </c>
      <c r="T41" s="704" t="s">
        <v>18</v>
      </c>
      <c r="U41" s="705">
        <f t="shared" si="13"/>
        <v>100</v>
      </c>
      <c r="V41" s="704" t="s">
        <v>18</v>
      </c>
      <c r="W41" s="705">
        <f t="shared" si="14"/>
        <v>100</v>
      </c>
      <c r="X41" s="706"/>
      <c r="Y41" s="3698"/>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1"/>
      <c r="Q42" s="1348" t="str">
        <f t="shared" si="11"/>
        <v>内部装修</v>
      </c>
      <c r="R42" s="701" t="s">
        <v>18</v>
      </c>
      <c r="S42" s="702">
        <f t="shared" si="12"/>
        <v>100</v>
      </c>
      <c r="T42" s="701" t="s">
        <v>18</v>
      </c>
      <c r="U42" s="702">
        <f t="shared" si="13"/>
        <v>100</v>
      </c>
      <c r="V42" s="701" t="s">
        <v>18</v>
      </c>
      <c r="W42" s="702">
        <f t="shared" si="14"/>
        <v>100</v>
      </c>
      <c r="X42" s="1351"/>
      <c r="Y42" s="3698"/>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1"/>
      <c r="Q43" s="1348" t="str">
        <f t="shared" si="11"/>
        <v>内部装修维护情况</v>
      </c>
      <c r="R43" s="701" t="s">
        <v>18</v>
      </c>
      <c r="S43" s="702">
        <f t="shared" si="12"/>
        <v>100</v>
      </c>
      <c r="T43" s="701" t="s">
        <v>18</v>
      </c>
      <c r="U43" s="702">
        <f t="shared" si="13"/>
        <v>100</v>
      </c>
      <c r="V43" s="701" t="s">
        <v>18</v>
      </c>
      <c r="W43" s="702">
        <f t="shared" si="14"/>
        <v>100</v>
      </c>
      <c r="X43" s="1351"/>
      <c r="Y43" s="3698"/>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1"/>
      <c r="Q44" s="1339">
        <f t="shared" si="11"/>
        <v>111</v>
      </c>
      <c r="R44" s="697" t="s">
        <v>18</v>
      </c>
      <c r="S44" s="698">
        <f t="shared" si="12"/>
        <v>100</v>
      </c>
      <c r="T44" s="697" t="s">
        <v>18</v>
      </c>
      <c r="U44" s="698">
        <f t="shared" si="13"/>
        <v>100</v>
      </c>
      <c r="V44" s="697" t="s">
        <v>18</v>
      </c>
      <c r="W44" s="698">
        <f t="shared" si="14"/>
        <v>100</v>
      </c>
      <c r="X44" s="699"/>
      <c r="Y44" s="3698"/>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1"/>
      <c r="Q45" s="1348">
        <f t="shared" si="11"/>
        <v>111</v>
      </c>
      <c r="R45" s="701" t="s">
        <v>18</v>
      </c>
      <c r="S45" s="702">
        <f t="shared" si="12"/>
        <v>100</v>
      </c>
      <c r="T45" s="701" t="s">
        <v>18</v>
      </c>
      <c r="U45" s="702">
        <f t="shared" si="13"/>
        <v>100</v>
      </c>
      <c r="V45" s="701" t="s">
        <v>18</v>
      </c>
      <c r="W45" s="702">
        <f t="shared" si="14"/>
        <v>100</v>
      </c>
      <c r="X45" s="1351"/>
      <c r="Y45" s="3698"/>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2"/>
      <c r="Q46" s="1348">
        <f t="shared" si="11"/>
        <v>111</v>
      </c>
      <c r="R46" s="701" t="s">
        <v>17</v>
      </c>
      <c r="S46" s="702">
        <f t="shared" si="12"/>
        <v>100</v>
      </c>
      <c r="T46" s="701" t="s">
        <v>17</v>
      </c>
      <c r="U46" s="702">
        <f t="shared" si="13"/>
        <v>100</v>
      </c>
      <c r="V46" s="701" t="s">
        <v>17</v>
      </c>
      <c r="W46" s="702">
        <f t="shared" si="14"/>
        <v>100</v>
      </c>
      <c r="X46" s="1351"/>
      <c r="Y46" s="3783"/>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694" t="str">
        <f>A47</f>
        <v>成交单价（元/平方米）</v>
      </c>
      <c r="Q47" s="3694"/>
      <c r="R47" s="3779">
        <f>E47</f>
        <v>0</v>
      </c>
      <c r="S47" s="3779"/>
      <c r="T47" s="3779">
        <f>G47</f>
        <v>0</v>
      </c>
      <c r="U47" s="3779"/>
      <c r="V47" s="3779">
        <f>I47</f>
        <v>0</v>
      </c>
      <c r="W47" s="3779"/>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694" t="str">
        <f>A48</f>
        <v>比较价值（元/平方米）</v>
      </c>
      <c r="Q48" s="3694"/>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688" t="str">
        <f>A49</f>
        <v>估价对象XX用房的比较价值（楼面单价，元/平方米）</v>
      </c>
      <c r="Q49" s="3689"/>
      <c r="R49" s="3778" t="e">
        <f>IF(F1="售价",ROUND(IF(D48="简单平均",AVERAGE(R48:V48),R48*F48+T48*H48+V48*J48),0),ROUND(IF(D48="简单平均",AVERAGE(R48:V48),R48*F48+T48*H48+V48*J48),1))</f>
        <v>#DIV/0!</v>
      </c>
      <c r="S49" s="3778"/>
      <c r="T49" s="3778"/>
      <c r="U49" s="3778"/>
      <c r="V49" s="3778"/>
      <c r="W49" s="3778"/>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691" t="s">
        <v>1767</v>
      </c>
      <c r="D4" s="3703"/>
      <c r="E4" s="3704" t="s">
        <v>1768</v>
      </c>
      <c r="F4" s="3705"/>
      <c r="G4" s="3691" t="s">
        <v>1769</v>
      </c>
      <c r="H4" s="3703"/>
      <c r="I4" s="3691" t="s">
        <v>1770</v>
      </c>
      <c r="J4" s="3703"/>
      <c r="K4" s="556" t="s">
        <v>1771</v>
      </c>
      <c r="L4" s="2711"/>
      <c r="M4" s="2712"/>
      <c r="N4" s="2712"/>
      <c r="O4" s="2712"/>
      <c r="P4" s="3706" t="s">
        <v>1772</v>
      </c>
      <c r="Q4" s="3707"/>
      <c r="R4" s="3712" t="s">
        <v>1768</v>
      </c>
      <c r="S4" s="3713"/>
      <c r="T4" s="3712" t="s">
        <v>1769</v>
      </c>
      <c r="U4" s="3713"/>
      <c r="V4" s="3699" t="s">
        <v>1770</v>
      </c>
      <c r="W4" s="3699"/>
      <c r="X4" s="1351"/>
      <c r="Y4" s="3712" t="s">
        <v>1772</v>
      </c>
      <c r="Z4" s="3713"/>
      <c r="AA4" s="3700" t="s">
        <v>1768</v>
      </c>
      <c r="AB4" s="3699" t="s">
        <v>1769</v>
      </c>
      <c r="AC4" s="3700" t="s">
        <v>1770</v>
      </c>
    </row>
    <row r="5" spans="1:29" ht="15">
      <c r="A5" s="355"/>
      <c r="B5" s="356"/>
      <c r="C5" s="3720" t="s">
        <v>1670</v>
      </c>
      <c r="D5" s="3721"/>
      <c r="E5" s="3727" t="s">
        <v>1671</v>
      </c>
      <c r="F5" s="3728"/>
      <c r="G5" s="3720" t="s">
        <v>1672</v>
      </c>
      <c r="H5" s="3721"/>
      <c r="I5" s="3720" t="s">
        <v>1673</v>
      </c>
      <c r="J5" s="3721"/>
      <c r="K5" s="556"/>
      <c r="L5" s="2711"/>
      <c r="M5" s="2712"/>
      <c r="N5" s="2712"/>
      <c r="O5" s="2712"/>
      <c r="P5" s="3708"/>
      <c r="Q5" s="3709"/>
      <c r="R5" s="3714"/>
      <c r="S5" s="3715"/>
      <c r="T5" s="3714"/>
      <c r="U5" s="3715"/>
      <c r="V5" s="3699"/>
      <c r="W5" s="3699"/>
      <c r="X5" s="1351"/>
      <c r="Y5" s="3714"/>
      <c r="Z5" s="3715"/>
      <c r="AA5" s="3701"/>
      <c r="AB5" s="3699"/>
      <c r="AC5" s="3701"/>
    </row>
    <row r="6" spans="1:29" ht="15.75" thickBot="1">
      <c r="A6" s="357"/>
      <c r="B6" s="358"/>
      <c r="C6" s="3718" t="s">
        <v>1674</v>
      </c>
      <c r="D6" s="3719"/>
      <c r="E6" s="3725" t="s">
        <v>1674</v>
      </c>
      <c r="F6" s="3726"/>
      <c r="G6" s="3718" t="s">
        <v>1674</v>
      </c>
      <c r="H6" s="3719"/>
      <c r="I6" s="3718" t="s">
        <v>1674</v>
      </c>
      <c r="J6" s="3719"/>
      <c r="K6" s="556" t="s">
        <v>1675</v>
      </c>
      <c r="L6" s="2711"/>
      <c r="M6" s="2712"/>
      <c r="N6" s="2712"/>
      <c r="O6" s="2712"/>
      <c r="P6" s="3710"/>
      <c r="Q6" s="3711"/>
      <c r="R6" s="3714"/>
      <c r="S6" s="3715"/>
      <c r="T6" s="3716"/>
      <c r="U6" s="3717"/>
      <c r="V6" s="3699"/>
      <c r="W6" s="3699"/>
      <c r="X6" s="1351"/>
      <c r="Y6" s="3716"/>
      <c r="Z6" s="3717"/>
      <c r="AA6" s="3702"/>
      <c r="AB6" s="3699"/>
      <c r="AC6" s="3702"/>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722" t="s">
        <v>1677</v>
      </c>
      <c r="Q7" s="3724"/>
      <c r="R7" s="697" t="s">
        <v>14</v>
      </c>
      <c r="S7" s="698">
        <f t="shared" ref="S7:S15" si="0">F7</f>
        <v>0</v>
      </c>
      <c r="T7" s="697" t="s">
        <v>14</v>
      </c>
      <c r="U7" s="698">
        <f t="shared" ref="U7:U15" si="1">H7</f>
        <v>0</v>
      </c>
      <c r="V7" s="697" t="s">
        <v>14</v>
      </c>
      <c r="W7" s="698">
        <f t="shared" ref="W7:W15" si="2">J7</f>
        <v>0</v>
      </c>
      <c r="X7" s="699"/>
      <c r="Y7" s="3722" t="s">
        <v>1677</v>
      </c>
      <c r="Z7" s="3723"/>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722" t="s">
        <v>1680</v>
      </c>
      <c r="Q8" s="3723"/>
      <c r="R8" s="697" t="s">
        <v>14</v>
      </c>
      <c r="S8" s="698">
        <f t="shared" si="0"/>
        <v>100</v>
      </c>
      <c r="T8" s="697" t="s">
        <v>14</v>
      </c>
      <c r="U8" s="698">
        <f t="shared" si="1"/>
        <v>100</v>
      </c>
      <c r="V8" s="697" t="s">
        <v>14</v>
      </c>
      <c r="W8" s="698">
        <f t="shared" si="2"/>
        <v>100</v>
      </c>
      <c r="X8" s="699"/>
      <c r="Y8" s="3722" t="s">
        <v>1680</v>
      </c>
      <c r="Z8" s="3723"/>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693"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693"/>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693"/>
      <c r="Q11" s="1339" t="str">
        <f t="shared" si="6"/>
        <v>容积率</v>
      </c>
      <c r="R11" s="697" t="s">
        <v>14</v>
      </c>
      <c r="S11" s="698" t="e">
        <f t="shared" si="0"/>
        <v>#N/A</v>
      </c>
      <c r="T11" s="697" t="s">
        <v>14</v>
      </c>
      <c r="U11" s="698" t="e">
        <f t="shared" si="1"/>
        <v>#N/A</v>
      </c>
      <c r="V11" s="697" t="s">
        <v>14</v>
      </c>
      <c r="W11" s="698" t="e">
        <f t="shared" si="2"/>
        <v>#N/A</v>
      </c>
      <c r="X11" s="699"/>
      <c r="Y11" s="3591"/>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693"/>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693"/>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693"/>
      <c r="Q14" s="1339">
        <f t="shared" si="6"/>
        <v>111</v>
      </c>
      <c r="R14" s="697" t="s">
        <v>14</v>
      </c>
      <c r="S14" s="698">
        <f t="shared" si="0"/>
        <v>100</v>
      </c>
      <c r="T14" s="697" t="s">
        <v>14</v>
      </c>
      <c r="U14" s="698">
        <f t="shared" si="1"/>
        <v>100</v>
      </c>
      <c r="V14" s="697" t="s">
        <v>14</v>
      </c>
      <c r="W14" s="698">
        <f t="shared" si="2"/>
        <v>100</v>
      </c>
      <c r="X14" s="699"/>
      <c r="Y14" s="3591"/>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4" t="s">
        <v>1688</v>
      </c>
      <c r="Q15" s="1348" t="str">
        <f t="shared" si="6"/>
        <v>商业繁华度</v>
      </c>
      <c r="R15" s="701" t="s">
        <v>14</v>
      </c>
      <c r="S15" s="702">
        <f t="shared" si="0"/>
        <v>100</v>
      </c>
      <c r="T15" s="701" t="s">
        <v>14</v>
      </c>
      <c r="U15" s="702">
        <f t="shared" si="1"/>
        <v>100</v>
      </c>
      <c r="V15" s="701" t="s">
        <v>14</v>
      </c>
      <c r="W15" s="702">
        <f t="shared" si="2"/>
        <v>100</v>
      </c>
      <c r="X15" s="1351"/>
      <c r="Y15" s="3695"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5"/>
      <c r="Q16" s="1348"/>
      <c r="R16" s="701"/>
      <c r="S16" s="702"/>
      <c r="T16" s="701"/>
      <c r="U16" s="702"/>
      <c r="V16" s="701"/>
      <c r="W16" s="702"/>
      <c r="X16" s="1351"/>
      <c r="Y16" s="3696"/>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5"/>
      <c r="Q17" s="1348" t="str">
        <f>B17</f>
        <v>交通便捷度</v>
      </c>
      <c r="R17" s="701" t="s">
        <v>14</v>
      </c>
      <c r="S17" s="702">
        <f>F17</f>
        <v>100</v>
      </c>
      <c r="T17" s="701" t="s">
        <v>14</v>
      </c>
      <c r="U17" s="702">
        <f>H17</f>
        <v>100</v>
      </c>
      <c r="V17" s="701" t="s">
        <v>14</v>
      </c>
      <c r="W17" s="702">
        <f>J17</f>
        <v>100</v>
      </c>
      <c r="X17" s="1351"/>
      <c r="Y17" s="3696"/>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5"/>
      <c r="Q18" s="1348"/>
      <c r="R18" s="701"/>
      <c r="S18" s="702"/>
      <c r="T18" s="701"/>
      <c r="U18" s="702"/>
      <c r="V18" s="701"/>
      <c r="W18" s="702"/>
      <c r="X18" s="1351"/>
      <c r="Y18" s="3696"/>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5"/>
      <c r="Q19" s="1348" t="str">
        <f>B19</f>
        <v>公共配套设施</v>
      </c>
      <c r="R19" s="701" t="s">
        <v>14</v>
      </c>
      <c r="S19" s="702">
        <f>F19</f>
        <v>100</v>
      </c>
      <c r="T19" s="701" t="s">
        <v>14</v>
      </c>
      <c r="U19" s="702">
        <f>H19</f>
        <v>100</v>
      </c>
      <c r="V19" s="701" t="s">
        <v>14</v>
      </c>
      <c r="W19" s="702">
        <f>J19</f>
        <v>100</v>
      </c>
      <c r="X19" s="1351"/>
      <c r="Y19" s="3696"/>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5"/>
      <c r="Q20" s="1348"/>
      <c r="R20" s="701"/>
      <c r="S20" s="702"/>
      <c r="T20" s="701"/>
      <c r="U20" s="702"/>
      <c r="V20" s="701"/>
      <c r="W20" s="702"/>
      <c r="X20" s="1351"/>
      <c r="Y20" s="3696"/>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5"/>
      <c r="Q21" s="1348" t="str">
        <f>B21</f>
        <v>基础设施水平</v>
      </c>
      <c r="R21" s="701" t="s">
        <v>14</v>
      </c>
      <c r="S21" s="702">
        <f>F21</f>
        <v>100</v>
      </c>
      <c r="T21" s="701" t="s">
        <v>14</v>
      </c>
      <c r="U21" s="702">
        <f>H21</f>
        <v>100</v>
      </c>
      <c r="V21" s="701" t="s">
        <v>14</v>
      </c>
      <c r="W21" s="702">
        <f>J21</f>
        <v>100</v>
      </c>
      <c r="X21" s="1351"/>
      <c r="Y21" s="3696"/>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5"/>
      <c r="Q22" s="1348"/>
      <c r="R22" s="701"/>
      <c r="S22" s="702"/>
      <c r="T22" s="701"/>
      <c r="U22" s="702"/>
      <c r="V22" s="701"/>
      <c r="W22" s="702"/>
      <c r="X22" s="1351"/>
      <c r="Y22" s="3696"/>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5"/>
      <c r="Q23" s="1348" t="str">
        <f>B23</f>
        <v>自然及人文环境</v>
      </c>
      <c r="R23" s="701" t="s">
        <v>14</v>
      </c>
      <c r="S23" s="702">
        <f>F23</f>
        <v>100</v>
      </c>
      <c r="T23" s="701" t="s">
        <v>14</v>
      </c>
      <c r="U23" s="702">
        <f>H23</f>
        <v>100</v>
      </c>
      <c r="V23" s="701" t="s">
        <v>14</v>
      </c>
      <c r="W23" s="702">
        <f>J23</f>
        <v>100</v>
      </c>
      <c r="X23" s="1351"/>
      <c r="Y23" s="3696"/>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5"/>
      <c r="Q24" s="1348"/>
      <c r="R24" s="701"/>
      <c r="S24" s="702"/>
      <c r="T24" s="701"/>
      <c r="U24" s="702"/>
      <c r="V24" s="701"/>
      <c r="W24" s="702"/>
      <c r="X24" s="1351"/>
      <c r="Y24" s="3696"/>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5"/>
      <c r="Q25" s="1348" t="str">
        <f t="shared" ref="Q25:Q46" si="11">B25</f>
        <v>临街状况</v>
      </c>
      <c r="R25" s="701" t="s">
        <v>14</v>
      </c>
      <c r="S25" s="702">
        <f>F25</f>
        <v>100</v>
      </c>
      <c r="T25" s="701" t="s">
        <v>14</v>
      </c>
      <c r="U25" s="702">
        <f>H25</f>
        <v>100</v>
      </c>
      <c r="V25" s="701" t="s">
        <v>14</v>
      </c>
      <c r="W25" s="702">
        <f>J25</f>
        <v>100</v>
      </c>
      <c r="X25" s="1351"/>
      <c r="Y25" s="3696"/>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5"/>
      <c r="Q26" s="1348" t="str">
        <f t="shared" si="11"/>
        <v>平面位置/可视性</v>
      </c>
      <c r="R26" s="701" t="s">
        <v>14</v>
      </c>
      <c r="S26" s="702">
        <f>F26</f>
        <v>100</v>
      </c>
      <c r="T26" s="701" t="s">
        <v>14</v>
      </c>
      <c r="U26" s="702">
        <f>H26</f>
        <v>100</v>
      </c>
      <c r="V26" s="701" t="s">
        <v>14</v>
      </c>
      <c r="W26" s="702">
        <f>J26</f>
        <v>100</v>
      </c>
      <c r="X26" s="1351"/>
      <c r="Y26" s="3696"/>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5"/>
      <c r="Q27" s="1339" t="str">
        <f t="shared" si="11"/>
        <v>人流量</v>
      </c>
      <c r="R27" s="697" t="s">
        <v>14</v>
      </c>
      <c r="S27" s="698">
        <f>F27</f>
        <v>100</v>
      </c>
      <c r="T27" s="697" t="s">
        <v>14</v>
      </c>
      <c r="U27" s="698">
        <f>H27</f>
        <v>100</v>
      </c>
      <c r="V27" s="697" t="s">
        <v>14</v>
      </c>
      <c r="W27" s="698">
        <f>J27</f>
        <v>100</v>
      </c>
      <c r="X27" s="699"/>
      <c r="Y27" s="3696"/>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5"/>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96"/>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5"/>
      <c r="Q29" s="1348">
        <f t="shared" si="11"/>
        <v>111</v>
      </c>
      <c r="R29" s="701" t="s">
        <v>14</v>
      </c>
      <c r="S29" s="702">
        <f t="shared" si="12"/>
        <v>100</v>
      </c>
      <c r="T29" s="701" t="s">
        <v>14</v>
      </c>
      <c r="U29" s="702">
        <f t="shared" si="13"/>
        <v>100</v>
      </c>
      <c r="V29" s="701" t="s">
        <v>14</v>
      </c>
      <c r="W29" s="702">
        <f t="shared" si="14"/>
        <v>100</v>
      </c>
      <c r="X29" s="1351"/>
      <c r="Y29" s="3696"/>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5"/>
      <c r="Q30" s="1348">
        <f t="shared" si="11"/>
        <v>111</v>
      </c>
      <c r="R30" s="701" t="s">
        <v>14</v>
      </c>
      <c r="S30" s="702">
        <f t="shared" si="12"/>
        <v>100</v>
      </c>
      <c r="T30" s="701" t="s">
        <v>14</v>
      </c>
      <c r="U30" s="702">
        <f t="shared" si="13"/>
        <v>100</v>
      </c>
      <c r="V30" s="701" t="s">
        <v>14</v>
      </c>
      <c r="W30" s="702">
        <f t="shared" si="14"/>
        <v>100</v>
      </c>
      <c r="X30" s="1351"/>
      <c r="Y30" s="3696"/>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5"/>
      <c r="Q31" s="1348">
        <f t="shared" si="11"/>
        <v>111</v>
      </c>
      <c r="R31" s="701" t="s">
        <v>14</v>
      </c>
      <c r="S31" s="702">
        <f t="shared" si="12"/>
        <v>100</v>
      </c>
      <c r="T31" s="701" t="s">
        <v>14</v>
      </c>
      <c r="U31" s="702">
        <f t="shared" si="13"/>
        <v>100</v>
      </c>
      <c r="V31" s="701" t="s">
        <v>14</v>
      </c>
      <c r="W31" s="702">
        <f t="shared" si="14"/>
        <v>100</v>
      </c>
      <c r="X31" s="1351"/>
      <c r="Y31" s="3696"/>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80" t="s">
        <v>1693</v>
      </c>
      <c r="Q32" s="1348" t="str">
        <f t="shared" si="11"/>
        <v>商业类型</v>
      </c>
      <c r="R32" s="701" t="s">
        <v>14</v>
      </c>
      <c r="S32" s="702">
        <f t="shared" si="12"/>
        <v>100</v>
      </c>
      <c r="T32" s="701" t="s">
        <v>14</v>
      </c>
      <c r="U32" s="702">
        <f t="shared" si="13"/>
        <v>100</v>
      </c>
      <c r="V32" s="701" t="s">
        <v>14</v>
      </c>
      <c r="W32" s="702">
        <f t="shared" si="14"/>
        <v>100</v>
      </c>
      <c r="X32" s="1351"/>
      <c r="Y32" s="3698"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1"/>
      <c r="Q33" s="703" t="str">
        <f t="shared" si="11"/>
        <v>项目建筑规模</v>
      </c>
      <c r="R33" s="704" t="s">
        <v>14</v>
      </c>
      <c r="S33" s="705" t="e">
        <f t="shared" si="12"/>
        <v>#N/A</v>
      </c>
      <c r="T33" s="704" t="s">
        <v>14</v>
      </c>
      <c r="U33" s="705" t="e">
        <f t="shared" si="13"/>
        <v>#N/A</v>
      </c>
      <c r="V33" s="704" t="s">
        <v>14</v>
      </c>
      <c r="W33" s="705" t="e">
        <f t="shared" si="14"/>
        <v>#N/A</v>
      </c>
      <c r="X33" s="706"/>
      <c r="Y33" s="3698"/>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1"/>
      <c r="Q34" s="1348" t="str">
        <f t="shared" si="11"/>
        <v>建筑结构</v>
      </c>
      <c r="R34" s="701" t="s">
        <v>14</v>
      </c>
      <c r="S34" s="702">
        <f t="shared" si="12"/>
        <v>100</v>
      </c>
      <c r="T34" s="701" t="s">
        <v>14</v>
      </c>
      <c r="U34" s="702">
        <f t="shared" si="13"/>
        <v>100</v>
      </c>
      <c r="V34" s="701" t="s">
        <v>14</v>
      </c>
      <c r="W34" s="702">
        <f t="shared" si="14"/>
        <v>100</v>
      </c>
      <c r="X34" s="1351"/>
      <c r="Y34" s="3698"/>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1"/>
      <c r="Q35" s="1348" t="str">
        <f t="shared" si="11"/>
        <v>公共部分装修</v>
      </c>
      <c r="R35" s="701" t="s">
        <v>14</v>
      </c>
      <c r="S35" s="702">
        <f t="shared" si="12"/>
        <v>100</v>
      </c>
      <c r="T35" s="701" t="s">
        <v>14</v>
      </c>
      <c r="U35" s="702">
        <f t="shared" si="13"/>
        <v>100</v>
      </c>
      <c r="V35" s="701" t="s">
        <v>14</v>
      </c>
      <c r="W35" s="702">
        <f t="shared" si="14"/>
        <v>100</v>
      </c>
      <c r="X35" s="1351"/>
      <c r="Y35" s="3698"/>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1"/>
      <c r="Q36" s="1348" t="str">
        <f t="shared" si="11"/>
        <v>成新度</v>
      </c>
      <c r="R36" s="701" t="s">
        <v>14</v>
      </c>
      <c r="S36" s="702" t="e">
        <f t="shared" si="12"/>
        <v>#N/A</v>
      </c>
      <c r="T36" s="701" t="s">
        <v>14</v>
      </c>
      <c r="U36" s="702" t="e">
        <f t="shared" si="13"/>
        <v>#N/A</v>
      </c>
      <c r="V36" s="701" t="s">
        <v>14</v>
      </c>
      <c r="W36" s="702" t="e">
        <f t="shared" si="14"/>
        <v>#N/A</v>
      </c>
      <c r="X36" s="1351"/>
      <c r="Y36" s="3698"/>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1"/>
      <c r="Q37" s="1339" t="str">
        <f t="shared" si="11"/>
        <v>市政基础设施</v>
      </c>
      <c r="R37" s="697" t="s">
        <v>14</v>
      </c>
      <c r="S37" s="698">
        <f t="shared" si="12"/>
        <v>100</v>
      </c>
      <c r="T37" s="697" t="s">
        <v>14</v>
      </c>
      <c r="U37" s="698">
        <f t="shared" si="13"/>
        <v>100</v>
      </c>
      <c r="V37" s="697" t="s">
        <v>14</v>
      </c>
      <c r="W37" s="698">
        <f t="shared" si="14"/>
        <v>100</v>
      </c>
      <c r="X37" s="699"/>
      <c r="Y37" s="3698"/>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1" t="s">
        <v>1693</v>
      </c>
      <c r="Q38" s="1348" t="str">
        <f t="shared" si="11"/>
        <v>业态</v>
      </c>
      <c r="R38" s="701" t="s">
        <v>14</v>
      </c>
      <c r="S38" s="702">
        <f t="shared" si="12"/>
        <v>100</v>
      </c>
      <c r="T38" s="701" t="s">
        <v>14</v>
      </c>
      <c r="U38" s="702">
        <f t="shared" si="13"/>
        <v>100</v>
      </c>
      <c r="V38" s="701" t="s">
        <v>14</v>
      </c>
      <c r="W38" s="702">
        <f t="shared" si="14"/>
        <v>100</v>
      </c>
      <c r="X38" s="1351"/>
      <c r="Y38" s="3698"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1"/>
      <c r="Q39" s="1348" t="str">
        <f t="shared" si="11"/>
        <v>层高</v>
      </c>
      <c r="R39" s="701" t="s">
        <v>14</v>
      </c>
      <c r="S39" s="702">
        <f t="shared" si="12"/>
        <v>100</v>
      </c>
      <c r="T39" s="701" t="s">
        <v>14</v>
      </c>
      <c r="U39" s="702">
        <f t="shared" si="13"/>
        <v>100</v>
      </c>
      <c r="V39" s="701" t="s">
        <v>14</v>
      </c>
      <c r="W39" s="702">
        <f t="shared" si="14"/>
        <v>100</v>
      </c>
      <c r="X39" s="1351"/>
      <c r="Y39" s="3698"/>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1"/>
      <c r="Q40" s="1348" t="str">
        <f t="shared" si="11"/>
        <v>单套建筑面积</v>
      </c>
      <c r="R40" s="701" t="s">
        <v>14</v>
      </c>
      <c r="S40" s="702">
        <f t="shared" si="12"/>
        <v>100</v>
      </c>
      <c r="T40" s="701" t="s">
        <v>14</v>
      </c>
      <c r="U40" s="702">
        <f t="shared" si="13"/>
        <v>100</v>
      </c>
      <c r="V40" s="701" t="s">
        <v>14</v>
      </c>
      <c r="W40" s="702">
        <f t="shared" si="14"/>
        <v>100</v>
      </c>
      <c r="X40" s="1351"/>
      <c r="Y40" s="3698"/>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1"/>
      <c r="Q41" s="703" t="str">
        <f t="shared" si="11"/>
        <v>进深比</v>
      </c>
      <c r="R41" s="704" t="s">
        <v>14</v>
      </c>
      <c r="S41" s="705">
        <f t="shared" si="12"/>
        <v>100</v>
      </c>
      <c r="T41" s="704" t="s">
        <v>14</v>
      </c>
      <c r="U41" s="705">
        <f t="shared" si="13"/>
        <v>100</v>
      </c>
      <c r="V41" s="704" t="s">
        <v>14</v>
      </c>
      <c r="W41" s="705">
        <f t="shared" si="14"/>
        <v>100</v>
      </c>
      <c r="X41" s="706"/>
      <c r="Y41" s="3698"/>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1"/>
      <c r="Q42" s="1348" t="str">
        <f t="shared" si="11"/>
        <v>内部装修</v>
      </c>
      <c r="R42" s="701" t="s">
        <v>14</v>
      </c>
      <c r="S42" s="702">
        <f t="shared" si="12"/>
        <v>100</v>
      </c>
      <c r="T42" s="701" t="s">
        <v>14</v>
      </c>
      <c r="U42" s="702">
        <f t="shared" si="13"/>
        <v>100</v>
      </c>
      <c r="V42" s="701" t="s">
        <v>14</v>
      </c>
      <c r="W42" s="702">
        <f t="shared" si="14"/>
        <v>100</v>
      </c>
      <c r="X42" s="1351"/>
      <c r="Y42" s="3698"/>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1"/>
      <c r="Q43" s="1348" t="str">
        <f t="shared" si="11"/>
        <v>内部装修维护情况</v>
      </c>
      <c r="R43" s="701" t="s">
        <v>14</v>
      </c>
      <c r="S43" s="702">
        <f t="shared" si="12"/>
        <v>100</v>
      </c>
      <c r="T43" s="701" t="s">
        <v>14</v>
      </c>
      <c r="U43" s="702">
        <f t="shared" si="13"/>
        <v>100</v>
      </c>
      <c r="V43" s="701" t="s">
        <v>14</v>
      </c>
      <c r="W43" s="702">
        <f t="shared" si="14"/>
        <v>100</v>
      </c>
      <c r="X43" s="1351"/>
      <c r="Y43" s="3698"/>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1"/>
      <c r="Q44" s="1339">
        <f t="shared" si="11"/>
        <v>111</v>
      </c>
      <c r="R44" s="697" t="s">
        <v>14</v>
      </c>
      <c r="S44" s="698">
        <f t="shared" si="12"/>
        <v>100</v>
      </c>
      <c r="T44" s="697" t="s">
        <v>14</v>
      </c>
      <c r="U44" s="698">
        <f t="shared" si="13"/>
        <v>100</v>
      </c>
      <c r="V44" s="697" t="s">
        <v>14</v>
      </c>
      <c r="W44" s="698">
        <f t="shared" si="14"/>
        <v>100</v>
      </c>
      <c r="X44" s="699"/>
      <c r="Y44" s="3698"/>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1"/>
      <c r="Q45" s="1348">
        <f t="shared" si="11"/>
        <v>111</v>
      </c>
      <c r="R45" s="701" t="s">
        <v>14</v>
      </c>
      <c r="S45" s="702">
        <f t="shared" si="12"/>
        <v>100</v>
      </c>
      <c r="T45" s="701" t="s">
        <v>14</v>
      </c>
      <c r="U45" s="702">
        <f t="shared" si="13"/>
        <v>100</v>
      </c>
      <c r="V45" s="701" t="s">
        <v>14</v>
      </c>
      <c r="W45" s="702">
        <f t="shared" si="14"/>
        <v>100</v>
      </c>
      <c r="X45" s="1351"/>
      <c r="Y45" s="3698"/>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2"/>
      <c r="Q46" s="1348">
        <f t="shared" si="11"/>
        <v>111</v>
      </c>
      <c r="R46" s="701" t="s">
        <v>14</v>
      </c>
      <c r="S46" s="702">
        <f t="shared" si="12"/>
        <v>100</v>
      </c>
      <c r="T46" s="701" t="s">
        <v>14</v>
      </c>
      <c r="U46" s="702">
        <f t="shared" si="13"/>
        <v>100</v>
      </c>
      <c r="V46" s="701" t="s">
        <v>14</v>
      </c>
      <c r="W46" s="702">
        <f t="shared" si="14"/>
        <v>100</v>
      </c>
      <c r="X46" s="1351"/>
      <c r="Y46" s="3783"/>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694" t="str">
        <f>A47</f>
        <v>成交单价（元/平方米）</v>
      </c>
      <c r="Q47" s="3694"/>
      <c r="R47" s="3699">
        <f>E47</f>
        <v>0</v>
      </c>
      <c r="S47" s="3699"/>
      <c r="T47" s="3699">
        <f>G47</f>
        <v>0</v>
      </c>
      <c r="U47" s="3699"/>
      <c r="V47" s="3699">
        <f>I47</f>
        <v>0</v>
      </c>
      <c r="W47" s="3699"/>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694" t="str">
        <f>A48</f>
        <v>比较价值（元/平方米）</v>
      </c>
      <c r="Q48" s="3694"/>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688" t="str">
        <f>A49</f>
        <v>估价对象XX用房的比较价值（楼面单价，元/平方米）</v>
      </c>
      <c r="Q49" s="3689"/>
      <c r="R49" s="3778" t="e">
        <f>IF(F1="售价",ROUND(IF(D48="简单平均",AVERAGE(R48:V48),R48*F48+T48*H48+V48*J48),0),ROUND(IF(D48="简单平均",AVERAGE(R48:V48),R48*F48+T48*H48+V48*J48),1))</f>
        <v>#DIV/0!</v>
      </c>
      <c r="S49" s="3778"/>
      <c r="T49" s="3778"/>
      <c r="U49" s="3778"/>
      <c r="V49" s="3778"/>
      <c r="W49" s="3778"/>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691" t="s">
        <v>1767</v>
      </c>
      <c r="D4" s="3703"/>
      <c r="E4" s="3704" t="s">
        <v>1768</v>
      </c>
      <c r="F4" s="3705"/>
      <c r="G4" s="3691" t="s">
        <v>1769</v>
      </c>
      <c r="H4" s="3703"/>
      <c r="I4" s="3691" t="s">
        <v>1770</v>
      </c>
      <c r="J4" s="3703"/>
      <c r="K4" s="556" t="s">
        <v>1771</v>
      </c>
      <c r="L4" s="2711"/>
      <c r="M4" s="2712"/>
      <c r="N4" s="2712"/>
      <c r="O4" s="2712"/>
      <c r="P4" s="3792" t="s">
        <v>1772</v>
      </c>
      <c r="Q4" s="3793"/>
      <c r="R4" s="3796" t="s">
        <v>1768</v>
      </c>
      <c r="S4" s="3797"/>
      <c r="T4" s="3796" t="s">
        <v>1769</v>
      </c>
      <c r="U4" s="3797"/>
      <c r="V4" s="3798" t="s">
        <v>1770</v>
      </c>
      <c r="W4" s="3798"/>
      <c r="X4" s="1954"/>
      <c r="Y4" s="3796" t="s">
        <v>1772</v>
      </c>
      <c r="Z4" s="3797"/>
      <c r="AA4" s="3800" t="s">
        <v>1768</v>
      </c>
      <c r="AB4" s="3800" t="s">
        <v>1769</v>
      </c>
      <c r="AC4" s="3789" t="s">
        <v>1770</v>
      </c>
    </row>
    <row r="5" spans="1:29" ht="15">
      <c r="A5" s="355"/>
      <c r="B5" s="356"/>
      <c r="C5" s="3720" t="s">
        <v>1670</v>
      </c>
      <c r="D5" s="3721"/>
      <c r="E5" s="3727" t="s">
        <v>1671</v>
      </c>
      <c r="F5" s="3728"/>
      <c r="G5" s="3720" t="s">
        <v>1672</v>
      </c>
      <c r="H5" s="3721"/>
      <c r="I5" s="3720" t="s">
        <v>1673</v>
      </c>
      <c r="J5" s="3721"/>
      <c r="K5" s="556"/>
      <c r="L5" s="2711"/>
      <c r="M5" s="2712"/>
      <c r="N5" s="2712"/>
      <c r="O5" s="2712"/>
      <c r="P5" s="3794"/>
      <c r="Q5" s="3709"/>
      <c r="R5" s="3714"/>
      <c r="S5" s="3715"/>
      <c r="T5" s="3714"/>
      <c r="U5" s="3715"/>
      <c r="V5" s="3699"/>
      <c r="W5" s="3699"/>
      <c r="X5" s="1351"/>
      <c r="Y5" s="3714"/>
      <c r="Z5" s="3715"/>
      <c r="AA5" s="3701"/>
      <c r="AB5" s="3701"/>
      <c r="AC5" s="3790"/>
    </row>
    <row r="6" spans="1:29" ht="15.75" thickBot="1">
      <c r="A6" s="357"/>
      <c r="B6" s="358"/>
      <c r="C6" s="3718" t="s">
        <v>1674</v>
      </c>
      <c r="D6" s="3719"/>
      <c r="E6" s="3725" t="s">
        <v>1674</v>
      </c>
      <c r="F6" s="3726"/>
      <c r="G6" s="3718" t="s">
        <v>1674</v>
      </c>
      <c r="H6" s="3719"/>
      <c r="I6" s="3718" t="s">
        <v>1674</v>
      </c>
      <c r="J6" s="3719"/>
      <c r="K6" s="556" t="s">
        <v>1675</v>
      </c>
      <c r="L6" s="2711"/>
      <c r="M6" s="2712"/>
      <c r="N6" s="2712"/>
      <c r="O6" s="2712"/>
      <c r="P6" s="3795"/>
      <c r="Q6" s="3711"/>
      <c r="R6" s="3714"/>
      <c r="S6" s="3715"/>
      <c r="T6" s="3716"/>
      <c r="U6" s="3717"/>
      <c r="V6" s="3699"/>
      <c r="W6" s="3699"/>
      <c r="X6" s="1351"/>
      <c r="Y6" s="3716"/>
      <c r="Z6" s="3717"/>
      <c r="AA6" s="3702"/>
      <c r="AB6" s="3702"/>
      <c r="AC6" s="3791"/>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799" t="s">
        <v>1677</v>
      </c>
      <c r="Q7" s="3724"/>
      <c r="R7" s="697" t="s">
        <v>14</v>
      </c>
      <c r="S7" s="698">
        <f t="shared" ref="S7:S15" si="0">F7</f>
        <v>0</v>
      </c>
      <c r="T7" s="697" t="s">
        <v>14</v>
      </c>
      <c r="U7" s="698">
        <f t="shared" ref="U7:U15" si="1">H7</f>
        <v>0</v>
      </c>
      <c r="V7" s="697" t="s">
        <v>14</v>
      </c>
      <c r="W7" s="698">
        <f t="shared" ref="W7:W15" si="2">J7</f>
        <v>0</v>
      </c>
      <c r="X7" s="699"/>
      <c r="Y7" s="3722" t="s">
        <v>1677</v>
      </c>
      <c r="Z7" s="3723"/>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799" t="s">
        <v>1680</v>
      </c>
      <c r="Q8" s="3723"/>
      <c r="R8" s="697" t="s">
        <v>14</v>
      </c>
      <c r="S8" s="698">
        <f t="shared" si="0"/>
        <v>100</v>
      </c>
      <c r="T8" s="697" t="s">
        <v>14</v>
      </c>
      <c r="U8" s="698">
        <f t="shared" si="1"/>
        <v>100</v>
      </c>
      <c r="V8" s="697" t="s">
        <v>14</v>
      </c>
      <c r="W8" s="698">
        <f t="shared" si="2"/>
        <v>100</v>
      </c>
      <c r="X8" s="699"/>
      <c r="Y8" s="3722" t="s">
        <v>1680</v>
      </c>
      <c r="Z8" s="3723"/>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693"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693"/>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693"/>
      <c r="Q11" s="1339" t="str">
        <f t="shared" si="6"/>
        <v>容积率</v>
      </c>
      <c r="R11" s="697" t="s">
        <v>14</v>
      </c>
      <c r="S11" s="698">
        <f t="shared" si="0"/>
        <v>100</v>
      </c>
      <c r="T11" s="697" t="s">
        <v>14</v>
      </c>
      <c r="U11" s="698">
        <f t="shared" si="1"/>
        <v>100</v>
      </c>
      <c r="V11" s="697" t="s">
        <v>14</v>
      </c>
      <c r="W11" s="698">
        <f t="shared" si="2"/>
        <v>100</v>
      </c>
      <c r="X11" s="699"/>
      <c r="Y11" s="3591"/>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693"/>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693"/>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693"/>
      <c r="Q14" s="1339">
        <f t="shared" si="6"/>
        <v>111</v>
      </c>
      <c r="R14" s="697" t="s">
        <v>14</v>
      </c>
      <c r="S14" s="698">
        <f t="shared" si="0"/>
        <v>100</v>
      </c>
      <c r="T14" s="697" t="s">
        <v>14</v>
      </c>
      <c r="U14" s="698">
        <f t="shared" si="1"/>
        <v>100</v>
      </c>
      <c r="V14" s="697" t="s">
        <v>14</v>
      </c>
      <c r="W14" s="698">
        <f t="shared" si="2"/>
        <v>100</v>
      </c>
      <c r="X14" s="699"/>
      <c r="Y14" s="3591"/>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4" t="s">
        <v>1688</v>
      </c>
      <c r="Q15" s="1348" t="str">
        <f t="shared" si="6"/>
        <v>办公集聚程度</v>
      </c>
      <c r="R15" s="701" t="s">
        <v>14</v>
      </c>
      <c r="S15" s="702">
        <f t="shared" si="0"/>
        <v>100</v>
      </c>
      <c r="T15" s="701" t="s">
        <v>14</v>
      </c>
      <c r="U15" s="702">
        <f t="shared" si="1"/>
        <v>100</v>
      </c>
      <c r="V15" s="701" t="s">
        <v>14</v>
      </c>
      <c r="W15" s="702">
        <f t="shared" si="2"/>
        <v>100</v>
      </c>
      <c r="X15" s="1351"/>
      <c r="Y15" s="3695"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5"/>
      <c r="Q16" s="1348"/>
      <c r="R16" s="701"/>
      <c r="S16" s="702"/>
      <c r="T16" s="701"/>
      <c r="U16" s="702"/>
      <c r="V16" s="701"/>
      <c r="W16" s="702"/>
      <c r="X16" s="1351"/>
      <c r="Y16" s="3696"/>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5"/>
      <c r="Q17" s="1348" t="str">
        <f>B17</f>
        <v>交通便捷度</v>
      </c>
      <c r="R17" s="701" t="s">
        <v>14</v>
      </c>
      <c r="S17" s="702">
        <f>F17</f>
        <v>100</v>
      </c>
      <c r="T17" s="701" t="s">
        <v>14</v>
      </c>
      <c r="U17" s="702">
        <f>H17</f>
        <v>100</v>
      </c>
      <c r="V17" s="701" t="s">
        <v>14</v>
      </c>
      <c r="W17" s="702">
        <f>J17</f>
        <v>100</v>
      </c>
      <c r="X17" s="1351"/>
      <c r="Y17" s="3696"/>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5"/>
      <c r="Q18" s="1348"/>
      <c r="R18" s="701"/>
      <c r="S18" s="702"/>
      <c r="T18" s="701"/>
      <c r="U18" s="702"/>
      <c r="V18" s="701"/>
      <c r="W18" s="702"/>
      <c r="X18" s="1351"/>
      <c r="Y18" s="3696"/>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5"/>
      <c r="Q19" s="1348" t="str">
        <f>B19</f>
        <v>公共配套设施</v>
      </c>
      <c r="R19" s="701" t="s">
        <v>14</v>
      </c>
      <c r="S19" s="702">
        <f>F19</f>
        <v>100</v>
      </c>
      <c r="T19" s="701" t="s">
        <v>14</v>
      </c>
      <c r="U19" s="702">
        <f>H19</f>
        <v>100</v>
      </c>
      <c r="V19" s="701" t="s">
        <v>14</v>
      </c>
      <c r="W19" s="702">
        <f>J19</f>
        <v>100</v>
      </c>
      <c r="X19" s="1351"/>
      <c r="Y19" s="3696"/>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5"/>
      <c r="Q20" s="1348"/>
      <c r="R20" s="701"/>
      <c r="S20" s="702"/>
      <c r="T20" s="701"/>
      <c r="U20" s="702"/>
      <c r="V20" s="701"/>
      <c r="W20" s="702"/>
      <c r="X20" s="1351"/>
      <c r="Y20" s="3696"/>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5"/>
      <c r="Q21" s="1348" t="str">
        <f>B21</f>
        <v>基础设施水平</v>
      </c>
      <c r="R21" s="701" t="s">
        <v>14</v>
      </c>
      <c r="S21" s="702">
        <f>F21</f>
        <v>100</v>
      </c>
      <c r="T21" s="701" t="s">
        <v>14</v>
      </c>
      <c r="U21" s="702">
        <f>H21</f>
        <v>100</v>
      </c>
      <c r="V21" s="701" t="s">
        <v>14</v>
      </c>
      <c r="W21" s="702">
        <f>J21</f>
        <v>100</v>
      </c>
      <c r="X21" s="1351"/>
      <c r="Y21" s="3696"/>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5"/>
      <c r="Q22" s="1348"/>
      <c r="R22" s="701"/>
      <c r="S22" s="702"/>
      <c r="T22" s="701"/>
      <c r="U22" s="702"/>
      <c r="V22" s="701"/>
      <c r="W22" s="702"/>
      <c r="X22" s="1351"/>
      <c r="Y22" s="3696"/>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5"/>
      <c r="Q23" s="1348" t="str">
        <f>B23</f>
        <v>环境质量</v>
      </c>
      <c r="R23" s="701" t="s">
        <v>14</v>
      </c>
      <c r="S23" s="702">
        <f>F23</f>
        <v>100</v>
      </c>
      <c r="T23" s="701" t="s">
        <v>14</v>
      </c>
      <c r="U23" s="702">
        <f>H23</f>
        <v>100</v>
      </c>
      <c r="V23" s="701" t="s">
        <v>14</v>
      </c>
      <c r="W23" s="702">
        <f>J23</f>
        <v>100</v>
      </c>
      <c r="X23" s="1351"/>
      <c r="Y23" s="3696"/>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5"/>
      <c r="Q24" s="1348"/>
      <c r="R24" s="701"/>
      <c r="S24" s="702"/>
      <c r="T24" s="701"/>
      <c r="U24" s="702"/>
      <c r="V24" s="701"/>
      <c r="W24" s="702"/>
      <c r="X24" s="1351"/>
      <c r="Y24" s="3696"/>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5"/>
      <c r="Q25" s="1348" t="str">
        <f>B25</f>
        <v>毗邻道路的类型与等级</v>
      </c>
      <c r="R25" s="701" t="s">
        <v>14</v>
      </c>
      <c r="S25" s="702">
        <f>F25</f>
        <v>100</v>
      </c>
      <c r="T25" s="701" t="s">
        <v>14</v>
      </c>
      <c r="U25" s="702">
        <f>H25</f>
        <v>100</v>
      </c>
      <c r="V25" s="701" t="s">
        <v>14</v>
      </c>
      <c r="W25" s="702">
        <f>J25</f>
        <v>100</v>
      </c>
      <c r="X25" s="1351"/>
      <c r="Y25" s="3696"/>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5"/>
      <c r="Q26" s="1348"/>
      <c r="R26" s="701"/>
      <c r="S26" s="702"/>
      <c r="T26" s="701"/>
      <c r="U26" s="702"/>
      <c r="V26" s="701"/>
      <c r="W26" s="702"/>
      <c r="X26" s="1351"/>
      <c r="Y26" s="3696"/>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5"/>
      <c r="Q27" s="1348" t="str">
        <f t="shared" ref="Q27:Q47" si="11">B27</f>
        <v>楼层</v>
      </c>
      <c r="R27" s="701" t="s">
        <v>14</v>
      </c>
      <c r="S27" s="702">
        <f>F27</f>
        <v>100</v>
      </c>
      <c r="T27" s="701" t="s">
        <v>14</v>
      </c>
      <c r="U27" s="702">
        <f>H27</f>
        <v>100</v>
      </c>
      <c r="V27" s="701" t="s">
        <v>14</v>
      </c>
      <c r="W27" s="702">
        <f>J27</f>
        <v>100</v>
      </c>
      <c r="X27" s="1351"/>
      <c r="Y27" s="3696"/>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5"/>
      <c r="Q28" s="1339" t="str">
        <f t="shared" si="11"/>
        <v>朝向</v>
      </c>
      <c r="R28" s="697" t="s">
        <v>14</v>
      </c>
      <c r="S28" s="698">
        <f>F28</f>
        <v>100</v>
      </c>
      <c r="T28" s="697" t="s">
        <v>14</v>
      </c>
      <c r="U28" s="698">
        <f>H28</f>
        <v>100</v>
      </c>
      <c r="V28" s="697" t="s">
        <v>14</v>
      </c>
      <c r="W28" s="698">
        <f>J28</f>
        <v>100</v>
      </c>
      <c r="X28" s="699"/>
      <c r="Y28" s="3696"/>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5"/>
      <c r="Q29" s="1348">
        <f t="shared" si="11"/>
        <v>111</v>
      </c>
      <c r="R29" s="701" t="s">
        <v>14</v>
      </c>
      <c r="S29" s="702">
        <f t="shared" ref="S29:S47" si="12">F29</f>
        <v>100</v>
      </c>
      <c r="T29" s="701" t="s">
        <v>14</v>
      </c>
      <c r="U29" s="702">
        <f t="shared" ref="U29:U47" si="13">H29</f>
        <v>100</v>
      </c>
      <c r="V29" s="701" t="s">
        <v>14</v>
      </c>
      <c r="W29" s="702">
        <f t="shared" ref="W29:W47" si="14">J29</f>
        <v>100</v>
      </c>
      <c r="X29" s="1351"/>
      <c r="Y29" s="3696"/>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5"/>
      <c r="Q30" s="1348">
        <f t="shared" si="11"/>
        <v>111</v>
      </c>
      <c r="R30" s="701" t="s">
        <v>14</v>
      </c>
      <c r="S30" s="702">
        <f t="shared" si="12"/>
        <v>100</v>
      </c>
      <c r="T30" s="701" t="s">
        <v>14</v>
      </c>
      <c r="U30" s="702">
        <f t="shared" si="13"/>
        <v>100</v>
      </c>
      <c r="V30" s="701" t="s">
        <v>14</v>
      </c>
      <c r="W30" s="702">
        <f t="shared" si="14"/>
        <v>100</v>
      </c>
      <c r="X30" s="1351"/>
      <c r="Y30" s="3696"/>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5"/>
      <c r="Q31" s="1348">
        <f t="shared" si="11"/>
        <v>111</v>
      </c>
      <c r="R31" s="701" t="s">
        <v>14</v>
      </c>
      <c r="S31" s="702">
        <f t="shared" si="12"/>
        <v>100</v>
      </c>
      <c r="T31" s="701" t="s">
        <v>14</v>
      </c>
      <c r="U31" s="702">
        <f t="shared" si="13"/>
        <v>100</v>
      </c>
      <c r="V31" s="701" t="s">
        <v>14</v>
      </c>
      <c r="W31" s="702">
        <f t="shared" si="14"/>
        <v>100</v>
      </c>
      <c r="X31" s="1351"/>
      <c r="Y31" s="3696"/>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5"/>
      <c r="Q32" s="1348">
        <f t="shared" si="11"/>
        <v>111</v>
      </c>
      <c r="R32" s="701" t="s">
        <v>14</v>
      </c>
      <c r="S32" s="702">
        <f t="shared" si="12"/>
        <v>100</v>
      </c>
      <c r="T32" s="701" t="s">
        <v>14</v>
      </c>
      <c r="U32" s="702">
        <f t="shared" si="13"/>
        <v>100</v>
      </c>
      <c r="V32" s="701" t="s">
        <v>14</v>
      </c>
      <c r="W32" s="702">
        <f t="shared" si="14"/>
        <v>100</v>
      </c>
      <c r="X32" s="1351"/>
      <c r="Y32" s="3696"/>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80" t="s">
        <v>1693</v>
      </c>
      <c r="Q33" s="1348" t="str">
        <f t="shared" si="11"/>
        <v>建筑类型</v>
      </c>
      <c r="R33" s="701" t="s">
        <v>14</v>
      </c>
      <c r="S33" s="702">
        <f t="shared" si="12"/>
        <v>100</v>
      </c>
      <c r="T33" s="701" t="s">
        <v>14</v>
      </c>
      <c r="U33" s="702">
        <f t="shared" si="13"/>
        <v>100</v>
      </c>
      <c r="V33" s="701" t="s">
        <v>14</v>
      </c>
      <c r="W33" s="702">
        <f t="shared" si="14"/>
        <v>100</v>
      </c>
      <c r="X33" s="1351"/>
      <c r="Y33" s="3698"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1"/>
      <c r="Q34" s="703" t="str">
        <f t="shared" si="11"/>
        <v>项目建筑规模</v>
      </c>
      <c r="R34" s="704" t="s">
        <v>14</v>
      </c>
      <c r="S34" s="705" t="e">
        <f t="shared" si="12"/>
        <v>#N/A</v>
      </c>
      <c r="T34" s="704" t="s">
        <v>14</v>
      </c>
      <c r="U34" s="705" t="e">
        <f t="shared" si="13"/>
        <v>#N/A</v>
      </c>
      <c r="V34" s="704" t="s">
        <v>14</v>
      </c>
      <c r="W34" s="705" t="e">
        <f t="shared" si="14"/>
        <v>#N/A</v>
      </c>
      <c r="X34" s="706"/>
      <c r="Y34" s="3698"/>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1"/>
      <c r="Q35" s="1348" t="str">
        <f t="shared" si="11"/>
        <v>建筑结构</v>
      </c>
      <c r="R35" s="701" t="s">
        <v>14</v>
      </c>
      <c r="S35" s="702">
        <f t="shared" si="12"/>
        <v>100</v>
      </c>
      <c r="T35" s="701" t="s">
        <v>14</v>
      </c>
      <c r="U35" s="702">
        <f t="shared" si="13"/>
        <v>100</v>
      </c>
      <c r="V35" s="701" t="s">
        <v>14</v>
      </c>
      <c r="W35" s="702">
        <f t="shared" si="14"/>
        <v>100</v>
      </c>
      <c r="X35" s="1351"/>
      <c r="Y35" s="3698"/>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1"/>
      <c r="Q36" s="1348" t="str">
        <f t="shared" si="11"/>
        <v>公共部分装修</v>
      </c>
      <c r="R36" s="701" t="s">
        <v>14</v>
      </c>
      <c r="S36" s="702">
        <f t="shared" si="12"/>
        <v>100</v>
      </c>
      <c r="T36" s="701" t="s">
        <v>14</v>
      </c>
      <c r="U36" s="702">
        <f t="shared" si="13"/>
        <v>100</v>
      </c>
      <c r="V36" s="701" t="s">
        <v>14</v>
      </c>
      <c r="W36" s="702">
        <f t="shared" si="14"/>
        <v>100</v>
      </c>
      <c r="X36" s="1351"/>
      <c r="Y36" s="3698"/>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1"/>
      <c r="Q37" s="1348" t="str">
        <f t="shared" si="11"/>
        <v>成新度</v>
      </c>
      <c r="R37" s="701" t="s">
        <v>14</v>
      </c>
      <c r="S37" s="702" t="e">
        <f t="shared" si="12"/>
        <v>#N/A</v>
      </c>
      <c r="T37" s="701" t="s">
        <v>14</v>
      </c>
      <c r="U37" s="702" t="e">
        <f t="shared" si="13"/>
        <v>#N/A</v>
      </c>
      <c r="V37" s="701" t="s">
        <v>14</v>
      </c>
      <c r="W37" s="702" t="e">
        <f t="shared" si="14"/>
        <v>#N/A</v>
      </c>
      <c r="X37" s="1351"/>
      <c r="Y37" s="3698"/>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1"/>
      <c r="Q38" s="1339" t="str">
        <f t="shared" si="11"/>
        <v>写字楼等级</v>
      </c>
      <c r="R38" s="697" t="s">
        <v>14</v>
      </c>
      <c r="S38" s="698">
        <f t="shared" si="12"/>
        <v>100</v>
      </c>
      <c r="T38" s="697" t="s">
        <v>14</v>
      </c>
      <c r="U38" s="698">
        <f t="shared" si="13"/>
        <v>100</v>
      </c>
      <c r="V38" s="697" t="s">
        <v>14</v>
      </c>
      <c r="W38" s="698">
        <f t="shared" si="14"/>
        <v>100</v>
      </c>
      <c r="X38" s="699"/>
      <c r="Y38" s="3698"/>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1" t="s">
        <v>1693</v>
      </c>
      <c r="Q39" s="1348" t="str">
        <f t="shared" si="11"/>
        <v>物业管理</v>
      </c>
      <c r="R39" s="701" t="s">
        <v>14</v>
      </c>
      <c r="S39" s="702">
        <f t="shared" si="12"/>
        <v>100</v>
      </c>
      <c r="T39" s="701" t="s">
        <v>14</v>
      </c>
      <c r="U39" s="702">
        <f t="shared" si="13"/>
        <v>100</v>
      </c>
      <c r="V39" s="701" t="s">
        <v>14</v>
      </c>
      <c r="W39" s="702">
        <f t="shared" si="14"/>
        <v>100</v>
      </c>
      <c r="X39" s="1351"/>
      <c r="Y39" s="3698"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1"/>
      <c r="Q40" s="1348" t="str">
        <f t="shared" si="11"/>
        <v>市政基础设施</v>
      </c>
      <c r="R40" s="701" t="s">
        <v>14</v>
      </c>
      <c r="S40" s="702">
        <f t="shared" si="12"/>
        <v>100</v>
      </c>
      <c r="T40" s="701" t="s">
        <v>14</v>
      </c>
      <c r="U40" s="702">
        <f t="shared" si="13"/>
        <v>100</v>
      </c>
      <c r="V40" s="701" t="s">
        <v>14</v>
      </c>
      <c r="W40" s="702">
        <f t="shared" si="14"/>
        <v>100</v>
      </c>
      <c r="X40" s="1351"/>
      <c r="Y40" s="3698"/>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1"/>
      <c r="Q41" s="1348" t="str">
        <f t="shared" si="11"/>
        <v>层高</v>
      </c>
      <c r="R41" s="701" t="s">
        <v>14</v>
      </c>
      <c r="S41" s="702">
        <f t="shared" si="12"/>
        <v>100</v>
      </c>
      <c r="T41" s="701" t="s">
        <v>14</v>
      </c>
      <c r="U41" s="702">
        <f t="shared" si="13"/>
        <v>100</v>
      </c>
      <c r="V41" s="701" t="s">
        <v>14</v>
      </c>
      <c r="W41" s="702">
        <f t="shared" si="14"/>
        <v>100</v>
      </c>
      <c r="X41" s="1351"/>
      <c r="Y41" s="3698"/>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1"/>
      <c r="Q42" s="703" t="str">
        <f t="shared" si="11"/>
        <v>单套建筑面积</v>
      </c>
      <c r="R42" s="704" t="s">
        <v>14</v>
      </c>
      <c r="S42" s="705">
        <f t="shared" si="12"/>
        <v>100</v>
      </c>
      <c r="T42" s="704" t="s">
        <v>14</v>
      </c>
      <c r="U42" s="705">
        <f t="shared" si="13"/>
        <v>100</v>
      </c>
      <c r="V42" s="704" t="s">
        <v>14</v>
      </c>
      <c r="W42" s="705">
        <f t="shared" si="14"/>
        <v>100</v>
      </c>
      <c r="X42" s="706"/>
      <c r="Y42" s="3698"/>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1"/>
      <c r="Q43" s="1348" t="str">
        <f t="shared" si="11"/>
        <v>内部装修</v>
      </c>
      <c r="R43" s="701" t="s">
        <v>14</v>
      </c>
      <c r="S43" s="702">
        <f t="shared" si="12"/>
        <v>100</v>
      </c>
      <c r="T43" s="701" t="s">
        <v>14</v>
      </c>
      <c r="U43" s="702">
        <f t="shared" si="13"/>
        <v>100</v>
      </c>
      <c r="V43" s="701" t="s">
        <v>14</v>
      </c>
      <c r="W43" s="702">
        <f t="shared" si="14"/>
        <v>100</v>
      </c>
      <c r="X43" s="1351"/>
      <c r="Y43" s="3698"/>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1"/>
      <c r="Q44" s="1348" t="str">
        <f t="shared" si="11"/>
        <v>内部装修维护情况</v>
      </c>
      <c r="R44" s="701" t="s">
        <v>14</v>
      </c>
      <c r="S44" s="702">
        <f t="shared" si="12"/>
        <v>100</v>
      </c>
      <c r="T44" s="701" t="s">
        <v>14</v>
      </c>
      <c r="U44" s="702">
        <f t="shared" si="13"/>
        <v>100</v>
      </c>
      <c r="V44" s="701" t="s">
        <v>14</v>
      </c>
      <c r="W44" s="702">
        <f t="shared" si="14"/>
        <v>100</v>
      </c>
      <c r="X44" s="1351"/>
      <c r="Y44" s="3698"/>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1"/>
      <c r="Q45" s="1339">
        <f t="shared" si="11"/>
        <v>111</v>
      </c>
      <c r="R45" s="697" t="s">
        <v>14</v>
      </c>
      <c r="S45" s="698">
        <f t="shared" si="12"/>
        <v>100</v>
      </c>
      <c r="T45" s="697" t="s">
        <v>14</v>
      </c>
      <c r="U45" s="698">
        <f t="shared" si="13"/>
        <v>100</v>
      </c>
      <c r="V45" s="697" t="s">
        <v>14</v>
      </c>
      <c r="W45" s="698">
        <f t="shared" si="14"/>
        <v>100</v>
      </c>
      <c r="X45" s="699"/>
      <c r="Y45" s="3698"/>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1"/>
      <c r="Q46" s="1348">
        <f t="shared" si="11"/>
        <v>111</v>
      </c>
      <c r="R46" s="701" t="s">
        <v>14</v>
      </c>
      <c r="S46" s="702">
        <f t="shared" si="12"/>
        <v>100</v>
      </c>
      <c r="T46" s="701" t="s">
        <v>14</v>
      </c>
      <c r="U46" s="702">
        <f t="shared" si="13"/>
        <v>100</v>
      </c>
      <c r="V46" s="701" t="s">
        <v>14</v>
      </c>
      <c r="W46" s="702">
        <f t="shared" si="14"/>
        <v>100</v>
      </c>
      <c r="X46" s="1351"/>
      <c r="Y46" s="3698"/>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2"/>
      <c r="Q47" s="1348">
        <f t="shared" si="11"/>
        <v>111</v>
      </c>
      <c r="R47" s="701" t="s">
        <v>14</v>
      </c>
      <c r="S47" s="702">
        <f t="shared" si="12"/>
        <v>100</v>
      </c>
      <c r="T47" s="701" t="s">
        <v>14</v>
      </c>
      <c r="U47" s="702">
        <f t="shared" si="13"/>
        <v>100</v>
      </c>
      <c r="V47" s="701" t="s">
        <v>14</v>
      </c>
      <c r="W47" s="702">
        <f t="shared" si="14"/>
        <v>100</v>
      </c>
      <c r="X47" s="1351"/>
      <c r="Y47" s="3783"/>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693" t="str">
        <f>A48</f>
        <v>成交单价（元/平方米）</v>
      </c>
      <c r="Q48" s="3694"/>
      <c r="R48" s="3779">
        <f>E48</f>
        <v>0</v>
      </c>
      <c r="S48" s="3779"/>
      <c r="T48" s="3779">
        <f>G48</f>
        <v>0</v>
      </c>
      <c r="U48" s="3779"/>
      <c r="V48" s="3779">
        <f>I48</f>
        <v>0</v>
      </c>
      <c r="W48" s="3779"/>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693" t="str">
        <f>A49</f>
        <v>比较价值（元/平方米）</v>
      </c>
      <c r="Q49" s="3694"/>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691" t="s">
        <v>1767</v>
      </c>
      <c r="D4" s="3703"/>
      <c r="E4" s="3704" t="s">
        <v>1768</v>
      </c>
      <c r="F4" s="3705"/>
      <c r="G4" s="3691" t="s">
        <v>1769</v>
      </c>
      <c r="H4" s="3703"/>
      <c r="I4" s="3691" t="s">
        <v>1770</v>
      </c>
      <c r="J4" s="3703"/>
      <c r="K4" s="556" t="s">
        <v>1771</v>
      </c>
      <c r="L4" s="909"/>
      <c r="M4" s="910"/>
      <c r="N4" s="910"/>
      <c r="O4" s="910"/>
      <c r="P4" s="3706" t="s">
        <v>1772</v>
      </c>
      <c r="Q4" s="3707"/>
      <c r="R4" s="3712" t="s">
        <v>1768</v>
      </c>
      <c r="S4" s="3713"/>
      <c r="T4" s="3712" t="s">
        <v>1769</v>
      </c>
      <c r="U4" s="3713"/>
      <c r="V4" s="3699" t="s">
        <v>1770</v>
      </c>
      <c r="W4" s="3699"/>
      <c r="X4" s="1351"/>
      <c r="Y4" s="3712" t="s">
        <v>1772</v>
      </c>
      <c r="Z4" s="3713"/>
      <c r="AA4" s="3700" t="s">
        <v>1768</v>
      </c>
      <c r="AB4" s="3701" t="s">
        <v>1769</v>
      </c>
      <c r="AC4" s="3700" t="s">
        <v>1770</v>
      </c>
    </row>
    <row r="5" spans="1:29" ht="15">
      <c r="A5" s="355"/>
      <c r="B5" s="356"/>
      <c r="C5" s="3720" t="s">
        <v>1670</v>
      </c>
      <c r="D5" s="3721"/>
      <c r="E5" s="3727" t="s">
        <v>1671</v>
      </c>
      <c r="F5" s="3728"/>
      <c r="G5" s="3720" t="s">
        <v>1672</v>
      </c>
      <c r="H5" s="3721"/>
      <c r="I5" s="3720" t="s">
        <v>1673</v>
      </c>
      <c r="J5" s="3721"/>
      <c r="K5" s="556"/>
      <c r="L5" s="909"/>
      <c r="M5" s="910"/>
      <c r="N5" s="910"/>
      <c r="O5" s="910"/>
      <c r="P5" s="3708"/>
      <c r="Q5" s="3709"/>
      <c r="R5" s="3714"/>
      <c r="S5" s="3715"/>
      <c r="T5" s="3714"/>
      <c r="U5" s="3715"/>
      <c r="V5" s="3699"/>
      <c r="W5" s="3699"/>
      <c r="X5" s="1351"/>
      <c r="Y5" s="3714"/>
      <c r="Z5" s="3715"/>
      <c r="AA5" s="3701"/>
      <c r="AB5" s="3701"/>
      <c r="AC5" s="3701"/>
    </row>
    <row r="6" spans="1:29" ht="15.75" thickBot="1">
      <c r="A6" s="357"/>
      <c r="B6" s="358"/>
      <c r="C6" s="3718" t="s">
        <v>1674</v>
      </c>
      <c r="D6" s="3719"/>
      <c r="E6" s="3725" t="s">
        <v>1674</v>
      </c>
      <c r="F6" s="3726"/>
      <c r="G6" s="3718" t="s">
        <v>1674</v>
      </c>
      <c r="H6" s="3719"/>
      <c r="I6" s="3718" t="s">
        <v>1674</v>
      </c>
      <c r="J6" s="3719"/>
      <c r="K6" s="556" t="s">
        <v>1675</v>
      </c>
      <c r="L6" s="909"/>
      <c r="M6" s="910"/>
      <c r="N6" s="910"/>
      <c r="O6" s="910"/>
      <c r="P6" s="3710"/>
      <c r="Q6" s="3711"/>
      <c r="R6" s="3714"/>
      <c r="S6" s="3715"/>
      <c r="T6" s="3716"/>
      <c r="U6" s="3717"/>
      <c r="V6" s="3699"/>
      <c r="W6" s="3699"/>
      <c r="X6" s="1351"/>
      <c r="Y6" s="3716"/>
      <c r="Z6" s="3717"/>
      <c r="AA6" s="3702"/>
      <c r="AB6" s="3702"/>
      <c r="AC6" s="3702"/>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722" t="s">
        <v>1677</v>
      </c>
      <c r="Q7" s="3724"/>
      <c r="R7" s="697" t="s">
        <v>14</v>
      </c>
      <c r="S7" s="698">
        <f t="shared" ref="S7:S15" si="0">F7</f>
        <v>0</v>
      </c>
      <c r="T7" s="697" t="s">
        <v>14</v>
      </c>
      <c r="U7" s="698">
        <f t="shared" ref="U7:U15" si="1">H7</f>
        <v>0</v>
      </c>
      <c r="V7" s="697" t="s">
        <v>14</v>
      </c>
      <c r="W7" s="698">
        <f t="shared" ref="W7:W15" si="2">J7</f>
        <v>0</v>
      </c>
      <c r="X7" s="699"/>
      <c r="Y7" s="3722" t="s">
        <v>1677</v>
      </c>
      <c r="Z7" s="3723"/>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22" t="s">
        <v>1680</v>
      </c>
      <c r="Q8" s="3723"/>
      <c r="R8" s="697" t="s">
        <v>14</v>
      </c>
      <c r="S8" s="698">
        <f t="shared" si="0"/>
        <v>100</v>
      </c>
      <c r="T8" s="697" t="s">
        <v>14</v>
      </c>
      <c r="U8" s="698">
        <f t="shared" si="1"/>
        <v>100</v>
      </c>
      <c r="V8" s="697" t="s">
        <v>14</v>
      </c>
      <c r="W8" s="698">
        <f t="shared" si="2"/>
        <v>100</v>
      </c>
      <c r="X8" s="699"/>
      <c r="Y8" s="3722" t="s">
        <v>1680</v>
      </c>
      <c r="Z8" s="3723"/>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694" t="s">
        <v>1683</v>
      </c>
      <c r="Q9" s="1339" t="str">
        <f t="shared" ref="Q9:Q15" si="6">B9</f>
        <v>用途</v>
      </c>
      <c r="R9" s="697" t="s">
        <v>14</v>
      </c>
      <c r="S9" s="698">
        <f t="shared" si="0"/>
        <v>100</v>
      </c>
      <c r="T9" s="697" t="s">
        <v>14</v>
      </c>
      <c r="U9" s="698">
        <f t="shared" si="1"/>
        <v>100</v>
      </c>
      <c r="V9" s="697" t="s">
        <v>14</v>
      </c>
      <c r="W9" s="698">
        <f t="shared" si="2"/>
        <v>100</v>
      </c>
      <c r="X9" s="699"/>
      <c r="Y9" s="3591"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694"/>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694"/>
      <c r="Q11" s="1339" t="str">
        <f t="shared" si="6"/>
        <v>容积率</v>
      </c>
      <c r="R11" s="697" t="s">
        <v>14</v>
      </c>
      <c r="S11" s="698">
        <f t="shared" si="0"/>
        <v>100</v>
      </c>
      <c r="T11" s="697" t="s">
        <v>14</v>
      </c>
      <c r="U11" s="698">
        <f t="shared" si="1"/>
        <v>100</v>
      </c>
      <c r="V11" s="697" t="s">
        <v>14</v>
      </c>
      <c r="W11" s="698">
        <f t="shared" si="2"/>
        <v>100</v>
      </c>
      <c r="X11" s="699"/>
      <c r="Y11" s="3591"/>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694"/>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694"/>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694"/>
      <c r="Q14" s="1339">
        <f t="shared" si="6"/>
        <v>111</v>
      </c>
      <c r="R14" s="697" t="s">
        <v>14</v>
      </c>
      <c r="S14" s="698">
        <f t="shared" si="0"/>
        <v>100</v>
      </c>
      <c r="T14" s="697" t="s">
        <v>14</v>
      </c>
      <c r="U14" s="698">
        <f t="shared" si="1"/>
        <v>100</v>
      </c>
      <c r="V14" s="697" t="s">
        <v>14</v>
      </c>
      <c r="W14" s="698">
        <f t="shared" si="2"/>
        <v>100</v>
      </c>
      <c r="X14" s="699"/>
      <c r="Y14" s="3591"/>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695" t="s">
        <v>1688</v>
      </c>
      <c r="Q15" s="1348" t="str">
        <f t="shared" si="6"/>
        <v>产业集聚程度</v>
      </c>
      <c r="R15" s="701" t="s">
        <v>14</v>
      </c>
      <c r="S15" s="702">
        <f t="shared" si="0"/>
        <v>100</v>
      </c>
      <c r="T15" s="701" t="s">
        <v>14</v>
      </c>
      <c r="U15" s="702">
        <f t="shared" si="1"/>
        <v>100</v>
      </c>
      <c r="V15" s="701" t="s">
        <v>14</v>
      </c>
      <c r="W15" s="702">
        <f t="shared" si="2"/>
        <v>100</v>
      </c>
      <c r="X15" s="1351"/>
      <c r="Y15" s="3695"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696"/>
      <c r="Q16" s="1348"/>
      <c r="R16" s="701"/>
      <c r="S16" s="702"/>
      <c r="T16" s="701"/>
      <c r="U16" s="702"/>
      <c r="V16" s="701"/>
      <c r="W16" s="702"/>
      <c r="X16" s="1351"/>
      <c r="Y16" s="3696"/>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696"/>
      <c r="Q17" s="1348" t="str">
        <f>B17</f>
        <v>交通便捷度</v>
      </c>
      <c r="R17" s="701" t="s">
        <v>14</v>
      </c>
      <c r="S17" s="702">
        <f>F17</f>
        <v>100</v>
      </c>
      <c r="T17" s="701" t="s">
        <v>14</v>
      </c>
      <c r="U17" s="702">
        <f>H17</f>
        <v>100</v>
      </c>
      <c r="V17" s="701" t="s">
        <v>14</v>
      </c>
      <c r="W17" s="702">
        <f>J17</f>
        <v>100</v>
      </c>
      <c r="X17" s="1351"/>
      <c r="Y17" s="3696"/>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696"/>
      <c r="Q18" s="1348"/>
      <c r="R18" s="701"/>
      <c r="S18" s="702"/>
      <c r="T18" s="701"/>
      <c r="U18" s="702"/>
      <c r="V18" s="701"/>
      <c r="W18" s="702"/>
      <c r="X18" s="1351"/>
      <c r="Y18" s="3696"/>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696"/>
      <c r="Q19" s="1348" t="str">
        <f>B19</f>
        <v>公共配套设施</v>
      </c>
      <c r="R19" s="701" t="s">
        <v>14</v>
      </c>
      <c r="S19" s="702">
        <f>F19</f>
        <v>100</v>
      </c>
      <c r="T19" s="701" t="s">
        <v>14</v>
      </c>
      <c r="U19" s="702">
        <f>H19</f>
        <v>100</v>
      </c>
      <c r="V19" s="701" t="s">
        <v>14</v>
      </c>
      <c r="W19" s="702">
        <f>J19</f>
        <v>100</v>
      </c>
      <c r="X19" s="1351"/>
      <c r="Y19" s="3696"/>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696"/>
      <c r="Q20" s="1348"/>
      <c r="R20" s="701"/>
      <c r="S20" s="702"/>
      <c r="T20" s="701"/>
      <c r="U20" s="702"/>
      <c r="V20" s="701"/>
      <c r="W20" s="702"/>
      <c r="X20" s="1351"/>
      <c r="Y20" s="3696"/>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696"/>
      <c r="Q21" s="1348" t="str">
        <f>B21</f>
        <v>基础设施水平</v>
      </c>
      <c r="R21" s="701" t="s">
        <v>14</v>
      </c>
      <c r="S21" s="702">
        <f>F21</f>
        <v>100</v>
      </c>
      <c r="T21" s="701" t="s">
        <v>14</v>
      </c>
      <c r="U21" s="702">
        <f>H21</f>
        <v>100</v>
      </c>
      <c r="V21" s="701" t="s">
        <v>14</v>
      </c>
      <c r="W21" s="702">
        <f>J21</f>
        <v>100</v>
      </c>
      <c r="X21" s="1351"/>
      <c r="Y21" s="3696"/>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696"/>
      <c r="Q22" s="1348"/>
      <c r="R22" s="701"/>
      <c r="S22" s="702"/>
      <c r="T22" s="701"/>
      <c r="U22" s="702"/>
      <c r="V22" s="701"/>
      <c r="W22" s="702"/>
      <c r="X22" s="1351"/>
      <c r="Y22" s="3696"/>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696"/>
      <c r="Q23" s="1348" t="str">
        <f>B23</f>
        <v>环境质量</v>
      </c>
      <c r="R23" s="701" t="s">
        <v>14</v>
      </c>
      <c r="S23" s="702">
        <f>F23</f>
        <v>100</v>
      </c>
      <c r="T23" s="701" t="s">
        <v>14</v>
      </c>
      <c r="U23" s="702">
        <f>H23</f>
        <v>100</v>
      </c>
      <c r="V23" s="701" t="s">
        <v>14</v>
      </c>
      <c r="W23" s="702">
        <f>J23</f>
        <v>100</v>
      </c>
      <c r="X23" s="1351"/>
      <c r="Y23" s="3696"/>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696"/>
      <c r="Q24" s="1348"/>
      <c r="R24" s="701"/>
      <c r="S24" s="702"/>
      <c r="T24" s="701"/>
      <c r="U24" s="702"/>
      <c r="V24" s="701"/>
      <c r="W24" s="702"/>
      <c r="X24" s="1351"/>
      <c r="Y24" s="3696"/>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696"/>
      <c r="Q25" s="1348">
        <f>B25</f>
        <v>111</v>
      </c>
      <c r="R25" s="701" t="s">
        <v>14</v>
      </c>
      <c r="S25" s="702">
        <f>F25</f>
        <v>100</v>
      </c>
      <c r="T25" s="701" t="s">
        <v>14</v>
      </c>
      <c r="U25" s="702">
        <f>H25</f>
        <v>100</v>
      </c>
      <c r="V25" s="701" t="s">
        <v>14</v>
      </c>
      <c r="W25" s="702">
        <f>J25</f>
        <v>100</v>
      </c>
      <c r="X25" s="1351"/>
      <c r="Y25" s="3696"/>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696"/>
      <c r="Q26" s="1348">
        <f t="shared" ref="Q26:Q40" si="11">B26</f>
        <v>111</v>
      </c>
      <c r="R26" s="701" t="s">
        <v>14</v>
      </c>
      <c r="S26" s="702">
        <f>F26</f>
        <v>100</v>
      </c>
      <c r="T26" s="701" t="s">
        <v>14</v>
      </c>
      <c r="U26" s="702">
        <f>H26</f>
        <v>100</v>
      </c>
      <c r="V26" s="701" t="s">
        <v>14</v>
      </c>
      <c r="W26" s="702">
        <f>J26</f>
        <v>100</v>
      </c>
      <c r="X26" s="1351"/>
      <c r="Y26" s="3696"/>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696"/>
      <c r="Q27" s="1339">
        <f t="shared" si="11"/>
        <v>111</v>
      </c>
      <c r="R27" s="697" t="s">
        <v>14</v>
      </c>
      <c r="S27" s="698">
        <f>F27</f>
        <v>100</v>
      </c>
      <c r="T27" s="697" t="s">
        <v>14</v>
      </c>
      <c r="U27" s="698">
        <f>H27</f>
        <v>100</v>
      </c>
      <c r="V27" s="697" t="s">
        <v>14</v>
      </c>
      <c r="W27" s="698">
        <f>J27</f>
        <v>100</v>
      </c>
      <c r="X27" s="699"/>
      <c r="Y27" s="3696"/>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696"/>
      <c r="Q28" s="1348">
        <f t="shared" si="11"/>
        <v>111</v>
      </c>
      <c r="R28" s="701" t="s">
        <v>14</v>
      </c>
      <c r="S28" s="702">
        <f t="shared" ref="S28:S40" si="12">F28</f>
        <v>100</v>
      </c>
      <c r="T28" s="701" t="s">
        <v>14</v>
      </c>
      <c r="U28" s="702">
        <f t="shared" ref="U28:U40" si="13">H28</f>
        <v>100</v>
      </c>
      <c r="V28" s="701" t="s">
        <v>14</v>
      </c>
      <c r="W28" s="702">
        <f t="shared" ref="W28:W40" si="14">J28</f>
        <v>100</v>
      </c>
      <c r="X28" s="1351"/>
      <c r="Y28" s="3696"/>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697" t="s">
        <v>1693</v>
      </c>
      <c r="Q29" s="1348" t="str">
        <f t="shared" si="11"/>
        <v>建筑类型</v>
      </c>
      <c r="R29" s="701" t="s">
        <v>14</v>
      </c>
      <c r="S29" s="702">
        <f t="shared" si="12"/>
        <v>100</v>
      </c>
      <c r="T29" s="701" t="s">
        <v>14</v>
      </c>
      <c r="U29" s="702">
        <f t="shared" si="13"/>
        <v>100</v>
      </c>
      <c r="V29" s="701" t="s">
        <v>14</v>
      </c>
      <c r="W29" s="702">
        <f t="shared" si="14"/>
        <v>100</v>
      </c>
      <c r="X29" s="1351"/>
      <c r="Y29" s="3698"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698"/>
      <c r="Q30" s="703" t="str">
        <f t="shared" si="11"/>
        <v>项目建筑规模</v>
      </c>
      <c r="R30" s="704" t="s">
        <v>14</v>
      </c>
      <c r="S30" s="705" t="e">
        <f t="shared" si="12"/>
        <v>#N/A</v>
      </c>
      <c r="T30" s="704" t="s">
        <v>14</v>
      </c>
      <c r="U30" s="705" t="e">
        <f t="shared" si="13"/>
        <v>#N/A</v>
      </c>
      <c r="V30" s="704" t="s">
        <v>14</v>
      </c>
      <c r="W30" s="705" t="e">
        <f t="shared" si="14"/>
        <v>#N/A</v>
      </c>
      <c r="X30" s="706"/>
      <c r="Y30" s="3698"/>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698"/>
      <c r="Q31" s="1348" t="str">
        <f t="shared" si="11"/>
        <v>建筑结构</v>
      </c>
      <c r="R31" s="701" t="s">
        <v>14</v>
      </c>
      <c r="S31" s="702">
        <f t="shared" si="12"/>
        <v>100</v>
      </c>
      <c r="T31" s="701" t="s">
        <v>14</v>
      </c>
      <c r="U31" s="702">
        <f t="shared" si="13"/>
        <v>100</v>
      </c>
      <c r="V31" s="701" t="s">
        <v>14</v>
      </c>
      <c r="W31" s="702">
        <f t="shared" si="14"/>
        <v>100</v>
      </c>
      <c r="X31" s="1351"/>
      <c r="Y31" s="3698"/>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698"/>
      <c r="Q32" s="1348" t="str">
        <f t="shared" si="11"/>
        <v>公共部分装修</v>
      </c>
      <c r="R32" s="701" t="s">
        <v>14</v>
      </c>
      <c r="S32" s="702">
        <f t="shared" si="12"/>
        <v>100</v>
      </c>
      <c r="T32" s="701" t="s">
        <v>14</v>
      </c>
      <c r="U32" s="702">
        <f t="shared" si="13"/>
        <v>100</v>
      </c>
      <c r="V32" s="701" t="s">
        <v>14</v>
      </c>
      <c r="W32" s="702">
        <f t="shared" si="14"/>
        <v>100</v>
      </c>
      <c r="X32" s="1351"/>
      <c r="Y32" s="3698"/>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698"/>
      <c r="Q33" s="1348" t="str">
        <f t="shared" si="11"/>
        <v>成新度</v>
      </c>
      <c r="R33" s="701" t="s">
        <v>14</v>
      </c>
      <c r="S33" s="702" t="e">
        <f t="shared" si="12"/>
        <v>#N/A</v>
      </c>
      <c r="T33" s="701" t="s">
        <v>14</v>
      </c>
      <c r="U33" s="702" t="e">
        <f t="shared" si="13"/>
        <v>#N/A</v>
      </c>
      <c r="V33" s="701" t="s">
        <v>14</v>
      </c>
      <c r="W33" s="702" t="e">
        <f t="shared" si="14"/>
        <v>#N/A</v>
      </c>
      <c r="X33" s="1351"/>
      <c r="Y33" s="3698"/>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698"/>
      <c r="Q34" s="1339" t="str">
        <f t="shared" si="11"/>
        <v>物业管理</v>
      </c>
      <c r="R34" s="697" t="s">
        <v>14</v>
      </c>
      <c r="S34" s="698">
        <f t="shared" si="12"/>
        <v>100</v>
      </c>
      <c r="T34" s="697" t="s">
        <v>14</v>
      </c>
      <c r="U34" s="698">
        <f t="shared" si="13"/>
        <v>100</v>
      </c>
      <c r="V34" s="697" t="s">
        <v>14</v>
      </c>
      <c r="W34" s="698">
        <f t="shared" si="14"/>
        <v>100</v>
      </c>
      <c r="X34" s="699"/>
      <c r="Y34" s="3698"/>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698" t="s">
        <v>1693</v>
      </c>
      <c r="Q35" s="1348" t="str">
        <f t="shared" si="11"/>
        <v>市政基础设施</v>
      </c>
      <c r="R35" s="701" t="s">
        <v>14</v>
      </c>
      <c r="S35" s="702">
        <f t="shared" si="12"/>
        <v>100</v>
      </c>
      <c r="T35" s="701" t="s">
        <v>14</v>
      </c>
      <c r="U35" s="702">
        <f t="shared" si="13"/>
        <v>100</v>
      </c>
      <c r="V35" s="701" t="s">
        <v>14</v>
      </c>
      <c r="W35" s="702">
        <f t="shared" si="14"/>
        <v>100</v>
      </c>
      <c r="X35" s="1351"/>
      <c r="Y35" s="3698"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698"/>
      <c r="Q36" s="1348" t="str">
        <f t="shared" si="11"/>
        <v>内部装修</v>
      </c>
      <c r="R36" s="701" t="s">
        <v>14</v>
      </c>
      <c r="S36" s="702">
        <f t="shared" si="12"/>
        <v>100</v>
      </c>
      <c r="T36" s="701" t="s">
        <v>14</v>
      </c>
      <c r="U36" s="702">
        <f t="shared" si="13"/>
        <v>100</v>
      </c>
      <c r="V36" s="701" t="s">
        <v>14</v>
      </c>
      <c r="W36" s="702">
        <f t="shared" si="14"/>
        <v>100</v>
      </c>
      <c r="X36" s="1351"/>
      <c r="Y36" s="3698"/>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698"/>
      <c r="Q37" s="1348" t="str">
        <f t="shared" si="11"/>
        <v>内部装修状况</v>
      </c>
      <c r="R37" s="701" t="s">
        <v>14</v>
      </c>
      <c r="S37" s="702">
        <f t="shared" si="12"/>
        <v>100</v>
      </c>
      <c r="T37" s="701" t="s">
        <v>14</v>
      </c>
      <c r="U37" s="702">
        <f t="shared" si="13"/>
        <v>100</v>
      </c>
      <c r="V37" s="701" t="s">
        <v>14</v>
      </c>
      <c r="W37" s="702">
        <f t="shared" si="14"/>
        <v>100</v>
      </c>
      <c r="X37" s="1351"/>
      <c r="Y37" s="3698"/>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698"/>
      <c r="Q38" s="703">
        <f t="shared" si="11"/>
        <v>111</v>
      </c>
      <c r="R38" s="704" t="s">
        <v>14</v>
      </c>
      <c r="S38" s="705">
        <f t="shared" si="12"/>
        <v>100</v>
      </c>
      <c r="T38" s="704" t="s">
        <v>14</v>
      </c>
      <c r="U38" s="705">
        <f t="shared" si="13"/>
        <v>100</v>
      </c>
      <c r="V38" s="704" t="s">
        <v>14</v>
      </c>
      <c r="W38" s="705">
        <f t="shared" si="14"/>
        <v>100</v>
      </c>
      <c r="X38" s="706"/>
      <c r="Y38" s="3698"/>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698"/>
      <c r="Q39" s="1348">
        <f t="shared" si="11"/>
        <v>111</v>
      </c>
      <c r="R39" s="701" t="s">
        <v>14</v>
      </c>
      <c r="S39" s="702">
        <f t="shared" si="12"/>
        <v>100</v>
      </c>
      <c r="T39" s="701" t="s">
        <v>14</v>
      </c>
      <c r="U39" s="702">
        <f t="shared" si="13"/>
        <v>100</v>
      </c>
      <c r="V39" s="701" t="s">
        <v>14</v>
      </c>
      <c r="W39" s="702">
        <f t="shared" si="14"/>
        <v>100</v>
      </c>
      <c r="X39" s="1351"/>
      <c r="Y39" s="3698"/>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3"/>
      <c r="Q40" s="1348">
        <f t="shared" si="11"/>
        <v>111</v>
      </c>
      <c r="R40" s="701" t="s">
        <v>14</v>
      </c>
      <c r="S40" s="702">
        <f t="shared" si="12"/>
        <v>100</v>
      </c>
      <c r="T40" s="701" t="s">
        <v>14</v>
      </c>
      <c r="U40" s="702">
        <f t="shared" si="13"/>
        <v>100</v>
      </c>
      <c r="V40" s="701" t="s">
        <v>14</v>
      </c>
      <c r="W40" s="702">
        <f t="shared" si="14"/>
        <v>100</v>
      </c>
      <c r="X40" s="1351"/>
      <c r="Y40" s="3783"/>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694" t="str">
        <f>A41</f>
        <v>成交单价（元/平方米）</v>
      </c>
      <c r="Q41" s="3694"/>
      <c r="R41" s="3779">
        <f>E41</f>
        <v>0</v>
      </c>
      <c r="S41" s="3779"/>
      <c r="T41" s="3779">
        <f>G41</f>
        <v>0</v>
      </c>
      <c r="U41" s="3779"/>
      <c r="V41" s="3779">
        <f>I41</f>
        <v>0</v>
      </c>
      <c r="W41" s="3779"/>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694" t="str">
        <f>A42</f>
        <v>比较价值（元/平方米）</v>
      </c>
      <c r="Q42" s="3694"/>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688" t="str">
        <f>A43</f>
        <v>估价对象XX用房的比较价值（楼面单价，元/平方米）</v>
      </c>
      <c r="Q43" s="3689"/>
      <c r="R43" s="3778" t="e">
        <f>IF(F1="售价",ROUND(IF(D42="简单平均",AVERAGE(R42:V42),R42*F42+T42*H42+V42*J42),0),ROUND(IF(D42="简单平均",AVERAGE(R42:V42),R42*F42+T42*H42+V42*J42),1))</f>
        <v>#DIV/0!</v>
      </c>
      <c r="S43" s="3778"/>
      <c r="T43" s="3778"/>
      <c r="U43" s="3778"/>
      <c r="V43" s="3778"/>
      <c r="W43" s="3778"/>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691" t="s">
        <v>1767</v>
      </c>
      <c r="D4" s="3703"/>
      <c r="E4" s="3704" t="s">
        <v>1768</v>
      </c>
      <c r="F4" s="3705"/>
      <c r="G4" s="3691" t="s">
        <v>1769</v>
      </c>
      <c r="H4" s="3703"/>
      <c r="I4" s="3691" t="s">
        <v>1770</v>
      </c>
      <c r="J4" s="3703"/>
      <c r="K4" s="556" t="s">
        <v>1771</v>
      </c>
      <c r="L4" s="2711"/>
      <c r="M4" s="2712"/>
      <c r="N4" s="2712"/>
      <c r="O4" s="2712"/>
      <c r="P4" s="3706" t="s">
        <v>1772</v>
      </c>
      <c r="Q4" s="3707"/>
      <c r="R4" s="3712" t="s">
        <v>1768</v>
      </c>
      <c r="S4" s="3713"/>
      <c r="T4" s="3712" t="s">
        <v>1769</v>
      </c>
      <c r="U4" s="3713"/>
      <c r="V4" s="3699" t="s">
        <v>1770</v>
      </c>
      <c r="W4" s="3699"/>
      <c r="X4" s="1351"/>
      <c r="Y4" s="3712" t="s">
        <v>1772</v>
      </c>
      <c r="Z4" s="3713"/>
      <c r="AA4" s="3700" t="s">
        <v>1768</v>
      </c>
      <c r="AB4" s="3701" t="s">
        <v>1769</v>
      </c>
      <c r="AC4" s="3700" t="s">
        <v>1770</v>
      </c>
    </row>
    <row r="5" spans="1:29" ht="15">
      <c r="A5" s="355"/>
      <c r="B5" s="356"/>
      <c r="C5" s="3720" t="s">
        <v>1670</v>
      </c>
      <c r="D5" s="3721"/>
      <c r="E5" s="3727" t="s">
        <v>1671</v>
      </c>
      <c r="F5" s="3728"/>
      <c r="G5" s="3720" t="s">
        <v>1672</v>
      </c>
      <c r="H5" s="3721"/>
      <c r="I5" s="3720" t="s">
        <v>1673</v>
      </c>
      <c r="J5" s="3721"/>
      <c r="K5" s="556"/>
      <c r="L5" s="2711"/>
      <c r="M5" s="2712"/>
      <c r="N5" s="2712"/>
      <c r="O5" s="2712"/>
      <c r="P5" s="3708"/>
      <c r="Q5" s="3709"/>
      <c r="R5" s="3714"/>
      <c r="S5" s="3715"/>
      <c r="T5" s="3714"/>
      <c r="U5" s="3715"/>
      <c r="V5" s="3699"/>
      <c r="W5" s="3699"/>
      <c r="X5" s="1351"/>
      <c r="Y5" s="3714"/>
      <c r="Z5" s="3715"/>
      <c r="AA5" s="3701"/>
      <c r="AB5" s="3701"/>
      <c r="AC5" s="3701"/>
    </row>
    <row r="6" spans="1:29" ht="15.75" thickBot="1">
      <c r="A6" s="357"/>
      <c r="B6" s="358"/>
      <c r="C6" s="3718" t="s">
        <v>1674</v>
      </c>
      <c r="D6" s="3719"/>
      <c r="E6" s="3725" t="s">
        <v>1674</v>
      </c>
      <c r="F6" s="3726"/>
      <c r="G6" s="3718" t="s">
        <v>1674</v>
      </c>
      <c r="H6" s="3719"/>
      <c r="I6" s="3718" t="s">
        <v>1674</v>
      </c>
      <c r="J6" s="3719"/>
      <c r="K6" s="556" t="s">
        <v>1675</v>
      </c>
      <c r="L6" s="2711"/>
      <c r="M6" s="2712"/>
      <c r="N6" s="2712"/>
      <c r="O6" s="2712"/>
      <c r="P6" s="3710"/>
      <c r="Q6" s="3711"/>
      <c r="R6" s="3714"/>
      <c r="S6" s="3715"/>
      <c r="T6" s="3716"/>
      <c r="U6" s="3717"/>
      <c r="V6" s="3699"/>
      <c r="W6" s="3699"/>
      <c r="X6" s="1351"/>
      <c r="Y6" s="3716"/>
      <c r="Z6" s="3717"/>
      <c r="AA6" s="3702"/>
      <c r="AB6" s="3702"/>
      <c r="AC6" s="3702"/>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722" t="s">
        <v>1677</v>
      </c>
      <c r="Q7" s="3724"/>
      <c r="R7" s="697" t="s">
        <v>14</v>
      </c>
      <c r="S7" s="698">
        <f t="shared" ref="S7:S14" si="0">F7</f>
        <v>0</v>
      </c>
      <c r="T7" s="697" t="s">
        <v>14</v>
      </c>
      <c r="U7" s="698">
        <f t="shared" ref="U7:U14" si="1">H7</f>
        <v>0</v>
      </c>
      <c r="V7" s="697" t="s">
        <v>14</v>
      </c>
      <c r="W7" s="698">
        <f t="shared" ref="W7:W14" si="2">J7</f>
        <v>0</v>
      </c>
      <c r="X7" s="699"/>
      <c r="Y7" s="3722" t="s">
        <v>1677</v>
      </c>
      <c r="Z7" s="3723"/>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722" t="s">
        <v>1680</v>
      </c>
      <c r="Q8" s="3723"/>
      <c r="R8" s="697" t="s">
        <v>14</v>
      </c>
      <c r="S8" s="698">
        <f t="shared" si="0"/>
        <v>100</v>
      </c>
      <c r="T8" s="697" t="s">
        <v>14</v>
      </c>
      <c r="U8" s="698">
        <f t="shared" si="1"/>
        <v>100</v>
      </c>
      <c r="V8" s="697" t="s">
        <v>14</v>
      </c>
      <c r="W8" s="698">
        <f t="shared" si="2"/>
        <v>100</v>
      </c>
      <c r="X8" s="699"/>
      <c r="Y8" s="3722" t="s">
        <v>1680</v>
      </c>
      <c r="Z8" s="3723"/>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694" t="s">
        <v>1683</v>
      </c>
      <c r="Q9" s="1339" t="str">
        <f t="shared" ref="Q9:Q14" si="6">B9</f>
        <v>用途</v>
      </c>
      <c r="R9" s="697" t="s">
        <v>14</v>
      </c>
      <c r="S9" s="698">
        <f t="shared" si="0"/>
        <v>100</v>
      </c>
      <c r="T9" s="697" t="s">
        <v>14</v>
      </c>
      <c r="U9" s="698">
        <f t="shared" si="1"/>
        <v>100</v>
      </c>
      <c r="V9" s="697" t="s">
        <v>14</v>
      </c>
      <c r="W9" s="698">
        <f t="shared" si="2"/>
        <v>100</v>
      </c>
      <c r="X9" s="699"/>
      <c r="Y9" s="3591"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694"/>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694"/>
      <c r="Q11" s="1339">
        <f t="shared" si="6"/>
        <v>111</v>
      </c>
      <c r="R11" s="697" t="s">
        <v>14</v>
      </c>
      <c r="S11" s="698">
        <f t="shared" si="0"/>
        <v>100</v>
      </c>
      <c r="T11" s="697" t="s">
        <v>14</v>
      </c>
      <c r="U11" s="698">
        <f t="shared" si="1"/>
        <v>100</v>
      </c>
      <c r="V11" s="697" t="s">
        <v>14</v>
      </c>
      <c r="W11" s="698">
        <f t="shared" si="2"/>
        <v>100</v>
      </c>
      <c r="X11" s="699"/>
      <c r="Y11" s="3591"/>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694"/>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694"/>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695" t="s">
        <v>1688</v>
      </c>
      <c r="Q14" s="1348" t="str">
        <f t="shared" si="6"/>
        <v>交通便捷度</v>
      </c>
      <c r="R14" s="701" t="s">
        <v>14</v>
      </c>
      <c r="S14" s="702">
        <f t="shared" si="0"/>
        <v>100</v>
      </c>
      <c r="T14" s="701" t="s">
        <v>14</v>
      </c>
      <c r="U14" s="702">
        <f t="shared" si="1"/>
        <v>100</v>
      </c>
      <c r="V14" s="701" t="s">
        <v>14</v>
      </c>
      <c r="W14" s="702">
        <f t="shared" si="2"/>
        <v>100</v>
      </c>
      <c r="X14" s="1351"/>
      <c r="Y14" s="3695"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696"/>
      <c r="Q15" s="1348"/>
      <c r="R15" s="701"/>
      <c r="S15" s="702"/>
      <c r="T15" s="701"/>
      <c r="U15" s="702"/>
      <c r="V15" s="701"/>
      <c r="W15" s="702"/>
      <c r="X15" s="1351"/>
      <c r="Y15" s="3696"/>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696"/>
      <c r="Q16" s="1348" t="str">
        <f>B16</f>
        <v>公共配套设施</v>
      </c>
      <c r="R16" s="701" t="s">
        <v>14</v>
      </c>
      <c r="S16" s="702">
        <f>F16</f>
        <v>100</v>
      </c>
      <c r="T16" s="701" t="s">
        <v>14</v>
      </c>
      <c r="U16" s="702">
        <f>H16</f>
        <v>100</v>
      </c>
      <c r="V16" s="701" t="s">
        <v>14</v>
      </c>
      <c r="W16" s="702">
        <f>J16</f>
        <v>100</v>
      </c>
      <c r="X16" s="1351"/>
      <c r="Y16" s="3696"/>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696"/>
      <c r="Q17" s="1348"/>
      <c r="R17" s="701"/>
      <c r="S17" s="702"/>
      <c r="T17" s="701"/>
      <c r="U17" s="702"/>
      <c r="V17" s="701"/>
      <c r="W17" s="702"/>
      <c r="X17" s="1351"/>
      <c r="Y17" s="3696"/>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696"/>
      <c r="Q18" s="1348" t="str">
        <f>B18</f>
        <v>基础设施水平</v>
      </c>
      <c r="R18" s="701" t="s">
        <v>14</v>
      </c>
      <c r="S18" s="702">
        <f>F18</f>
        <v>100</v>
      </c>
      <c r="T18" s="701" t="s">
        <v>14</v>
      </c>
      <c r="U18" s="702">
        <f>H18</f>
        <v>100</v>
      </c>
      <c r="V18" s="701" t="s">
        <v>14</v>
      </c>
      <c r="W18" s="702">
        <f>J18</f>
        <v>100</v>
      </c>
      <c r="X18" s="1351"/>
      <c r="Y18" s="3696"/>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696"/>
      <c r="Q19" s="1348"/>
      <c r="R19" s="701"/>
      <c r="S19" s="702"/>
      <c r="T19" s="701"/>
      <c r="U19" s="702"/>
      <c r="V19" s="701"/>
      <c r="W19" s="702"/>
      <c r="X19" s="1351"/>
      <c r="Y19" s="3696"/>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696"/>
      <c r="Q20" s="1348" t="str">
        <f>B20</f>
        <v>自然及人文环境</v>
      </c>
      <c r="R20" s="701" t="s">
        <v>14</v>
      </c>
      <c r="S20" s="702">
        <f>F20</f>
        <v>100</v>
      </c>
      <c r="T20" s="701" t="s">
        <v>14</v>
      </c>
      <c r="U20" s="702">
        <f>H20</f>
        <v>100</v>
      </c>
      <c r="V20" s="701" t="s">
        <v>14</v>
      </c>
      <c r="W20" s="702">
        <f>J20</f>
        <v>100</v>
      </c>
      <c r="X20" s="1351"/>
      <c r="Y20" s="3696"/>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696"/>
      <c r="Q21" s="1348"/>
      <c r="R21" s="701"/>
      <c r="S21" s="702"/>
      <c r="T21" s="701"/>
      <c r="U21" s="702"/>
      <c r="V21" s="701"/>
      <c r="W21" s="702"/>
      <c r="X21" s="1351"/>
      <c r="Y21" s="3696"/>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696"/>
      <c r="Q22" s="1348" t="str">
        <f>B22</f>
        <v>楼层</v>
      </c>
      <c r="R22" s="701" t="s">
        <v>14</v>
      </c>
      <c r="S22" s="702">
        <f>F22</f>
        <v>100</v>
      </c>
      <c r="T22" s="701" t="s">
        <v>14</v>
      </c>
      <c r="U22" s="702">
        <f>H22</f>
        <v>100</v>
      </c>
      <c r="V22" s="701" t="s">
        <v>14</v>
      </c>
      <c r="W22" s="702">
        <f>J22</f>
        <v>100</v>
      </c>
      <c r="X22" s="1351"/>
      <c r="Y22" s="3696"/>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696"/>
      <c r="Q23" s="1348">
        <f>B23</f>
        <v>111</v>
      </c>
      <c r="R23" s="701" t="s">
        <v>14</v>
      </c>
      <c r="S23" s="702">
        <f>F23</f>
        <v>100</v>
      </c>
      <c r="T23" s="701" t="s">
        <v>14</v>
      </c>
      <c r="U23" s="702">
        <f>H23</f>
        <v>100</v>
      </c>
      <c r="V23" s="701" t="s">
        <v>14</v>
      </c>
      <c r="W23" s="702">
        <f>J23</f>
        <v>100</v>
      </c>
      <c r="X23" s="1351"/>
      <c r="Y23" s="3696"/>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696"/>
      <c r="Q24" s="1348">
        <f t="shared" ref="Q24:Q36" si="11">B24</f>
        <v>111</v>
      </c>
      <c r="R24" s="701" t="s">
        <v>14</v>
      </c>
      <c r="S24" s="702">
        <f>F24</f>
        <v>100</v>
      </c>
      <c r="T24" s="701" t="s">
        <v>14</v>
      </c>
      <c r="U24" s="702">
        <f>H24</f>
        <v>100</v>
      </c>
      <c r="V24" s="701" t="s">
        <v>14</v>
      </c>
      <c r="W24" s="702">
        <f>J24</f>
        <v>100</v>
      </c>
      <c r="X24" s="1351"/>
      <c r="Y24" s="3696"/>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696"/>
      <c r="Q25" s="1339">
        <f t="shared" si="11"/>
        <v>111</v>
      </c>
      <c r="R25" s="697" t="s">
        <v>14</v>
      </c>
      <c r="S25" s="698">
        <f>F25</f>
        <v>100</v>
      </c>
      <c r="T25" s="697" t="s">
        <v>14</v>
      </c>
      <c r="U25" s="698">
        <f>H25</f>
        <v>100</v>
      </c>
      <c r="V25" s="697" t="s">
        <v>14</v>
      </c>
      <c r="W25" s="698">
        <f>J25</f>
        <v>100</v>
      </c>
      <c r="X25" s="699"/>
      <c r="Y25" s="3696"/>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697"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698"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698"/>
      <c r="Q27" s="703" t="str">
        <f t="shared" si="11"/>
        <v>项目停车位配比</v>
      </c>
      <c r="R27" s="704" t="s">
        <v>14</v>
      </c>
      <c r="S27" s="705">
        <f t="shared" si="12"/>
        <v>100</v>
      </c>
      <c r="T27" s="704" t="s">
        <v>14</v>
      </c>
      <c r="U27" s="705">
        <f t="shared" si="13"/>
        <v>100</v>
      </c>
      <c r="V27" s="704" t="s">
        <v>14</v>
      </c>
      <c r="W27" s="705">
        <f t="shared" si="14"/>
        <v>100</v>
      </c>
      <c r="X27" s="706"/>
      <c r="Y27" s="3698"/>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698"/>
      <c r="Q28" s="1348" t="str">
        <f t="shared" si="11"/>
        <v>公共部分装修</v>
      </c>
      <c r="R28" s="701" t="s">
        <v>14</v>
      </c>
      <c r="S28" s="702">
        <f t="shared" si="12"/>
        <v>100</v>
      </c>
      <c r="T28" s="701" t="s">
        <v>14</v>
      </c>
      <c r="U28" s="702">
        <f t="shared" si="13"/>
        <v>100</v>
      </c>
      <c r="V28" s="701" t="s">
        <v>14</v>
      </c>
      <c r="W28" s="702">
        <f t="shared" si="14"/>
        <v>100</v>
      </c>
      <c r="X28" s="1351"/>
      <c r="Y28" s="3698"/>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698"/>
      <c r="Q29" s="1348" t="str">
        <f t="shared" si="11"/>
        <v>成新率</v>
      </c>
      <c r="R29" s="701" t="s">
        <v>14</v>
      </c>
      <c r="S29" s="702" t="e">
        <f t="shared" si="12"/>
        <v>#N/A</v>
      </c>
      <c r="T29" s="701" t="s">
        <v>14</v>
      </c>
      <c r="U29" s="702" t="e">
        <f t="shared" si="13"/>
        <v>#N/A</v>
      </c>
      <c r="V29" s="701" t="s">
        <v>14</v>
      </c>
      <c r="W29" s="702" t="e">
        <f t="shared" si="14"/>
        <v>#N/A</v>
      </c>
      <c r="X29" s="1351"/>
      <c r="Y29" s="3698"/>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698"/>
      <c r="Q30" s="1348" t="str">
        <f t="shared" si="11"/>
        <v>物业等级</v>
      </c>
      <c r="R30" s="701" t="s">
        <v>14</v>
      </c>
      <c r="S30" s="702">
        <f t="shared" si="12"/>
        <v>100</v>
      </c>
      <c r="T30" s="701" t="s">
        <v>14</v>
      </c>
      <c r="U30" s="702">
        <f t="shared" si="13"/>
        <v>100</v>
      </c>
      <c r="V30" s="701" t="s">
        <v>14</v>
      </c>
      <c r="W30" s="702">
        <f t="shared" si="14"/>
        <v>100</v>
      </c>
      <c r="X30" s="1351"/>
      <c r="Y30" s="3698"/>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698"/>
      <c r="Q31" s="1339" t="str">
        <f t="shared" si="11"/>
        <v>停车位面积</v>
      </c>
      <c r="R31" s="697" t="s">
        <v>14</v>
      </c>
      <c r="S31" s="698" t="e">
        <f t="shared" si="12"/>
        <v>#N/A</v>
      </c>
      <c r="T31" s="697" t="s">
        <v>14</v>
      </c>
      <c r="U31" s="698" t="e">
        <f t="shared" si="13"/>
        <v>#N/A</v>
      </c>
      <c r="V31" s="697" t="s">
        <v>14</v>
      </c>
      <c r="W31" s="698" t="e">
        <f t="shared" si="14"/>
        <v>#N/A</v>
      </c>
      <c r="X31" s="699"/>
      <c r="Y31" s="3698"/>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698" t="s">
        <v>1693</v>
      </c>
      <c r="Q32" s="1348" t="str">
        <f t="shared" si="11"/>
        <v>车位类型</v>
      </c>
      <c r="R32" s="701" t="s">
        <v>14</v>
      </c>
      <c r="S32" s="702">
        <f t="shared" si="12"/>
        <v>100</v>
      </c>
      <c r="T32" s="701" t="s">
        <v>14</v>
      </c>
      <c r="U32" s="702">
        <f t="shared" si="13"/>
        <v>100</v>
      </c>
      <c r="V32" s="701" t="s">
        <v>14</v>
      </c>
      <c r="W32" s="702">
        <f t="shared" si="14"/>
        <v>100</v>
      </c>
      <c r="X32" s="1351"/>
      <c r="Y32" s="3698"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698"/>
      <c r="Q33" s="1348" t="str">
        <f t="shared" si="11"/>
        <v>是否直接入户</v>
      </c>
      <c r="R33" s="701" t="s">
        <v>14</v>
      </c>
      <c r="S33" s="702">
        <f t="shared" si="12"/>
        <v>100</v>
      </c>
      <c r="T33" s="701" t="s">
        <v>14</v>
      </c>
      <c r="U33" s="702">
        <f t="shared" si="13"/>
        <v>100</v>
      </c>
      <c r="V33" s="701" t="s">
        <v>14</v>
      </c>
      <c r="W33" s="702">
        <f t="shared" si="14"/>
        <v>100</v>
      </c>
      <c r="X33" s="1351"/>
      <c r="Y33" s="3698"/>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698"/>
      <c r="Q34" s="1348">
        <f t="shared" si="11"/>
        <v>111</v>
      </c>
      <c r="R34" s="701" t="s">
        <v>14</v>
      </c>
      <c r="S34" s="702">
        <f t="shared" si="12"/>
        <v>100</v>
      </c>
      <c r="T34" s="701" t="s">
        <v>14</v>
      </c>
      <c r="U34" s="702">
        <f t="shared" si="13"/>
        <v>100</v>
      </c>
      <c r="V34" s="701" t="s">
        <v>14</v>
      </c>
      <c r="W34" s="702">
        <f t="shared" si="14"/>
        <v>100</v>
      </c>
      <c r="X34" s="1351"/>
      <c r="Y34" s="3698"/>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698"/>
      <c r="Q35" s="703">
        <f t="shared" si="11"/>
        <v>111</v>
      </c>
      <c r="R35" s="704" t="s">
        <v>14</v>
      </c>
      <c r="S35" s="705">
        <f t="shared" si="12"/>
        <v>100</v>
      </c>
      <c r="T35" s="704" t="s">
        <v>14</v>
      </c>
      <c r="U35" s="705">
        <f t="shared" si="13"/>
        <v>100</v>
      </c>
      <c r="V35" s="704" t="s">
        <v>14</v>
      </c>
      <c r="W35" s="705">
        <f t="shared" si="14"/>
        <v>100</v>
      </c>
      <c r="X35" s="706"/>
      <c r="Y35" s="3698"/>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698"/>
      <c r="Q36" s="1348">
        <f t="shared" si="11"/>
        <v>111</v>
      </c>
      <c r="R36" s="701" t="s">
        <v>14</v>
      </c>
      <c r="S36" s="702">
        <f t="shared" si="12"/>
        <v>100</v>
      </c>
      <c r="T36" s="701" t="s">
        <v>14</v>
      </c>
      <c r="U36" s="702">
        <f t="shared" si="13"/>
        <v>100</v>
      </c>
      <c r="V36" s="701" t="s">
        <v>14</v>
      </c>
      <c r="W36" s="702">
        <f t="shared" si="14"/>
        <v>100</v>
      </c>
      <c r="X36" s="1351"/>
      <c r="Y36" s="3698"/>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694" t="str">
        <f>A37</f>
        <v>成交单价</v>
      </c>
      <c r="Q37" s="3694"/>
      <c r="R37" s="3779">
        <f>E37</f>
        <v>0</v>
      </c>
      <c r="S37" s="3779"/>
      <c r="T37" s="3779">
        <f>G37</f>
        <v>0</v>
      </c>
      <c r="U37" s="3779"/>
      <c r="V37" s="3779">
        <f>I37</f>
        <v>0</v>
      </c>
      <c r="W37" s="3779"/>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694" t="str">
        <f>A38</f>
        <v>比较价值（元/平方米）</v>
      </c>
      <c r="Q38" s="3694"/>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688" t="str">
        <f>A39</f>
        <v>估价对象XX用房的比较价值（楼面单价，元/平方米）</v>
      </c>
      <c r="Q39" s="3689"/>
      <c r="R39" s="3801" t="e">
        <f>IF(F1="售价",ROUND(IF(D38="简单平均",AVERAGE(R38:W38),R38*F38+T38*H38+V38*J38),0),ROUND(IF(D38="简单平均",AVERAGE(R38:V38),R38*F38+T38*H38+V38*J38),1))</f>
        <v>#DIV/0!</v>
      </c>
      <c r="S39" s="3801"/>
      <c r="T39" s="3801"/>
      <c r="U39" s="3801"/>
      <c r="V39" s="3801"/>
      <c r="W39" s="3801"/>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1" t="s">
        <v>1767</v>
      </c>
      <c r="D4" s="3703"/>
      <c r="E4" s="3704" t="s">
        <v>1768</v>
      </c>
      <c r="F4" s="3705"/>
      <c r="G4" s="3691" t="s">
        <v>1769</v>
      </c>
      <c r="H4" s="3703"/>
      <c r="I4" s="3691" t="s">
        <v>1770</v>
      </c>
      <c r="J4" s="3703"/>
      <c r="K4" s="556" t="s">
        <v>1771</v>
      </c>
      <c r="L4" s="2711"/>
      <c r="M4" s="2712"/>
      <c r="N4" s="2712"/>
      <c r="O4" s="2712"/>
      <c r="P4" s="3706" t="s">
        <v>1772</v>
      </c>
      <c r="Q4" s="3707"/>
      <c r="R4" s="3712" t="s">
        <v>1768</v>
      </c>
      <c r="S4" s="3713"/>
      <c r="T4" s="3712" t="s">
        <v>1769</v>
      </c>
      <c r="U4" s="3713"/>
      <c r="V4" s="3699" t="s">
        <v>1770</v>
      </c>
      <c r="W4" s="3699"/>
      <c r="X4" s="1351"/>
      <c r="Y4" s="3712" t="s">
        <v>1772</v>
      </c>
      <c r="Z4" s="3713"/>
      <c r="AA4" s="3700" t="s">
        <v>1768</v>
      </c>
      <c r="AB4" s="3701" t="s">
        <v>1769</v>
      </c>
      <c r="AC4" s="3700" t="s">
        <v>1770</v>
      </c>
    </row>
    <row r="5" spans="1:29" ht="15">
      <c r="A5" s="355"/>
      <c r="B5" s="356"/>
      <c r="C5" s="3720" t="s">
        <v>1670</v>
      </c>
      <c r="D5" s="3721"/>
      <c r="E5" s="3727" t="s">
        <v>1671</v>
      </c>
      <c r="F5" s="3728"/>
      <c r="G5" s="3720" t="s">
        <v>1672</v>
      </c>
      <c r="H5" s="3721"/>
      <c r="I5" s="3720" t="s">
        <v>1673</v>
      </c>
      <c r="J5" s="3721"/>
      <c r="K5" s="556"/>
      <c r="L5" s="2711"/>
      <c r="M5" s="2712"/>
      <c r="N5" s="2712"/>
      <c r="O5" s="2712"/>
      <c r="P5" s="3708"/>
      <c r="Q5" s="3709"/>
      <c r="R5" s="3714"/>
      <c r="S5" s="3715"/>
      <c r="T5" s="3714"/>
      <c r="U5" s="3715"/>
      <c r="V5" s="3699"/>
      <c r="W5" s="3699"/>
      <c r="X5" s="1351"/>
      <c r="Y5" s="3714"/>
      <c r="Z5" s="3715"/>
      <c r="AA5" s="3701"/>
      <c r="AB5" s="3701"/>
      <c r="AC5" s="3701"/>
    </row>
    <row r="6" spans="1:29" ht="15.75" thickBot="1">
      <c r="A6" s="357"/>
      <c r="B6" s="358"/>
      <c r="C6" s="3718" t="s">
        <v>1674</v>
      </c>
      <c r="D6" s="3719"/>
      <c r="E6" s="3725" t="s">
        <v>1674</v>
      </c>
      <c r="F6" s="3726"/>
      <c r="G6" s="3718" t="s">
        <v>1674</v>
      </c>
      <c r="H6" s="3719"/>
      <c r="I6" s="3718" t="s">
        <v>1674</v>
      </c>
      <c r="J6" s="3719"/>
      <c r="K6" s="556" t="s">
        <v>1675</v>
      </c>
      <c r="L6" s="2711"/>
      <c r="M6" s="2712"/>
      <c r="N6" s="2712"/>
      <c r="O6" s="2712"/>
      <c r="P6" s="3710"/>
      <c r="Q6" s="3711"/>
      <c r="R6" s="3714"/>
      <c r="S6" s="3715"/>
      <c r="T6" s="3716"/>
      <c r="U6" s="3717"/>
      <c r="V6" s="3699"/>
      <c r="W6" s="3699"/>
      <c r="X6" s="1351"/>
      <c r="Y6" s="3716"/>
      <c r="Z6" s="3717"/>
      <c r="AA6" s="3702"/>
      <c r="AB6" s="3702"/>
      <c r="AC6" s="3702"/>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722" t="s">
        <v>1677</v>
      </c>
      <c r="Q7" s="3724"/>
      <c r="R7" s="697" t="s">
        <v>14</v>
      </c>
      <c r="S7" s="698">
        <f t="shared" ref="S7:S14" si="0">F7</f>
        <v>0</v>
      </c>
      <c r="T7" s="697" t="s">
        <v>14</v>
      </c>
      <c r="U7" s="698">
        <f t="shared" ref="U7:U14" si="1">H7</f>
        <v>0</v>
      </c>
      <c r="V7" s="697" t="s">
        <v>14</v>
      </c>
      <c r="W7" s="698">
        <f t="shared" ref="W7:W14" si="2">J7</f>
        <v>0</v>
      </c>
      <c r="X7" s="699"/>
      <c r="Y7" s="3722" t="s">
        <v>1677</v>
      </c>
      <c r="Z7" s="3723"/>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722" t="s">
        <v>1680</v>
      </c>
      <c r="Q8" s="3723"/>
      <c r="R8" s="697" t="s">
        <v>14</v>
      </c>
      <c r="S8" s="698">
        <f t="shared" si="0"/>
        <v>100</v>
      </c>
      <c r="T8" s="697" t="s">
        <v>14</v>
      </c>
      <c r="U8" s="698">
        <f t="shared" si="1"/>
        <v>100</v>
      </c>
      <c r="V8" s="697" t="s">
        <v>14</v>
      </c>
      <c r="W8" s="698">
        <f t="shared" si="2"/>
        <v>100</v>
      </c>
      <c r="X8" s="699"/>
      <c r="Y8" s="3722" t="s">
        <v>1680</v>
      </c>
      <c r="Z8" s="3723"/>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694" t="s">
        <v>1683</v>
      </c>
      <c r="Q9" s="1339" t="str">
        <f t="shared" ref="Q9:Q14" si="6">B9</f>
        <v>用途</v>
      </c>
      <c r="R9" s="697" t="s">
        <v>14</v>
      </c>
      <c r="S9" s="698">
        <f t="shared" si="0"/>
        <v>100</v>
      </c>
      <c r="T9" s="697" t="s">
        <v>14</v>
      </c>
      <c r="U9" s="698">
        <f t="shared" si="1"/>
        <v>100</v>
      </c>
      <c r="V9" s="697" t="s">
        <v>14</v>
      </c>
      <c r="W9" s="698">
        <f t="shared" si="2"/>
        <v>100</v>
      </c>
      <c r="X9" s="699"/>
      <c r="Y9" s="3591"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694"/>
      <c r="Q10" s="1339" t="str">
        <f t="shared" si="6"/>
        <v>土地使用年限（年）</v>
      </c>
      <c r="R10" s="697" t="s">
        <v>14</v>
      </c>
      <c r="S10" s="698">
        <f t="shared" si="0"/>
        <v>100</v>
      </c>
      <c r="T10" s="697" t="s">
        <v>14</v>
      </c>
      <c r="U10" s="698">
        <f t="shared" si="1"/>
        <v>100</v>
      </c>
      <c r="V10" s="697" t="s">
        <v>14</v>
      </c>
      <c r="W10" s="698">
        <f t="shared" si="2"/>
        <v>100</v>
      </c>
      <c r="X10" s="699"/>
      <c r="Y10" s="3591"/>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694"/>
      <c r="Q11" s="1339">
        <f t="shared" si="6"/>
        <v>111</v>
      </c>
      <c r="R11" s="697" t="s">
        <v>14</v>
      </c>
      <c r="S11" s="698">
        <f t="shared" si="0"/>
        <v>100</v>
      </c>
      <c r="T11" s="697" t="s">
        <v>14</v>
      </c>
      <c r="U11" s="698">
        <f t="shared" si="1"/>
        <v>100</v>
      </c>
      <c r="V11" s="697" t="s">
        <v>14</v>
      </c>
      <c r="W11" s="698">
        <f t="shared" si="2"/>
        <v>100</v>
      </c>
      <c r="X11" s="699"/>
      <c r="Y11" s="3591"/>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694"/>
      <c r="Q12" s="1339">
        <f t="shared" si="6"/>
        <v>111</v>
      </c>
      <c r="R12" s="697" t="s">
        <v>14</v>
      </c>
      <c r="S12" s="698">
        <f t="shared" si="0"/>
        <v>100</v>
      </c>
      <c r="T12" s="697" t="s">
        <v>14</v>
      </c>
      <c r="U12" s="698">
        <f t="shared" si="1"/>
        <v>100</v>
      </c>
      <c r="V12" s="697" t="s">
        <v>14</v>
      </c>
      <c r="W12" s="698">
        <f t="shared" si="2"/>
        <v>100</v>
      </c>
      <c r="X12" s="699"/>
      <c r="Y12" s="3591"/>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694"/>
      <c r="Q13" s="1339">
        <f t="shared" si="6"/>
        <v>111</v>
      </c>
      <c r="R13" s="697" t="s">
        <v>14</v>
      </c>
      <c r="S13" s="698">
        <f t="shared" si="0"/>
        <v>100</v>
      </c>
      <c r="T13" s="697" t="s">
        <v>14</v>
      </c>
      <c r="U13" s="698">
        <f t="shared" si="1"/>
        <v>100</v>
      </c>
      <c r="V13" s="697" t="s">
        <v>14</v>
      </c>
      <c r="W13" s="698">
        <f t="shared" si="2"/>
        <v>100</v>
      </c>
      <c r="X13" s="699"/>
      <c r="Y13" s="3591"/>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695" t="s">
        <v>1688</v>
      </c>
      <c r="Q14" s="1348" t="str">
        <f t="shared" si="6"/>
        <v>交通便捷度</v>
      </c>
      <c r="R14" s="701" t="s">
        <v>14</v>
      </c>
      <c r="S14" s="702">
        <f t="shared" si="0"/>
        <v>100</v>
      </c>
      <c r="T14" s="701" t="s">
        <v>14</v>
      </c>
      <c r="U14" s="702">
        <f t="shared" si="1"/>
        <v>100</v>
      </c>
      <c r="V14" s="701" t="s">
        <v>14</v>
      </c>
      <c r="W14" s="702">
        <f t="shared" si="2"/>
        <v>100</v>
      </c>
      <c r="X14" s="1351"/>
      <c r="Y14" s="3695"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696"/>
      <c r="Q15" s="1348"/>
      <c r="R15" s="701"/>
      <c r="S15" s="702"/>
      <c r="T15" s="701"/>
      <c r="U15" s="702"/>
      <c r="V15" s="701"/>
      <c r="W15" s="702"/>
      <c r="X15" s="1351"/>
      <c r="Y15" s="3696"/>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696"/>
      <c r="Q16" s="1348" t="str">
        <f>B16</f>
        <v>公共配套设施</v>
      </c>
      <c r="R16" s="701" t="s">
        <v>14</v>
      </c>
      <c r="S16" s="702">
        <f>F16</f>
        <v>100</v>
      </c>
      <c r="T16" s="701" t="s">
        <v>14</v>
      </c>
      <c r="U16" s="702">
        <f>H16</f>
        <v>100</v>
      </c>
      <c r="V16" s="701" t="s">
        <v>14</v>
      </c>
      <c r="W16" s="702">
        <f>J16</f>
        <v>100</v>
      </c>
      <c r="X16" s="1351"/>
      <c r="Y16" s="3696"/>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696"/>
      <c r="Q17" s="1348"/>
      <c r="R17" s="701"/>
      <c r="S17" s="702"/>
      <c r="T17" s="701"/>
      <c r="U17" s="702"/>
      <c r="V17" s="701"/>
      <c r="W17" s="702"/>
      <c r="X17" s="1351"/>
      <c r="Y17" s="3696"/>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696"/>
      <c r="Q18" s="1348" t="str">
        <f>B18</f>
        <v>基础设施水平</v>
      </c>
      <c r="R18" s="701" t="s">
        <v>14</v>
      </c>
      <c r="S18" s="702">
        <f>F18</f>
        <v>100</v>
      </c>
      <c r="T18" s="701" t="s">
        <v>14</v>
      </c>
      <c r="U18" s="702">
        <f>H18</f>
        <v>100</v>
      </c>
      <c r="V18" s="701" t="s">
        <v>14</v>
      </c>
      <c r="W18" s="702">
        <f>J18</f>
        <v>100</v>
      </c>
      <c r="X18" s="1351"/>
      <c r="Y18" s="3696"/>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696"/>
      <c r="Q19" s="1348"/>
      <c r="R19" s="701"/>
      <c r="S19" s="702"/>
      <c r="T19" s="701"/>
      <c r="U19" s="702"/>
      <c r="V19" s="701"/>
      <c r="W19" s="702"/>
      <c r="X19" s="1351"/>
      <c r="Y19" s="3696"/>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696"/>
      <c r="Q20" s="1348" t="str">
        <f>B20</f>
        <v>自然及人文环境</v>
      </c>
      <c r="R20" s="701" t="s">
        <v>14</v>
      </c>
      <c r="S20" s="702">
        <f>F20</f>
        <v>100</v>
      </c>
      <c r="T20" s="701" t="s">
        <v>14</v>
      </c>
      <c r="U20" s="702">
        <f>H20</f>
        <v>100</v>
      </c>
      <c r="V20" s="701" t="s">
        <v>14</v>
      </c>
      <c r="W20" s="702">
        <f>J20</f>
        <v>100</v>
      </c>
      <c r="X20" s="1351"/>
      <c r="Y20" s="3696"/>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696"/>
      <c r="Q21" s="1348"/>
      <c r="R21" s="701"/>
      <c r="S21" s="702"/>
      <c r="T21" s="701"/>
      <c r="U21" s="702"/>
      <c r="V21" s="701"/>
      <c r="W21" s="702"/>
      <c r="X21" s="1351"/>
      <c r="Y21" s="3696"/>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696"/>
      <c r="Q22" s="1348" t="str">
        <f>B22</f>
        <v>楼层</v>
      </c>
      <c r="R22" s="701" t="s">
        <v>14</v>
      </c>
      <c r="S22" s="702">
        <f>F22</f>
        <v>100</v>
      </c>
      <c r="T22" s="701" t="s">
        <v>14</v>
      </c>
      <c r="U22" s="702">
        <f>H22</f>
        <v>100</v>
      </c>
      <c r="V22" s="701" t="s">
        <v>14</v>
      </c>
      <c r="W22" s="702">
        <f>J22</f>
        <v>100</v>
      </c>
      <c r="X22" s="1351"/>
      <c r="Y22" s="3696"/>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696"/>
      <c r="Q23" s="1348">
        <f>B23</f>
        <v>111</v>
      </c>
      <c r="R23" s="701" t="s">
        <v>14</v>
      </c>
      <c r="S23" s="702">
        <f>F23</f>
        <v>100</v>
      </c>
      <c r="T23" s="701" t="s">
        <v>14</v>
      </c>
      <c r="U23" s="702">
        <f>H23</f>
        <v>100</v>
      </c>
      <c r="V23" s="701" t="s">
        <v>14</v>
      </c>
      <c r="W23" s="702">
        <f>J23</f>
        <v>100</v>
      </c>
      <c r="X23" s="1351"/>
      <c r="Y23" s="3696"/>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696"/>
      <c r="Q24" s="1348">
        <f t="shared" ref="Q24:Q34" si="11">B24</f>
        <v>111</v>
      </c>
      <c r="R24" s="701" t="s">
        <v>14</v>
      </c>
      <c r="S24" s="702">
        <f>F24</f>
        <v>100</v>
      </c>
      <c r="T24" s="701" t="s">
        <v>14</v>
      </c>
      <c r="U24" s="702">
        <f>H24</f>
        <v>100</v>
      </c>
      <c r="V24" s="701" t="s">
        <v>14</v>
      </c>
      <c r="W24" s="702">
        <f>J24</f>
        <v>100</v>
      </c>
      <c r="X24" s="1351"/>
      <c r="Y24" s="3696"/>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696"/>
      <c r="Q25" s="1339">
        <f t="shared" si="11"/>
        <v>111</v>
      </c>
      <c r="R25" s="697" t="s">
        <v>14</v>
      </c>
      <c r="S25" s="698">
        <f>F25</f>
        <v>100</v>
      </c>
      <c r="T25" s="697" t="s">
        <v>14</v>
      </c>
      <c r="U25" s="698">
        <f>H25</f>
        <v>100</v>
      </c>
      <c r="V25" s="697" t="s">
        <v>14</v>
      </c>
      <c r="W25" s="698">
        <f>J25</f>
        <v>100</v>
      </c>
      <c r="X25" s="699"/>
      <c r="Y25" s="3696"/>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697"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98"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698"/>
      <c r="Q27" s="703" t="str">
        <f t="shared" si="11"/>
        <v>成新率</v>
      </c>
      <c r="R27" s="704" t="s">
        <v>14</v>
      </c>
      <c r="S27" s="705" t="e">
        <f t="shared" si="12"/>
        <v>#N/A</v>
      </c>
      <c r="T27" s="704" t="s">
        <v>14</v>
      </c>
      <c r="U27" s="705" t="e">
        <f t="shared" si="13"/>
        <v>#N/A</v>
      </c>
      <c r="V27" s="704" t="s">
        <v>14</v>
      </c>
      <c r="W27" s="705" t="e">
        <f t="shared" si="14"/>
        <v>#N/A</v>
      </c>
      <c r="X27" s="706"/>
      <c r="Y27" s="3698"/>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698"/>
      <c r="Q28" s="1348" t="str">
        <f t="shared" si="11"/>
        <v>物业等级</v>
      </c>
      <c r="R28" s="701" t="s">
        <v>14</v>
      </c>
      <c r="S28" s="702">
        <f t="shared" si="12"/>
        <v>100</v>
      </c>
      <c r="T28" s="701" t="s">
        <v>14</v>
      </c>
      <c r="U28" s="702">
        <f t="shared" si="13"/>
        <v>100</v>
      </c>
      <c r="V28" s="701" t="s">
        <v>14</v>
      </c>
      <c r="W28" s="702">
        <f t="shared" si="14"/>
        <v>100</v>
      </c>
      <c r="X28" s="1351"/>
      <c r="Y28" s="3698"/>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698"/>
      <c r="Q29" s="1348" t="str">
        <f t="shared" si="11"/>
        <v>有无电梯</v>
      </c>
      <c r="R29" s="701" t="s">
        <v>14</v>
      </c>
      <c r="S29" s="702">
        <f t="shared" si="12"/>
        <v>100</v>
      </c>
      <c r="T29" s="701" t="s">
        <v>14</v>
      </c>
      <c r="U29" s="702">
        <f t="shared" si="13"/>
        <v>100</v>
      </c>
      <c r="V29" s="701" t="s">
        <v>14</v>
      </c>
      <c r="W29" s="702">
        <f t="shared" si="14"/>
        <v>100</v>
      </c>
      <c r="X29" s="1351"/>
      <c r="Y29" s="3698"/>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698"/>
      <c r="Q30" s="1348" t="str">
        <f t="shared" si="11"/>
        <v>建筑面积</v>
      </c>
      <c r="R30" s="701" t="s">
        <v>14</v>
      </c>
      <c r="S30" s="702" t="e">
        <f t="shared" si="12"/>
        <v>#N/A</v>
      </c>
      <c r="T30" s="701" t="s">
        <v>14</v>
      </c>
      <c r="U30" s="702" t="e">
        <f t="shared" si="13"/>
        <v>#N/A</v>
      </c>
      <c r="V30" s="701" t="s">
        <v>14</v>
      </c>
      <c r="W30" s="702" t="e">
        <f t="shared" si="14"/>
        <v>#N/A</v>
      </c>
      <c r="X30" s="1351"/>
      <c r="Y30" s="3698"/>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698"/>
      <c r="Q31" s="1339" t="str">
        <f t="shared" si="11"/>
        <v>是否封闭</v>
      </c>
      <c r="R31" s="697" t="s">
        <v>14</v>
      </c>
      <c r="S31" s="698">
        <f t="shared" si="12"/>
        <v>100</v>
      </c>
      <c r="T31" s="697" t="s">
        <v>14</v>
      </c>
      <c r="U31" s="698">
        <f t="shared" si="13"/>
        <v>100</v>
      </c>
      <c r="V31" s="697" t="s">
        <v>14</v>
      </c>
      <c r="W31" s="698">
        <f t="shared" si="14"/>
        <v>100</v>
      </c>
      <c r="X31" s="699"/>
      <c r="Y31" s="3698"/>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698" t="s">
        <v>1693</v>
      </c>
      <c r="Q32" s="1348">
        <f t="shared" si="11"/>
        <v>111</v>
      </c>
      <c r="R32" s="701" t="s">
        <v>14</v>
      </c>
      <c r="S32" s="702">
        <f t="shared" si="12"/>
        <v>100</v>
      </c>
      <c r="T32" s="701" t="s">
        <v>14</v>
      </c>
      <c r="U32" s="702">
        <f t="shared" si="13"/>
        <v>100</v>
      </c>
      <c r="V32" s="701" t="s">
        <v>14</v>
      </c>
      <c r="W32" s="702">
        <f t="shared" si="14"/>
        <v>100</v>
      </c>
      <c r="X32" s="1351"/>
      <c r="Y32" s="3698"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698"/>
      <c r="Q33" s="1348">
        <f t="shared" si="11"/>
        <v>111</v>
      </c>
      <c r="R33" s="701" t="s">
        <v>14</v>
      </c>
      <c r="S33" s="702">
        <f t="shared" si="12"/>
        <v>100</v>
      </c>
      <c r="T33" s="701" t="s">
        <v>14</v>
      </c>
      <c r="U33" s="702">
        <f t="shared" si="13"/>
        <v>100</v>
      </c>
      <c r="V33" s="701" t="s">
        <v>14</v>
      </c>
      <c r="W33" s="702">
        <f t="shared" si="14"/>
        <v>100</v>
      </c>
      <c r="X33" s="1351"/>
      <c r="Y33" s="3698"/>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698"/>
      <c r="Q34" s="1348">
        <f t="shared" si="11"/>
        <v>111</v>
      </c>
      <c r="R34" s="701" t="s">
        <v>14</v>
      </c>
      <c r="S34" s="702">
        <f t="shared" si="12"/>
        <v>100</v>
      </c>
      <c r="T34" s="701" t="s">
        <v>14</v>
      </c>
      <c r="U34" s="702">
        <f t="shared" si="13"/>
        <v>100</v>
      </c>
      <c r="V34" s="701" t="s">
        <v>14</v>
      </c>
      <c r="W34" s="702">
        <f t="shared" si="14"/>
        <v>100</v>
      </c>
      <c r="X34" s="1351"/>
      <c r="Y34" s="3698"/>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694" t="str">
        <f>A35</f>
        <v>成交单价（元/平方米）</v>
      </c>
      <c r="Q35" s="3694"/>
      <c r="R35" s="3779">
        <f>E35</f>
        <v>0</v>
      </c>
      <c r="S35" s="3779"/>
      <c r="T35" s="3779">
        <f>G35</f>
        <v>0</v>
      </c>
      <c r="U35" s="3779"/>
      <c r="V35" s="3779">
        <f>I35</f>
        <v>0</v>
      </c>
      <c r="W35" s="3779"/>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694" t="str">
        <f>A36</f>
        <v>比较价值（元/平方米）</v>
      </c>
      <c r="Q36" s="3694"/>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688" t="str">
        <f>A37</f>
        <v>估价对象XX用房的比较价值（楼面单价，元/平方米）</v>
      </c>
      <c r="Q37" s="3689"/>
      <c r="R37" s="3801" t="e">
        <f>IF(F1="售价",ROUND(IF(D36="简单平均",AVERAGE(R36:W36),R36*F36+T36*H36+V36*J36),0),ROUND(IF(D36="简单平均",AVERAGE(R36:V36),R36*F36+T36*H36+V36*J36),1))</f>
        <v>#DIV/0!</v>
      </c>
      <c r="S37" s="3801"/>
      <c r="T37" s="3801"/>
      <c r="U37" s="3801"/>
      <c r="V37" s="3801"/>
      <c r="W37" s="3801"/>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5" t="s">
        <v>2080</v>
      </c>
      <c r="D1" s="3806"/>
      <c r="E1" s="3806"/>
      <c r="F1" s="3806"/>
      <c r="G1" s="3806"/>
      <c r="H1" s="3806"/>
      <c r="I1" s="3806"/>
      <c r="J1" s="3806"/>
      <c r="K1" s="3806"/>
      <c r="L1" s="3806"/>
      <c r="M1" s="3806"/>
      <c r="N1" s="3806"/>
      <c r="O1" s="3806"/>
      <c r="P1" s="3806"/>
      <c r="Q1" s="3806"/>
      <c r="R1" s="3806"/>
      <c r="S1" s="3807"/>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2" t="s">
        <v>27</v>
      </c>
      <c r="D22" s="3803"/>
      <c r="E22" s="3803"/>
      <c r="F22" s="3803"/>
      <c r="G22" s="3803"/>
      <c r="H22" s="3803"/>
      <c r="I22" s="3803"/>
      <c r="J22" s="3803"/>
      <c r="K22" s="3803"/>
      <c r="L22" s="3803"/>
      <c r="M22" s="3803"/>
      <c r="N22" s="3803"/>
      <c r="O22" s="3803"/>
      <c r="P22" s="3803"/>
      <c r="Q22" s="3804"/>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19" t="s">
        <v>2603</v>
      </c>
      <c r="B20" s="3812" t="s">
        <v>2624</v>
      </c>
      <c r="C20" s="3473" t="s">
        <v>2435</v>
      </c>
      <c r="D20" s="3473"/>
      <c r="E20" s="3101">
        <v>1</v>
      </c>
      <c r="F20" s="3102" t="s">
        <v>2436</v>
      </c>
      <c r="G20" s="3102"/>
    </row>
    <row r="21" spans="1:13" ht="19.5" customHeight="1">
      <c r="A21" s="3820"/>
      <c r="B21" s="3808"/>
      <c r="C21" s="3463" t="s">
        <v>2437</v>
      </c>
      <c r="D21" s="3463"/>
      <c r="E21" s="3105">
        <v>1</v>
      </c>
      <c r="F21" s="3102" t="s">
        <v>2438</v>
      </c>
      <c r="G21" s="3102"/>
    </row>
    <row r="22" spans="1:13" ht="19.5" customHeight="1">
      <c r="A22" s="3820"/>
      <c r="B22" s="3808"/>
      <c r="C22" s="3463" t="s">
        <v>2439</v>
      </c>
      <c r="D22" s="3463"/>
      <c r="E22" s="3105">
        <v>0.9</v>
      </c>
      <c r="F22" s="3102" t="s">
        <v>2440</v>
      </c>
      <c r="G22" s="3102"/>
    </row>
    <row r="23" spans="1:13" ht="19.5" customHeight="1">
      <c r="A23" s="3820"/>
      <c r="B23" s="3808"/>
      <c r="C23" s="3463" t="s">
        <v>2441</v>
      </c>
      <c r="D23" s="3463"/>
      <c r="E23" s="3105">
        <v>0.9</v>
      </c>
      <c r="F23" s="3102" t="s">
        <v>2442</v>
      </c>
      <c r="G23" s="3102"/>
    </row>
    <row r="24" spans="1:13" ht="19.5" customHeight="1">
      <c r="A24" s="3820"/>
      <c r="B24" s="3808"/>
      <c r="C24" s="3463" t="s">
        <v>2443</v>
      </c>
      <c r="D24" s="3463"/>
      <c r="E24" s="3105">
        <v>0.8</v>
      </c>
      <c r="F24" s="3102" t="s">
        <v>2444</v>
      </c>
      <c r="G24" s="3102"/>
    </row>
    <row r="25" spans="1:13" ht="19.5" customHeight="1">
      <c r="A25" s="3820"/>
      <c r="B25" s="3808"/>
      <c r="C25" s="3463" t="s">
        <v>2445</v>
      </c>
      <c r="D25" s="3463"/>
      <c r="E25" s="3105">
        <v>0.8</v>
      </c>
      <c r="F25" s="3102"/>
      <c r="G25" s="3102"/>
    </row>
    <row r="26" spans="1:13" ht="19.5" customHeight="1">
      <c r="A26" s="3820"/>
      <c r="B26" s="3808"/>
      <c r="C26" s="3466" t="s">
        <v>3408</v>
      </c>
      <c r="D26" s="3466"/>
      <c r="E26" s="3467">
        <v>0.43</v>
      </c>
      <c r="F26" s="3102"/>
      <c r="G26" s="3102"/>
    </row>
    <row r="27" spans="1:13" ht="19.5" customHeight="1" thickBot="1">
      <c r="A27" s="3821"/>
      <c r="B27" s="3813"/>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4" t="s">
        <v>2627</v>
      </c>
      <c r="B29" s="3817" t="s">
        <v>2608</v>
      </c>
      <c r="C29" s="3099" t="s">
        <v>2448</v>
      </c>
      <c r="D29" s="3100"/>
      <c r="E29" s="3101">
        <v>1</v>
      </c>
      <c r="F29" s="3102" t="s">
        <v>2449</v>
      </c>
      <c r="G29" s="3102"/>
    </row>
    <row r="30" spans="1:13" ht="19.5" customHeight="1">
      <c r="A30" s="3815"/>
      <c r="B30" s="3811"/>
      <c r="C30" s="3103" t="s">
        <v>2450</v>
      </c>
      <c r="D30" s="3104"/>
      <c r="E30" s="3105">
        <v>1</v>
      </c>
      <c r="F30" s="3102" t="s">
        <v>2451</v>
      </c>
      <c r="G30" s="3102"/>
    </row>
    <row r="31" spans="1:13" ht="19.5" customHeight="1">
      <c r="A31" s="3815"/>
      <c r="B31" s="3811"/>
      <c r="C31" s="3103" t="s">
        <v>2452</v>
      </c>
      <c r="D31" s="3104"/>
      <c r="E31" s="3105">
        <v>0.8</v>
      </c>
      <c r="F31" s="3102" t="s">
        <v>2453</v>
      </c>
      <c r="G31" s="3102"/>
    </row>
    <row r="32" spans="1:13" ht="19.5" customHeight="1">
      <c r="A32" s="3815"/>
      <c r="B32" s="3811"/>
      <c r="C32" s="3103" t="s">
        <v>2454</v>
      </c>
      <c r="D32" s="3104"/>
      <c r="E32" s="3105">
        <v>0.8</v>
      </c>
      <c r="F32" s="3102" t="s">
        <v>2455</v>
      </c>
      <c r="G32" s="3102"/>
    </row>
    <row r="33" spans="1:7" ht="19.5" customHeight="1">
      <c r="A33" s="3815"/>
      <c r="B33" s="3811"/>
      <c r="C33" s="3103" t="s">
        <v>2456</v>
      </c>
      <c r="D33" s="3104"/>
      <c r="E33" s="3105">
        <v>0.8</v>
      </c>
      <c r="F33" s="3102" t="s">
        <v>2457</v>
      </c>
      <c r="G33" s="3102"/>
    </row>
    <row r="34" spans="1:7" ht="19.5" customHeight="1">
      <c r="A34" s="3815"/>
      <c r="B34" s="3811"/>
      <c r="C34" s="3103" t="s">
        <v>2458</v>
      </c>
      <c r="D34" s="3104"/>
      <c r="E34" s="3105">
        <v>0.7</v>
      </c>
      <c r="F34" s="3102" t="s">
        <v>2459</v>
      </c>
      <c r="G34" s="3102"/>
    </row>
    <row r="35" spans="1:7" ht="19.5" customHeight="1">
      <c r="A35" s="3815"/>
      <c r="B35" s="3811"/>
      <c r="C35" s="3103" t="s">
        <v>2460</v>
      </c>
      <c r="D35" s="3104"/>
      <c r="E35" s="3105">
        <v>0.8</v>
      </c>
      <c r="F35" s="3102" t="s">
        <v>2461</v>
      </c>
      <c r="G35" s="3102"/>
    </row>
    <row r="36" spans="1:7" ht="19.5" customHeight="1">
      <c r="A36" s="3815"/>
      <c r="B36" s="3811"/>
      <c r="C36" s="3103" t="s">
        <v>2462</v>
      </c>
      <c r="D36" s="3104"/>
      <c r="E36" s="3105">
        <v>0.6</v>
      </c>
      <c r="F36" s="3102" t="s">
        <v>2463</v>
      </c>
      <c r="G36" s="3102"/>
    </row>
    <row r="37" spans="1:7" ht="19.5" customHeight="1">
      <c r="A37" s="3815"/>
      <c r="B37" s="3811"/>
      <c r="C37" s="3103" t="s">
        <v>2464</v>
      </c>
      <c r="D37" s="3104"/>
      <c r="E37" s="3105">
        <v>0.2</v>
      </c>
      <c r="F37" s="3102" t="s">
        <v>2465</v>
      </c>
      <c r="G37" s="3102"/>
    </row>
    <row r="38" spans="1:7" ht="19.5" customHeight="1">
      <c r="A38" s="3815"/>
      <c r="B38" s="3811"/>
      <c r="C38" s="3103" t="s">
        <v>2466</v>
      </c>
      <c r="D38" s="3104"/>
      <c r="E38" s="3105">
        <v>0.2</v>
      </c>
      <c r="F38" s="3102" t="s">
        <v>2467</v>
      </c>
      <c r="G38" s="3102"/>
    </row>
    <row r="39" spans="1:7" ht="19.5" customHeight="1">
      <c r="A39" s="3815"/>
      <c r="B39" s="3809" t="s">
        <v>2628</v>
      </c>
      <c r="C39" s="3103" t="s">
        <v>2468</v>
      </c>
      <c r="D39" s="3104"/>
      <c r="E39" s="3105">
        <v>0.6</v>
      </c>
      <c r="F39" s="3102" t="s">
        <v>2469</v>
      </c>
      <c r="G39" s="3102"/>
    </row>
    <row r="40" spans="1:7" ht="19.5" customHeight="1">
      <c r="A40" s="3815"/>
      <c r="B40" s="3811"/>
      <c r="C40" s="3103" t="s">
        <v>2470</v>
      </c>
      <c r="D40" s="3104"/>
      <c r="E40" s="3105">
        <v>0.6</v>
      </c>
      <c r="F40" s="3102" t="s">
        <v>2471</v>
      </c>
      <c r="G40" s="3102"/>
    </row>
    <row r="41" spans="1:7" ht="19.5" customHeight="1" thickBot="1">
      <c r="A41" s="3816"/>
      <c r="B41" s="3818"/>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19" t="s">
        <v>2606</v>
      </c>
      <c r="B43" s="3817" t="s">
        <v>2630</v>
      </c>
      <c r="C43" s="3099" t="s">
        <v>2475</v>
      </c>
      <c r="D43" s="3100"/>
      <c r="E43" s="3101">
        <v>1</v>
      </c>
      <c r="F43" s="3102" t="s">
        <v>2476</v>
      </c>
      <c r="G43" s="3102"/>
    </row>
    <row r="44" spans="1:7" ht="19.5" customHeight="1">
      <c r="A44" s="3820"/>
      <c r="B44" s="3811"/>
      <c r="C44" s="3103" t="s">
        <v>2477</v>
      </c>
      <c r="D44" s="3104"/>
      <c r="E44" s="3105">
        <v>1</v>
      </c>
      <c r="F44" s="3102" t="s">
        <v>2478</v>
      </c>
      <c r="G44" s="3102"/>
    </row>
    <row r="45" spans="1:7" ht="19.5" customHeight="1">
      <c r="A45" s="3820"/>
      <c r="B45" s="3810"/>
      <c r="C45" s="3103" t="s">
        <v>2479</v>
      </c>
      <c r="D45" s="3104"/>
      <c r="E45" s="3105">
        <v>1.5</v>
      </c>
      <c r="F45" s="3102" t="s">
        <v>2480</v>
      </c>
      <c r="G45" s="3102"/>
    </row>
    <row r="46" spans="1:7" ht="19.5" customHeight="1">
      <c r="A46" s="3820"/>
      <c r="B46" s="3114" t="s">
        <v>2631</v>
      </c>
      <c r="C46" s="3103" t="s">
        <v>2632</v>
      </c>
      <c r="D46" s="3104"/>
      <c r="E46" s="3105">
        <v>2</v>
      </c>
      <c r="F46" s="3102" t="s">
        <v>2481</v>
      </c>
      <c r="G46" s="3102"/>
    </row>
    <row r="47" spans="1:7" ht="19.5" customHeight="1">
      <c r="A47" s="3820"/>
      <c r="B47" s="3809" t="s">
        <v>2633</v>
      </c>
      <c r="C47" s="3103" t="s">
        <v>2482</v>
      </c>
      <c r="D47" s="3104"/>
      <c r="E47" s="3105">
        <v>1</v>
      </c>
      <c r="F47" s="3102" t="s">
        <v>2483</v>
      </c>
      <c r="G47" s="3102"/>
    </row>
    <row r="48" spans="1:7" ht="19.5" customHeight="1">
      <c r="A48" s="3820"/>
      <c r="B48" s="3811"/>
      <c r="C48" s="3103" t="s">
        <v>2484</v>
      </c>
      <c r="D48" s="3104"/>
      <c r="E48" s="3105">
        <v>1</v>
      </c>
      <c r="F48" s="3102" t="s">
        <v>2485</v>
      </c>
      <c r="G48" s="3102"/>
    </row>
    <row r="49" spans="1:7" ht="19.5" customHeight="1">
      <c r="A49" s="3820"/>
      <c r="B49" s="3811"/>
      <c r="C49" s="3103" t="s">
        <v>2486</v>
      </c>
      <c r="D49" s="3104"/>
      <c r="E49" s="3105">
        <v>1</v>
      </c>
      <c r="F49" s="3102" t="s">
        <v>2487</v>
      </c>
      <c r="G49" s="3102"/>
    </row>
    <row r="50" spans="1:7" ht="19.5" customHeight="1">
      <c r="A50" s="3820"/>
      <c r="B50" s="3811"/>
      <c r="C50" s="3103" t="s">
        <v>2488</v>
      </c>
      <c r="D50" s="3104"/>
      <c r="E50" s="3105">
        <v>1</v>
      </c>
      <c r="F50" s="3102" t="s">
        <v>2489</v>
      </c>
      <c r="G50" s="3102"/>
    </row>
    <row r="51" spans="1:7" ht="19.5" customHeight="1">
      <c r="A51" s="3820"/>
      <c r="B51" s="3811"/>
      <c r="C51" s="3103" t="s">
        <v>2490</v>
      </c>
      <c r="D51" s="3104"/>
      <c r="E51" s="3105">
        <v>1</v>
      </c>
      <c r="F51" s="3102" t="s">
        <v>2491</v>
      </c>
      <c r="G51" s="3102"/>
    </row>
    <row r="52" spans="1:7" ht="19.5" customHeight="1">
      <c r="A52" s="3820"/>
      <c r="B52" s="3811"/>
      <c r="C52" s="3103" t="s">
        <v>2492</v>
      </c>
      <c r="D52" s="3104"/>
      <c r="E52" s="3105">
        <v>1</v>
      </c>
      <c r="F52" s="3102" t="s">
        <v>2493</v>
      </c>
      <c r="G52" s="3102"/>
    </row>
    <row r="53" spans="1:7" ht="19.5" customHeight="1" thickBot="1">
      <c r="A53" s="3821"/>
      <c r="B53" s="3818"/>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09" t="s">
        <v>2647</v>
      </c>
      <c r="C75" s="3088" t="s">
        <v>2648</v>
      </c>
      <c r="D75" s="3088" t="s">
        <v>2649</v>
      </c>
      <c r="E75" s="3114">
        <v>0.2</v>
      </c>
      <c r="F75" s="3114">
        <v>25</v>
      </c>
    </row>
    <row r="76" spans="1:7" ht="24">
      <c r="A76" s="3114">
        <v>2</v>
      </c>
      <c r="B76" s="3811"/>
      <c r="C76" s="3088" t="s">
        <v>2650</v>
      </c>
      <c r="D76" s="3088" t="s">
        <v>2651</v>
      </c>
      <c r="E76" s="3114">
        <v>0.2</v>
      </c>
      <c r="F76" s="3114">
        <v>25</v>
      </c>
    </row>
    <row r="77" spans="1:7" ht="24">
      <c r="A77" s="3114">
        <v>3</v>
      </c>
      <c r="B77" s="3811"/>
      <c r="C77" s="3088" t="s">
        <v>2652</v>
      </c>
      <c r="D77" s="3088" t="s">
        <v>2653</v>
      </c>
      <c r="E77" s="3114">
        <v>0.2</v>
      </c>
      <c r="F77" s="3114">
        <v>25</v>
      </c>
    </row>
    <row r="78" spans="1:7" ht="13.5">
      <c r="A78" s="3114">
        <v>4</v>
      </c>
      <c r="B78" s="3811"/>
      <c r="C78" s="3088" t="s">
        <v>2654</v>
      </c>
      <c r="D78" s="3088" t="s">
        <v>2655</v>
      </c>
      <c r="E78" s="3114">
        <v>0.15</v>
      </c>
      <c r="F78" s="3114">
        <v>20</v>
      </c>
    </row>
    <row r="79" spans="1:7" ht="24">
      <c r="A79" s="3114">
        <v>5</v>
      </c>
      <c r="B79" s="3811"/>
      <c r="C79" s="3088" t="s">
        <v>2656</v>
      </c>
      <c r="D79" s="3088" t="s">
        <v>2657</v>
      </c>
      <c r="E79" s="3114">
        <v>0.15</v>
      </c>
      <c r="F79" s="3114">
        <v>20</v>
      </c>
    </row>
    <row r="80" spans="1:7" ht="24">
      <c r="A80" s="3114">
        <v>6</v>
      </c>
      <c r="B80" s="3811"/>
      <c r="C80" s="3088" t="s">
        <v>2658</v>
      </c>
      <c r="D80" s="3088" t="s">
        <v>2659</v>
      </c>
      <c r="E80" s="3114">
        <v>0.15</v>
      </c>
      <c r="F80" s="3114">
        <v>20</v>
      </c>
    </row>
    <row r="81" spans="1:6" ht="24">
      <c r="A81" s="3114">
        <v>7</v>
      </c>
      <c r="B81" s="3811"/>
      <c r="C81" s="3088" t="s">
        <v>2660</v>
      </c>
      <c r="D81" s="3088" t="s">
        <v>2661</v>
      </c>
      <c r="E81" s="3114">
        <v>0.15</v>
      </c>
      <c r="F81" s="3114">
        <v>20</v>
      </c>
    </row>
    <row r="82" spans="1:6" ht="24">
      <c r="A82" s="3114">
        <v>8</v>
      </c>
      <c r="B82" s="3811"/>
      <c r="C82" s="3088" t="s">
        <v>2662</v>
      </c>
      <c r="D82" s="3088" t="s">
        <v>2663</v>
      </c>
      <c r="E82" s="3114">
        <v>0.1</v>
      </c>
      <c r="F82" s="3114">
        <v>15</v>
      </c>
    </row>
    <row r="83" spans="1:6" ht="24">
      <c r="A83" s="3114">
        <v>9</v>
      </c>
      <c r="B83" s="3811"/>
      <c r="C83" s="3088" t="s">
        <v>2664</v>
      </c>
      <c r="D83" s="3088" t="s">
        <v>2665</v>
      </c>
      <c r="E83" s="3114">
        <v>0.1</v>
      </c>
      <c r="F83" s="3114">
        <v>15</v>
      </c>
    </row>
    <row r="84" spans="1:6" ht="24">
      <c r="A84" s="3114">
        <v>10</v>
      </c>
      <c r="B84" s="3811"/>
      <c r="C84" s="3088" t="s">
        <v>2666</v>
      </c>
      <c r="D84" s="3088" t="s">
        <v>2667</v>
      </c>
      <c r="E84" s="3114">
        <v>0.1</v>
      </c>
      <c r="F84" s="3114">
        <v>15</v>
      </c>
    </row>
    <row r="85" spans="1:6" ht="24">
      <c r="A85" s="3114">
        <v>11</v>
      </c>
      <c r="B85" s="3811"/>
      <c r="C85" s="3088" t="s">
        <v>2668</v>
      </c>
      <c r="D85" s="3088" t="s">
        <v>2669</v>
      </c>
      <c r="E85" s="3114">
        <v>0.1</v>
      </c>
      <c r="F85" s="3114">
        <v>15</v>
      </c>
    </row>
    <row r="86" spans="1:6" ht="24">
      <c r="A86" s="3114">
        <v>12</v>
      </c>
      <c r="B86" s="3811"/>
      <c r="C86" s="3088" t="s">
        <v>2670</v>
      </c>
      <c r="D86" s="3088" t="s">
        <v>2671</v>
      </c>
      <c r="E86" s="3114">
        <v>0.1</v>
      </c>
      <c r="F86" s="3114">
        <v>15</v>
      </c>
    </row>
    <row r="87" spans="1:6" ht="13.5">
      <c r="A87" s="3114">
        <v>13</v>
      </c>
      <c r="B87" s="3811"/>
      <c r="C87" s="3088" t="s">
        <v>2672</v>
      </c>
      <c r="D87" s="3088" t="s">
        <v>2673</v>
      </c>
      <c r="E87" s="3114">
        <v>0.1</v>
      </c>
      <c r="F87" s="3114">
        <v>15</v>
      </c>
    </row>
    <row r="88" spans="1:6" ht="13.5">
      <c r="A88" s="3114">
        <v>14</v>
      </c>
      <c r="B88" s="3811"/>
      <c r="C88" s="3088" t="s">
        <v>2674</v>
      </c>
      <c r="D88" s="3088" t="s">
        <v>2675</v>
      </c>
      <c r="E88" s="3114">
        <v>0.1</v>
      </c>
      <c r="F88" s="3114">
        <v>15</v>
      </c>
    </row>
    <row r="89" spans="1:6" ht="13.5">
      <c r="A89" s="3114">
        <v>15</v>
      </c>
      <c r="B89" s="3811"/>
      <c r="C89" s="3088" t="s">
        <v>2676</v>
      </c>
      <c r="D89" s="3088" t="s">
        <v>2677</v>
      </c>
      <c r="E89" s="3114">
        <v>0.1</v>
      </c>
      <c r="F89" s="3114">
        <v>15</v>
      </c>
    </row>
    <row r="90" spans="1:6" ht="24">
      <c r="A90" s="3114">
        <v>16</v>
      </c>
      <c r="B90" s="3811"/>
      <c r="C90" s="3088" t="s">
        <v>2678</v>
      </c>
      <c r="D90" s="3088" t="s">
        <v>2679</v>
      </c>
      <c r="E90" s="3114">
        <v>0.1</v>
      </c>
      <c r="F90" s="3114">
        <v>15</v>
      </c>
    </row>
    <row r="91" spans="1:6" ht="24">
      <c r="A91" s="3114">
        <v>17</v>
      </c>
      <c r="B91" s="3810"/>
      <c r="C91" s="3088" t="s">
        <v>2680</v>
      </c>
      <c r="D91" s="3088" t="s">
        <v>2681</v>
      </c>
      <c r="E91" s="3114">
        <v>0.1</v>
      </c>
      <c r="F91" s="3114">
        <v>15</v>
      </c>
    </row>
    <row r="92" spans="1:6" ht="13.5">
      <c r="A92" s="3114">
        <v>18</v>
      </c>
      <c r="B92" s="3809" t="s">
        <v>2682</v>
      </c>
      <c r="C92" s="3088" t="s">
        <v>2683</v>
      </c>
      <c r="D92" s="3088" t="s">
        <v>2684</v>
      </c>
      <c r="E92" s="3114">
        <v>0.2</v>
      </c>
      <c r="F92" s="3114">
        <v>25</v>
      </c>
    </row>
    <row r="93" spans="1:6" ht="24">
      <c r="A93" s="3114">
        <v>19</v>
      </c>
      <c r="B93" s="3811"/>
      <c r="C93" s="3088" t="s">
        <v>2685</v>
      </c>
      <c r="D93" s="3088" t="s">
        <v>2686</v>
      </c>
      <c r="E93" s="3114">
        <v>0.2</v>
      </c>
      <c r="F93" s="3114">
        <v>25</v>
      </c>
    </row>
    <row r="94" spans="1:6" ht="13.5">
      <c r="A94" s="3114">
        <v>20</v>
      </c>
      <c r="B94" s="3811"/>
      <c r="C94" s="3088" t="s">
        <v>2687</v>
      </c>
      <c r="D94" s="3088" t="s">
        <v>2688</v>
      </c>
      <c r="E94" s="3114">
        <v>0.15</v>
      </c>
      <c r="F94" s="3114">
        <v>20</v>
      </c>
    </row>
    <row r="95" spans="1:6" ht="13.5">
      <c r="A95" s="3114">
        <v>21</v>
      </c>
      <c r="B95" s="3811"/>
      <c r="C95" s="3088" t="s">
        <v>2689</v>
      </c>
      <c r="D95" s="3088" t="s">
        <v>2690</v>
      </c>
      <c r="E95" s="3114">
        <v>0.15</v>
      </c>
      <c r="F95" s="3114">
        <v>20</v>
      </c>
    </row>
    <row r="96" spans="1:6" ht="13.5">
      <c r="A96" s="3114">
        <v>22</v>
      </c>
      <c r="B96" s="3811"/>
      <c r="C96" s="3088" t="s">
        <v>2691</v>
      </c>
      <c r="D96" s="3088" t="s">
        <v>2692</v>
      </c>
      <c r="E96" s="3114">
        <v>0.15</v>
      </c>
      <c r="F96" s="3114">
        <v>20</v>
      </c>
    </row>
    <row r="97" spans="1:6" ht="36">
      <c r="A97" s="3114">
        <v>23</v>
      </c>
      <c r="B97" s="3811"/>
      <c r="C97" s="3088" t="s">
        <v>2693</v>
      </c>
      <c r="D97" s="3088" t="s">
        <v>2694</v>
      </c>
      <c r="E97" s="3114">
        <v>0.15</v>
      </c>
      <c r="F97" s="3114">
        <v>20</v>
      </c>
    </row>
    <row r="98" spans="1:6" ht="13.5">
      <c r="A98" s="3114">
        <v>24</v>
      </c>
      <c r="B98" s="3811"/>
      <c r="C98" s="3088" t="s">
        <v>2695</v>
      </c>
      <c r="D98" s="3088" t="s">
        <v>2696</v>
      </c>
      <c r="E98" s="3114">
        <v>0.1</v>
      </c>
      <c r="F98" s="3114">
        <v>15</v>
      </c>
    </row>
    <row r="99" spans="1:6" ht="13.5">
      <c r="A99" s="3114">
        <v>25</v>
      </c>
      <c r="B99" s="3811"/>
      <c r="C99" s="3088" t="s">
        <v>2697</v>
      </c>
      <c r="D99" s="3088" t="s">
        <v>2698</v>
      </c>
      <c r="E99" s="3114">
        <v>0.1</v>
      </c>
      <c r="F99" s="3114">
        <v>15</v>
      </c>
    </row>
    <row r="100" spans="1:6" ht="24">
      <c r="A100" s="3114">
        <v>26</v>
      </c>
      <c r="B100" s="3811"/>
      <c r="C100" s="3088" t="s">
        <v>2699</v>
      </c>
      <c r="D100" s="3088" t="s">
        <v>2700</v>
      </c>
      <c r="E100" s="3114">
        <v>0.1</v>
      </c>
      <c r="F100" s="3114">
        <v>15</v>
      </c>
    </row>
    <row r="101" spans="1:6" ht="24">
      <c r="A101" s="3114">
        <v>27</v>
      </c>
      <c r="B101" s="3811"/>
      <c r="C101" s="3088" t="s">
        <v>2701</v>
      </c>
      <c r="D101" s="3088" t="s">
        <v>2702</v>
      </c>
      <c r="E101" s="3114">
        <v>0.1</v>
      </c>
      <c r="F101" s="3114">
        <v>15</v>
      </c>
    </row>
    <row r="102" spans="1:6" ht="13.5">
      <c r="A102" s="3114">
        <v>28</v>
      </c>
      <c r="B102" s="3811"/>
      <c r="C102" s="3088" t="s">
        <v>2703</v>
      </c>
      <c r="D102" s="3088" t="s">
        <v>2704</v>
      </c>
      <c r="E102" s="3114">
        <v>0.1</v>
      </c>
      <c r="F102" s="3114">
        <v>15</v>
      </c>
    </row>
    <row r="103" spans="1:6" ht="13.5">
      <c r="A103" s="3114">
        <v>29</v>
      </c>
      <c r="B103" s="3811"/>
      <c r="C103" s="3088" t="s">
        <v>2705</v>
      </c>
      <c r="D103" s="3088" t="s">
        <v>2706</v>
      </c>
      <c r="E103" s="3114">
        <v>0.1</v>
      </c>
      <c r="F103" s="3114">
        <v>15</v>
      </c>
    </row>
    <row r="104" spans="1:6" ht="13.5">
      <c r="A104" s="3114">
        <v>30</v>
      </c>
      <c r="B104" s="3811"/>
      <c r="C104" s="3088" t="s">
        <v>2707</v>
      </c>
      <c r="D104" s="3088" t="s">
        <v>2708</v>
      </c>
      <c r="E104" s="3114">
        <v>0.1</v>
      </c>
      <c r="F104" s="3114">
        <v>15</v>
      </c>
    </row>
    <row r="105" spans="1:6" ht="24">
      <c r="A105" s="3114">
        <v>31</v>
      </c>
      <c r="B105" s="3811"/>
      <c r="C105" s="3088" t="s">
        <v>2709</v>
      </c>
      <c r="D105" s="3088" t="s">
        <v>2710</v>
      </c>
      <c r="E105" s="3114">
        <v>0.1</v>
      </c>
      <c r="F105" s="3114">
        <v>15</v>
      </c>
    </row>
    <row r="106" spans="1:6" ht="24">
      <c r="A106" s="3114">
        <v>32</v>
      </c>
      <c r="B106" s="3811"/>
      <c r="C106" s="3088" t="s">
        <v>2711</v>
      </c>
      <c r="D106" s="3088" t="s">
        <v>2712</v>
      </c>
      <c r="E106" s="3114">
        <v>0.1</v>
      </c>
      <c r="F106" s="3114">
        <v>15</v>
      </c>
    </row>
    <row r="107" spans="1:6" ht="24">
      <c r="A107" s="3114">
        <v>33</v>
      </c>
      <c r="B107" s="3811"/>
      <c r="C107" s="3088" t="s">
        <v>2713</v>
      </c>
      <c r="D107" s="3088" t="s">
        <v>2714</v>
      </c>
      <c r="E107" s="3114">
        <v>0.1</v>
      </c>
      <c r="F107" s="3114">
        <v>15</v>
      </c>
    </row>
    <row r="108" spans="1:6" ht="24">
      <c r="A108" s="3114">
        <v>34</v>
      </c>
      <c r="B108" s="3810"/>
      <c r="C108" s="3088" t="s">
        <v>2715</v>
      </c>
      <c r="D108" s="3088" t="s">
        <v>2716</v>
      </c>
      <c r="E108" s="3114">
        <v>0.1</v>
      </c>
      <c r="F108" s="3114">
        <v>15</v>
      </c>
    </row>
    <row r="109" spans="1:6" ht="24">
      <c r="A109" s="3114">
        <v>35</v>
      </c>
      <c r="B109" s="3809" t="s">
        <v>2717</v>
      </c>
      <c r="C109" s="3114" t="s">
        <v>2718</v>
      </c>
      <c r="D109" s="3088" t="s">
        <v>2719</v>
      </c>
      <c r="E109" s="3114">
        <v>0.15</v>
      </c>
      <c r="F109" s="3114">
        <v>20</v>
      </c>
    </row>
    <row r="110" spans="1:6" ht="13.5">
      <c r="A110" s="3114">
        <v>36</v>
      </c>
      <c r="B110" s="3811"/>
      <c r="C110" s="3114" t="s">
        <v>2720</v>
      </c>
      <c r="D110" s="3088" t="s">
        <v>2721</v>
      </c>
      <c r="E110" s="3114">
        <v>0.15</v>
      </c>
      <c r="F110" s="3114">
        <v>20</v>
      </c>
    </row>
    <row r="111" spans="1:6" ht="13.5">
      <c r="A111" s="3114">
        <v>37</v>
      </c>
      <c r="B111" s="3811"/>
      <c r="C111" s="3114" t="s">
        <v>2722</v>
      </c>
      <c r="D111" s="3088" t="s">
        <v>2723</v>
      </c>
      <c r="E111" s="3114">
        <v>0.15</v>
      </c>
      <c r="F111" s="3114">
        <v>20</v>
      </c>
    </row>
    <row r="112" spans="1:6" ht="13.5">
      <c r="A112" s="3114">
        <v>38</v>
      </c>
      <c r="B112" s="3811"/>
      <c r="C112" s="3114" t="s">
        <v>2724</v>
      </c>
      <c r="D112" s="3088" t="s">
        <v>2725</v>
      </c>
      <c r="E112" s="3114">
        <v>0.1</v>
      </c>
      <c r="F112" s="3114">
        <v>15</v>
      </c>
    </row>
    <row r="113" spans="1:6" ht="24">
      <c r="A113" s="3114">
        <v>39</v>
      </c>
      <c r="B113" s="3811"/>
      <c r="C113" s="3114" t="s">
        <v>2726</v>
      </c>
      <c r="D113" s="3088" t="s">
        <v>2727</v>
      </c>
      <c r="E113" s="3114">
        <v>0.1</v>
      </c>
      <c r="F113" s="3114">
        <v>15</v>
      </c>
    </row>
    <row r="114" spans="1:6" ht="24">
      <c r="A114" s="3114">
        <v>40</v>
      </c>
      <c r="B114" s="3810"/>
      <c r="C114" s="3114" t="s">
        <v>2728</v>
      </c>
      <c r="D114" s="3088" t="s">
        <v>2729</v>
      </c>
      <c r="E114" s="3114">
        <v>0.1</v>
      </c>
      <c r="F114" s="3114">
        <v>15</v>
      </c>
    </row>
    <row r="115" spans="1:6" ht="13.5">
      <c r="A115" s="3114">
        <v>41</v>
      </c>
      <c r="B115" s="3808" t="s">
        <v>2730</v>
      </c>
      <c r="C115" s="3114" t="s">
        <v>2731</v>
      </c>
      <c r="D115" s="3088" t="s">
        <v>2732</v>
      </c>
      <c r="E115" s="3114">
        <v>0.1</v>
      </c>
      <c r="F115" s="3114">
        <v>15</v>
      </c>
    </row>
    <row r="116" spans="1:6" ht="13.5">
      <c r="A116" s="3114">
        <v>42</v>
      </c>
      <c r="B116" s="3808"/>
      <c r="C116" s="3114" t="s">
        <v>2733</v>
      </c>
      <c r="D116" s="3088" t="s">
        <v>2734</v>
      </c>
      <c r="E116" s="3114">
        <v>0.1</v>
      </c>
      <c r="F116" s="3114">
        <v>15</v>
      </c>
    </row>
    <row r="117" spans="1:6" ht="24">
      <c r="A117" s="3114">
        <v>43</v>
      </c>
      <c r="B117" s="3808"/>
      <c r="C117" s="3114" t="s">
        <v>2735</v>
      </c>
      <c r="D117" s="3088" t="s">
        <v>2736</v>
      </c>
      <c r="E117" s="3114">
        <v>0.1</v>
      </c>
      <c r="F117" s="3114">
        <v>15</v>
      </c>
    </row>
    <row r="118" spans="1:6" ht="13.5">
      <c r="A118" s="3114">
        <v>44</v>
      </c>
      <c r="B118" s="3809" t="s">
        <v>2737</v>
      </c>
      <c r="C118" s="3114" t="s">
        <v>2738</v>
      </c>
      <c r="D118" s="3088" t="s">
        <v>2739</v>
      </c>
      <c r="E118" s="3114">
        <v>0.1</v>
      </c>
      <c r="F118" s="3114">
        <v>15</v>
      </c>
    </row>
    <row r="119" spans="1:6" ht="24">
      <c r="A119" s="3114">
        <v>45</v>
      </c>
      <c r="B119" s="3810"/>
      <c r="C119" s="3088" t="s">
        <v>2740</v>
      </c>
      <c r="D119" s="3088" t="s">
        <v>2741</v>
      </c>
      <c r="E119" s="3114">
        <v>0.1</v>
      </c>
      <c r="F119" s="3114">
        <v>15</v>
      </c>
    </row>
    <row r="120" spans="1:6" ht="24">
      <c r="A120" s="3114">
        <v>46</v>
      </c>
      <c r="B120" s="3809" t="s">
        <v>2742</v>
      </c>
      <c r="C120" s="3114" t="s">
        <v>2743</v>
      </c>
      <c r="D120" s="3088" t="s">
        <v>2744</v>
      </c>
      <c r="E120" s="3114">
        <v>0.1</v>
      </c>
      <c r="F120" s="3114">
        <v>15</v>
      </c>
    </row>
    <row r="121" spans="1:6" ht="24">
      <c r="A121" s="3114">
        <v>47</v>
      </c>
      <c r="B121" s="3810"/>
      <c r="C121" s="3114" t="s">
        <v>2745</v>
      </c>
      <c r="D121" s="3088" t="s">
        <v>2746</v>
      </c>
      <c r="E121" s="3114">
        <v>0.1</v>
      </c>
      <c r="F121" s="3114">
        <v>15</v>
      </c>
    </row>
    <row r="122" spans="1:6" ht="13.5">
      <c r="A122" s="3114">
        <v>48</v>
      </c>
      <c r="B122" s="3809" t="s">
        <v>2747</v>
      </c>
      <c r="C122" s="3114" t="s">
        <v>2748</v>
      </c>
      <c r="D122" s="3088" t="s">
        <v>2749</v>
      </c>
      <c r="E122" s="3114">
        <v>0.1</v>
      </c>
      <c r="F122" s="3114">
        <v>15</v>
      </c>
    </row>
    <row r="123" spans="1:6" ht="13.5">
      <c r="A123" s="3114">
        <v>49</v>
      </c>
      <c r="B123" s="3810"/>
      <c r="C123" s="3114" t="s">
        <v>2750</v>
      </c>
      <c r="D123" s="3088" t="s">
        <v>2751</v>
      </c>
      <c r="E123" s="3114">
        <v>0.1</v>
      </c>
      <c r="F123" s="3114">
        <v>15</v>
      </c>
    </row>
    <row r="124" spans="1:6" ht="24">
      <c r="A124" s="3114">
        <v>50</v>
      </c>
      <c r="B124" s="3808" t="s">
        <v>2752</v>
      </c>
      <c r="C124" s="3114" t="s">
        <v>2753</v>
      </c>
      <c r="D124" s="3088" t="s">
        <v>2754</v>
      </c>
      <c r="E124" s="3114">
        <v>0.1</v>
      </c>
      <c r="F124" s="3114">
        <v>15</v>
      </c>
    </row>
    <row r="125" spans="1:6" ht="24">
      <c r="A125" s="3114">
        <v>51</v>
      </c>
      <c r="B125" s="3808"/>
      <c r="C125" s="3114" t="s">
        <v>2755</v>
      </c>
      <c r="D125" s="3088" t="s">
        <v>2756</v>
      </c>
      <c r="E125" s="3114">
        <v>0.1</v>
      </c>
      <c r="F125" s="3114">
        <v>15</v>
      </c>
    </row>
    <row r="126" spans="1:6" ht="24">
      <c r="A126" s="3114">
        <v>52</v>
      </c>
      <c r="B126" s="3808" t="s">
        <v>2757</v>
      </c>
      <c r="C126" s="3114" t="s">
        <v>2758</v>
      </c>
      <c r="D126" s="3088" t="s">
        <v>2759</v>
      </c>
      <c r="E126" s="3114">
        <v>0.1</v>
      </c>
      <c r="F126" s="3114">
        <v>15</v>
      </c>
    </row>
    <row r="127" spans="1:6" ht="24">
      <c r="A127" s="3114">
        <v>53</v>
      </c>
      <c r="B127" s="3808"/>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08" t="s">
        <v>2765</v>
      </c>
      <c r="C129" s="3114" t="s">
        <v>2766</v>
      </c>
      <c r="D129" s="3088" t="s">
        <v>2767</v>
      </c>
      <c r="E129" s="3114">
        <v>0.1</v>
      </c>
      <c r="F129" s="3114">
        <v>15</v>
      </c>
    </row>
    <row r="130" spans="1:6" ht="13.5">
      <c r="A130" s="3114">
        <v>56</v>
      </c>
      <c r="B130" s="3808"/>
      <c r="C130" s="3114" t="s">
        <v>2768</v>
      </c>
      <c r="D130" s="3088" t="s">
        <v>2769</v>
      </c>
      <c r="E130" s="3114">
        <v>0.1</v>
      </c>
      <c r="F130" s="3114">
        <v>15</v>
      </c>
    </row>
    <row r="131" spans="1:6" ht="24">
      <c r="A131" s="3114">
        <v>57</v>
      </c>
      <c r="B131" s="3808"/>
      <c r="C131" s="3114" t="s">
        <v>2770</v>
      </c>
      <c r="D131" s="3088" t="s">
        <v>2771</v>
      </c>
      <c r="E131" s="3114">
        <v>0.1</v>
      </c>
      <c r="F131" s="3114">
        <v>15</v>
      </c>
    </row>
    <row r="132" spans="1:6" ht="24">
      <c r="A132" s="3114">
        <v>58</v>
      </c>
      <c r="B132" s="3808" t="s">
        <v>2772</v>
      </c>
      <c r="C132" s="3114" t="s">
        <v>2773</v>
      </c>
      <c r="D132" s="3088" t="s">
        <v>2774</v>
      </c>
      <c r="E132" s="3114">
        <v>0.1</v>
      </c>
      <c r="F132" s="3114">
        <v>15</v>
      </c>
    </row>
    <row r="133" spans="1:6" ht="13.5">
      <c r="A133" s="3114">
        <v>59</v>
      </c>
      <c r="B133" s="3808"/>
      <c r="C133" s="3114" t="s">
        <v>2775</v>
      </c>
      <c r="D133" s="3088" t="s">
        <v>2776</v>
      </c>
      <c r="E133" s="3114">
        <v>0.1</v>
      </c>
      <c r="F133" s="3114">
        <v>15</v>
      </c>
    </row>
    <row r="134" spans="1:6" ht="13.5">
      <c r="A134" s="3114">
        <v>60</v>
      </c>
      <c r="B134" s="3809" t="s">
        <v>2777</v>
      </c>
      <c r="C134" s="3114" t="s">
        <v>2778</v>
      </c>
      <c r="D134" s="3088" t="s">
        <v>2779</v>
      </c>
      <c r="E134" s="3114">
        <v>0.1</v>
      </c>
      <c r="F134" s="3114">
        <v>15</v>
      </c>
    </row>
    <row r="135" spans="1:6" ht="13.5">
      <c r="A135" s="3114">
        <v>61</v>
      </c>
      <c r="B135" s="3810"/>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08" t="s">
        <v>2785</v>
      </c>
      <c r="C137" s="3114" t="s">
        <v>2786</v>
      </c>
      <c r="D137" s="3088" t="s">
        <v>2787</v>
      </c>
      <c r="E137" s="3114">
        <v>0.1</v>
      </c>
      <c r="F137" s="3114">
        <v>15</v>
      </c>
    </row>
    <row r="138" spans="1:6" ht="13.5">
      <c r="A138" s="3114">
        <v>64</v>
      </c>
      <c r="B138" s="3808"/>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25922</v>
      </c>
      <c r="C2" s="2" t="s">
        <v>106</v>
      </c>
      <c r="D2" s="196"/>
      <c r="E2" s="196"/>
      <c r="F2" s="196"/>
      <c r="G2" s="196"/>
    </row>
    <row r="3" spans="1:7" s="197" customFormat="1" ht="18" customHeight="1" thickBot="1">
      <c r="A3" s="200" t="s">
        <v>58</v>
      </c>
      <c r="B3" s="201">
        <f ca="1">ROUND(B2*10000/'数据-汇总表'!E3,0)</f>
        <v>48232</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1597</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1419</v>
      </c>
      <c r="D34" s="214"/>
      <c r="E34" s="217"/>
      <c r="F34" s="254">
        <f>IF('数据-取费表'!B24=0,1,'数据-取费表'!N16)</f>
        <v>1</v>
      </c>
      <c r="G34" s="216" t="s">
        <v>89</v>
      </c>
    </row>
    <row r="35" spans="1:7" ht="13.5" customHeight="1">
      <c r="A35" s="776" t="s">
        <v>351</v>
      </c>
      <c r="B35" s="212" t="s">
        <v>33</v>
      </c>
      <c r="C35" s="217">
        <f>ROUND(C34*F35,0)</f>
        <v>43</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28</v>
      </c>
      <c r="D38" s="217"/>
      <c r="E38" s="217"/>
      <c r="F38" s="256">
        <f>'数据-取费表'!B36</f>
        <v>0.02</v>
      </c>
      <c r="G38" s="216" t="s">
        <v>90</v>
      </c>
    </row>
    <row r="39" spans="1:7" s="211" customFormat="1" ht="13.5" customHeight="1">
      <c r="A39" s="773" t="s">
        <v>338</v>
      </c>
      <c r="B39" s="207" t="s">
        <v>77</v>
      </c>
      <c r="C39" s="229">
        <f>ROUND(C33*F20,0)</f>
        <v>32</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24</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24</v>
      </c>
      <c r="D42" s="235"/>
      <c r="E42" s="235"/>
      <c r="F42" s="236"/>
      <c r="G42" s="3684" t="s">
        <v>94</v>
      </c>
    </row>
    <row r="43" spans="1:7" ht="13.5" customHeight="1">
      <c r="A43" s="776" t="s">
        <v>347</v>
      </c>
      <c r="B43" s="212" t="s">
        <v>426</v>
      </c>
      <c r="C43" s="235">
        <f ca="1">ROUND(IF('数据-取费表'!B22&lt;=1,C39*F22*'数据-取费表'!B21/2,C39*(POWER((1+F22),'数据-取费表'!B21/2)-1)),0)</f>
        <v>0</v>
      </c>
      <c r="D43" s="235"/>
      <c r="E43" s="235"/>
      <c r="F43" s="236"/>
      <c r="G43" s="3685"/>
    </row>
    <row r="44" spans="1:7" ht="13.5" customHeight="1">
      <c r="A44" s="776" t="s">
        <v>348</v>
      </c>
      <c r="B44" s="212" t="s">
        <v>428</v>
      </c>
      <c r="C44" s="235">
        <f ca="1">ROUND(IF('数据-取费表'!B22&lt;=1,C40*F22*'数据-取费表'!B21/2,C40*(POWER((1+F22),'数据-取费表'!B21/2)-1)),4)</f>
        <v>2.9999999999999997E-4</v>
      </c>
      <c r="D44" s="235"/>
      <c r="E44" s="235"/>
      <c r="F44" s="236"/>
      <c r="G44" s="3686"/>
    </row>
    <row r="45" spans="1:7" s="211" customFormat="1" ht="13.5" customHeight="1">
      <c r="A45" s="773" t="s">
        <v>341</v>
      </c>
      <c r="B45" s="241" t="s">
        <v>85</v>
      </c>
      <c r="C45" s="242">
        <f>C46</f>
        <v>81</v>
      </c>
      <c r="D45" s="232">
        <f>C47</f>
        <v>1E-3</v>
      </c>
      <c r="E45" s="233" t="s">
        <v>102</v>
      </c>
      <c r="F45" s="243"/>
      <c r="G45" s="244" t="s">
        <v>434</v>
      </c>
    </row>
    <row r="46" spans="1:7" s="211" customFormat="1" ht="13.5" customHeight="1">
      <c r="A46" s="776" t="s">
        <v>349</v>
      </c>
      <c r="B46" s="245" t="s">
        <v>427</v>
      </c>
      <c r="C46" s="246">
        <f>ROUND((C33+C39)*F27,0)</f>
        <v>81</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1872</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1292</v>
      </c>
      <c r="D51" s="229"/>
      <c r="E51" s="229"/>
      <c r="F51" s="261"/>
      <c r="G51" s="231" t="s">
        <v>37</v>
      </c>
    </row>
    <row r="52" spans="1:7" s="205" customFormat="1" ht="16.5" thickBot="1">
      <c r="A52" s="262" t="s">
        <v>38</v>
      </c>
      <c r="B52" s="263"/>
      <c r="C52" s="264">
        <f ca="1">C31+C51</f>
        <v>25922</v>
      </c>
      <c r="D52" s="263"/>
      <c r="E52" s="263"/>
      <c r="F52" s="263"/>
      <c r="G52" s="265"/>
    </row>
    <row r="55" spans="1:7" ht="15">
      <c r="B55" s="267" t="s">
        <v>39</v>
      </c>
      <c r="C55" s="268"/>
    </row>
    <row r="56" spans="1:7">
      <c r="B56" s="270" t="s">
        <v>40</v>
      </c>
      <c r="C56" s="271">
        <f ca="1">ROUND(C51/C52,3)</f>
        <v>0.05</v>
      </c>
    </row>
    <row r="57" spans="1:7">
      <c r="B57" s="270" t="s">
        <v>41</v>
      </c>
      <c r="C57" s="272">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89"/>
      <c r="B4" s="3505" t="s">
        <v>917</v>
      </c>
      <c r="C4" s="3505"/>
      <c r="D4" s="3505"/>
      <c r="E4" s="1489"/>
    </row>
    <row r="5" spans="1:5" ht="16.5" thickTop="1">
      <c r="A5" s="1487"/>
      <c r="B5" s="3503" t="s">
        <v>909</v>
      </c>
      <c r="C5" s="1490" t="s">
        <v>910</v>
      </c>
      <c r="D5" s="846">
        <f ca="1">结果表!H101</f>
        <v>2418</v>
      </c>
      <c r="E5" s="1487"/>
    </row>
    <row r="6" spans="1:5" ht="15.75">
      <c r="A6" s="1487"/>
      <c r="B6" s="3503"/>
      <c r="C6" s="1490" t="s">
        <v>911</v>
      </c>
      <c r="D6" s="846" t="str">
        <f ca="1">NUMBERSTRING(INT(D5*10000),2)&amp;"元整"</f>
        <v>贰仟肆佰壹拾捌万元整</v>
      </c>
      <c r="E6" s="1487"/>
    </row>
    <row r="7" spans="1:5" ht="15.75">
      <c r="A7" s="1487"/>
      <c r="B7" s="3508"/>
      <c r="C7" s="1491" t="s">
        <v>912</v>
      </c>
      <c r="D7" s="847">
        <f ca="1">结果表!H102</f>
        <v>4499</v>
      </c>
      <c r="E7" s="1487"/>
    </row>
    <row r="8" spans="1:5" ht="15.75">
      <c r="A8" s="1487"/>
      <c r="B8" s="3509" t="str">
        <f>结果表!E103</f>
        <v>2.估价师知悉的法定优先受偿款</v>
      </c>
      <c r="C8" s="1492" t="s">
        <v>913</v>
      </c>
      <c r="D8" s="847">
        <f>结果表!H103</f>
        <v>0</v>
      </c>
      <c r="E8" s="1487"/>
    </row>
    <row r="9" spans="1:5" ht="15.75">
      <c r="A9" s="1487"/>
      <c r="B9" s="351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2" t="str">
        <f>结果表!E107</f>
        <v>3.房地产抵押价值</v>
      </c>
      <c r="C13" s="1495" t="s">
        <v>910</v>
      </c>
      <c r="D13" s="849">
        <f ca="1">结果表!H107</f>
        <v>2418</v>
      </c>
      <c r="E13" s="1487"/>
    </row>
    <row r="14" spans="1:5" ht="15.75">
      <c r="A14" s="1487"/>
      <c r="B14" s="3503"/>
      <c r="C14" s="1490" t="s">
        <v>911</v>
      </c>
      <c r="D14" s="846" t="str">
        <f ca="1">NUMBERSTRING(INT(D13*10000),2)&amp;"元整"</f>
        <v>贰仟肆佰壹拾捌万元整</v>
      </c>
      <c r="E14" s="1487"/>
    </row>
    <row r="15" spans="1:5" ht="15">
      <c r="A15" s="1487"/>
      <c r="B15" s="3508"/>
      <c r="C15" s="1491" t="s">
        <v>921</v>
      </c>
      <c r="D15" s="855">
        <f ca="1">结果表!H108</f>
        <v>4499</v>
      </c>
      <c r="E15" s="1487"/>
    </row>
    <row r="16" spans="1:5" ht="15">
      <c r="A16" s="1487"/>
      <c r="B16" s="3509" t="str">
        <f>结果表!E109</f>
        <v>——</v>
      </c>
      <c r="C16" s="1495" t="s">
        <v>922</v>
      </c>
      <c r="D16" s="1496" t="str">
        <f>结果表!H109</f>
        <v>——</v>
      </c>
      <c r="E16" s="1487"/>
    </row>
    <row r="17" spans="1:5" ht="15.75">
      <c r="A17" s="1487"/>
      <c r="B17" s="3510"/>
      <c r="C17" s="1490" t="s">
        <v>923</v>
      </c>
      <c r="D17" s="846" t="e">
        <f>NUMBERSTRING(INT(D16*10000),2)&amp;"元整"</f>
        <v>#VALUE!</v>
      </c>
      <c r="E17" s="1487"/>
    </row>
    <row r="18" spans="1:5" ht="15">
      <c r="A18" s="1487"/>
      <c r="B18" s="3511"/>
      <c r="C18" s="1491" t="s">
        <v>912</v>
      </c>
      <c r="D18" s="855" t="str">
        <f>结果表!H110</f>
        <v>——</v>
      </c>
      <c r="E18" s="1487"/>
    </row>
    <row r="19" spans="1:5" ht="15.75">
      <c r="A19" s="1487"/>
      <c r="B19" s="3502" t="str">
        <f>结果表!E111</f>
        <v>——</v>
      </c>
      <c r="C19" s="1495" t="s">
        <v>910</v>
      </c>
      <c r="D19" s="847" t="str">
        <f>结果表!H111</f>
        <v>——</v>
      </c>
      <c r="E19" s="1487"/>
    </row>
    <row r="20" spans="1:5" ht="15.75">
      <c r="A20" s="1487"/>
      <c r="B20" s="3503"/>
      <c r="C20" s="1490" t="s">
        <v>923</v>
      </c>
      <c r="D20" s="846" t="e">
        <f>NUMBERSTRING(INT(D19*10000),2)&amp;"元整"</f>
        <v>#VALUE!</v>
      </c>
      <c r="E20" s="1487"/>
    </row>
    <row r="21" spans="1:5" ht="15.75" thickBot="1">
      <c r="A21" s="1487"/>
      <c r="B21" s="350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3177</v>
      </c>
      <c r="B1" s="3822"/>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3" t="s">
        <v>3228</v>
      </c>
      <c r="B1" s="3823"/>
      <c r="C1" s="3823"/>
      <c r="D1" s="3823"/>
      <c r="E1" s="3823"/>
      <c r="F1" s="3824"/>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60" workbookViewId="0">
      <selection activeCell="N158" sqref="N158"/>
    </sheetView>
  </sheetViews>
  <sheetFormatPr defaultRowHeight="13.5"/>
  <sheetData>
    <row r="154" spans="2:2">
      <c r="B154" s="3488" t="s">
        <v>3495</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5" t="s">
        <v>2823</v>
      </c>
      <c r="S29" s="3826"/>
      <c r="T29" s="3826"/>
      <c r="U29" s="3826"/>
      <c r="V29" s="3826"/>
      <c r="W29" s="3826"/>
      <c r="X29" s="3161"/>
      <c r="Y29" s="3825" t="s">
        <v>2824</v>
      </c>
      <c r="Z29" s="3826"/>
      <c r="AA29" s="3826"/>
      <c r="AB29" s="3826"/>
      <c r="AC29" s="3826"/>
      <c r="AD29" s="3826"/>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0" t="s">
        <v>2835</v>
      </c>
      <c r="B1" s="3840"/>
      <c r="C1" s="3840"/>
      <c r="D1" s="3840"/>
      <c r="E1" s="3840"/>
      <c r="F1" s="3840"/>
      <c r="G1" s="3841"/>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38"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39"/>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Q14" sqref="Q14"/>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3514</v>
      </c>
      <c r="B1" s="3499" t="s">
        <v>3515</v>
      </c>
      <c r="C1" s="3499" t="s">
        <v>3516</v>
      </c>
      <c r="D1" s="3499" t="s">
        <v>3517</v>
      </c>
      <c r="E1" s="3499" t="s">
        <v>3518</v>
      </c>
      <c r="F1" s="3499" t="s">
        <v>3519</v>
      </c>
      <c r="G1" s="3499" t="s">
        <v>3520</v>
      </c>
      <c r="H1" s="3499" t="s">
        <v>3521</v>
      </c>
      <c r="I1" s="3499" t="s">
        <v>3643</v>
      </c>
      <c r="J1" s="3499" t="s">
        <v>3522</v>
      </c>
      <c r="K1" s="3499" t="s">
        <v>3523</v>
      </c>
      <c r="L1" s="3499" t="s">
        <v>3524</v>
      </c>
      <c r="M1" s="3499" t="s">
        <v>3525</v>
      </c>
      <c r="N1" s="3499" t="s">
        <v>3526</v>
      </c>
      <c r="O1" s="3499" t="s">
        <v>3527</v>
      </c>
      <c r="P1" s="3499" t="s">
        <v>3528</v>
      </c>
      <c r="Q1" s="3499" t="s">
        <v>3529</v>
      </c>
      <c r="R1" s="3499" t="s">
        <v>3530</v>
      </c>
      <c r="S1" s="3499" t="s">
        <v>3531</v>
      </c>
      <c r="T1" s="3499" t="s">
        <v>3532</v>
      </c>
      <c r="U1" s="3499" t="s">
        <v>3533</v>
      </c>
      <c r="V1" s="3499" t="s">
        <v>3534</v>
      </c>
      <c r="W1" s="3499" t="s">
        <v>3535</v>
      </c>
      <c r="X1" s="3499" t="s">
        <v>3536</v>
      </c>
    </row>
    <row r="2" spans="1:24">
      <c r="A2" s="3498" t="s">
        <v>3644</v>
      </c>
      <c r="B2" s="3498" t="s">
        <v>3417</v>
      </c>
      <c r="C2" s="3498" t="s">
        <v>3645</v>
      </c>
      <c r="D2" s="3498" t="s">
        <v>3646</v>
      </c>
      <c r="E2" s="3498">
        <v>42679.99</v>
      </c>
      <c r="F2" s="3498">
        <v>74700</v>
      </c>
      <c r="G2" s="3498" t="s">
        <v>2475</v>
      </c>
      <c r="H2" s="3498" t="s">
        <v>3642</v>
      </c>
      <c r="I2" s="3498" t="s">
        <v>3647</v>
      </c>
      <c r="J2" s="3498" t="s">
        <v>3648</v>
      </c>
      <c r="K2" s="3498" t="s">
        <v>3542</v>
      </c>
      <c r="L2" s="3498" t="s">
        <v>3543</v>
      </c>
      <c r="M2" s="3498" t="s">
        <v>3543</v>
      </c>
      <c r="N2" s="3498" t="s">
        <v>3649</v>
      </c>
      <c r="O2" s="3498" t="s">
        <v>3545</v>
      </c>
      <c r="P2" s="3498" t="s">
        <v>3650</v>
      </c>
      <c r="Q2" s="3498">
        <v>10523.41</v>
      </c>
      <c r="R2" s="3498">
        <v>2465.65</v>
      </c>
      <c r="S2" s="3498">
        <v>164.38</v>
      </c>
      <c r="T2" s="3498">
        <v>1409</v>
      </c>
      <c r="U2" s="3498">
        <v>0</v>
      </c>
      <c r="V2" s="3498" t="s">
        <v>3543</v>
      </c>
      <c r="W2" s="3498" t="s">
        <v>3651</v>
      </c>
      <c r="X2" s="3498" t="s">
        <v>3543</v>
      </c>
    </row>
    <row r="3" spans="1:24">
      <c r="A3" s="3498" t="s">
        <v>3652</v>
      </c>
      <c r="B3" s="3498" t="s">
        <v>3417</v>
      </c>
      <c r="C3" s="3498" t="s">
        <v>3645</v>
      </c>
      <c r="D3" s="3498" t="s">
        <v>3653</v>
      </c>
      <c r="E3" s="3498">
        <v>41859.949999999997</v>
      </c>
      <c r="F3" s="3498">
        <v>56511</v>
      </c>
      <c r="G3" s="3498" t="s">
        <v>2475</v>
      </c>
      <c r="H3" s="3498" t="s">
        <v>3642</v>
      </c>
      <c r="I3" s="3498" t="s">
        <v>3647</v>
      </c>
      <c r="J3" s="3498" t="s">
        <v>3654</v>
      </c>
      <c r="K3" s="3498" t="s">
        <v>3542</v>
      </c>
      <c r="L3" s="3498" t="s">
        <v>3543</v>
      </c>
      <c r="M3" s="3498" t="s">
        <v>3543</v>
      </c>
      <c r="N3" s="3498" t="s">
        <v>3655</v>
      </c>
      <c r="O3" s="3498" t="s">
        <v>3545</v>
      </c>
      <c r="P3" s="3498" t="s">
        <v>3656</v>
      </c>
      <c r="Q3" s="3498">
        <v>10360.34</v>
      </c>
      <c r="R3" s="3498">
        <v>2475</v>
      </c>
      <c r="S3" s="3498">
        <v>165</v>
      </c>
      <c r="T3" s="3498">
        <v>1833</v>
      </c>
      <c r="U3" s="3498">
        <v>0</v>
      </c>
      <c r="V3" s="3498" t="s">
        <v>3543</v>
      </c>
      <c r="W3" s="3498" t="s">
        <v>3651</v>
      </c>
      <c r="X3" s="3498" t="s">
        <v>3543</v>
      </c>
    </row>
    <row r="4" spans="1:24">
      <c r="A4" s="3498" t="s">
        <v>3657</v>
      </c>
      <c r="B4" s="3498" t="s">
        <v>3417</v>
      </c>
      <c r="C4" s="3498" t="s">
        <v>3645</v>
      </c>
      <c r="D4" s="3498" t="s">
        <v>3658</v>
      </c>
      <c r="E4" s="3498">
        <v>54070.13</v>
      </c>
      <c r="F4" s="3498">
        <v>102800</v>
      </c>
      <c r="G4" s="3498" t="s">
        <v>2475</v>
      </c>
      <c r="H4" s="3498" t="s">
        <v>3642</v>
      </c>
      <c r="I4" s="3498" t="s">
        <v>3647</v>
      </c>
      <c r="J4" s="3498" t="s">
        <v>3659</v>
      </c>
      <c r="K4" s="3498" t="s">
        <v>3542</v>
      </c>
      <c r="L4" s="3498" t="s">
        <v>3543</v>
      </c>
      <c r="M4" s="3498" t="s">
        <v>3543</v>
      </c>
      <c r="N4" s="3498" t="s">
        <v>3660</v>
      </c>
      <c r="O4" s="3498" t="s">
        <v>3545</v>
      </c>
      <c r="P4" s="3498" t="s">
        <v>3661</v>
      </c>
      <c r="Q4" s="3498">
        <v>14259.12</v>
      </c>
      <c r="R4" s="3498">
        <v>2637.15</v>
      </c>
      <c r="S4" s="3498">
        <v>175.81</v>
      </c>
      <c r="T4" s="3498">
        <v>1387</v>
      </c>
      <c r="U4" s="3498">
        <v>0</v>
      </c>
      <c r="V4" s="3498" t="s">
        <v>3543</v>
      </c>
      <c r="W4" s="3498" t="s">
        <v>3651</v>
      </c>
      <c r="X4" s="3498" t="s">
        <v>3543</v>
      </c>
    </row>
    <row r="5" spans="1:24">
      <c r="A5" s="3498" t="s">
        <v>3537</v>
      </c>
      <c r="B5" s="3498" t="s">
        <v>3417</v>
      </c>
      <c r="C5" s="3498" t="s">
        <v>3538</v>
      </c>
      <c r="D5" s="3498" t="s">
        <v>3539</v>
      </c>
      <c r="E5" s="3498">
        <v>17652.03</v>
      </c>
      <c r="F5" s="3498">
        <v>21182.44</v>
      </c>
      <c r="G5" s="3498" t="s">
        <v>2475</v>
      </c>
      <c r="H5" s="3498" t="s">
        <v>3540</v>
      </c>
      <c r="I5" s="3498" t="s">
        <v>3662</v>
      </c>
      <c r="J5" s="3498" t="s">
        <v>3541</v>
      </c>
      <c r="K5" s="3498" t="s">
        <v>3542</v>
      </c>
      <c r="L5" s="3498" t="s">
        <v>3543</v>
      </c>
      <c r="M5" s="3498" t="s">
        <v>3543</v>
      </c>
      <c r="N5" s="3498" t="s">
        <v>3544</v>
      </c>
      <c r="O5" s="3498" t="s">
        <v>3545</v>
      </c>
      <c r="P5" s="3498" t="s">
        <v>3546</v>
      </c>
      <c r="Q5" s="3498">
        <v>4300</v>
      </c>
      <c r="R5" s="3498">
        <v>2435.98</v>
      </c>
      <c r="S5" s="3498">
        <v>162.4</v>
      </c>
      <c r="T5" s="3498">
        <v>2030</v>
      </c>
      <c r="U5" s="3498">
        <v>0</v>
      </c>
      <c r="V5" s="3498" t="s">
        <v>3543</v>
      </c>
      <c r="W5" s="3498" t="s">
        <v>3547</v>
      </c>
      <c r="X5" s="3498" t="s">
        <v>3543</v>
      </c>
    </row>
    <row r="6" spans="1:24">
      <c r="A6" s="3498" t="s">
        <v>3548</v>
      </c>
      <c r="B6" s="3498" t="s">
        <v>3417</v>
      </c>
      <c r="C6" s="3498" t="s">
        <v>3538</v>
      </c>
      <c r="D6" s="3498" t="s">
        <v>3549</v>
      </c>
      <c r="E6" s="3498">
        <v>21316.42</v>
      </c>
      <c r="F6" s="3498">
        <v>25579.71</v>
      </c>
      <c r="G6" s="3498" t="s">
        <v>2475</v>
      </c>
      <c r="H6" s="3498" t="s">
        <v>3540</v>
      </c>
      <c r="I6" s="3498" t="s">
        <v>3662</v>
      </c>
      <c r="J6" s="3498" t="s">
        <v>3541</v>
      </c>
      <c r="K6" s="3498" t="s">
        <v>3542</v>
      </c>
      <c r="L6" s="3498" t="s">
        <v>3543</v>
      </c>
      <c r="M6" s="3498" t="s">
        <v>3543</v>
      </c>
      <c r="N6" s="3498" t="s">
        <v>3544</v>
      </c>
      <c r="O6" s="3498" t="s">
        <v>3545</v>
      </c>
      <c r="P6" s="3498" t="s">
        <v>3546</v>
      </c>
      <c r="Q6" s="3498">
        <v>5200</v>
      </c>
      <c r="R6" s="3498">
        <v>2439.4299999999998</v>
      </c>
      <c r="S6" s="3498">
        <v>162.63</v>
      </c>
      <c r="T6" s="3498">
        <v>2033</v>
      </c>
      <c r="U6" s="3498">
        <v>0</v>
      </c>
      <c r="V6" s="3498" t="s">
        <v>3543</v>
      </c>
      <c r="W6" s="3498" t="s">
        <v>3547</v>
      </c>
      <c r="X6" s="3498" t="s">
        <v>3543</v>
      </c>
    </row>
    <row r="7" spans="1:24">
      <c r="A7" s="3498" t="s">
        <v>3550</v>
      </c>
      <c r="B7" s="3498" t="s">
        <v>3417</v>
      </c>
      <c r="C7" s="3498" t="s">
        <v>3538</v>
      </c>
      <c r="D7" s="3498" t="s">
        <v>3551</v>
      </c>
      <c r="E7" s="3498">
        <v>17446.72</v>
      </c>
      <c r="F7" s="3498">
        <v>26170.09</v>
      </c>
      <c r="G7" s="3498" t="s">
        <v>2475</v>
      </c>
      <c r="H7" s="3498" t="s">
        <v>3540</v>
      </c>
      <c r="I7" s="3498" t="s">
        <v>3663</v>
      </c>
      <c r="J7" s="3498" t="s">
        <v>3552</v>
      </c>
      <c r="K7" s="3498" t="s">
        <v>3542</v>
      </c>
      <c r="L7" s="3498" t="s">
        <v>3543</v>
      </c>
      <c r="M7" s="3498" t="s">
        <v>3543</v>
      </c>
      <c r="N7" s="3498" t="s">
        <v>3544</v>
      </c>
      <c r="O7" s="3498" t="s">
        <v>3545</v>
      </c>
      <c r="P7" s="3498" t="s">
        <v>3546</v>
      </c>
      <c r="Q7" s="3498">
        <v>5100</v>
      </c>
      <c r="R7" s="3498">
        <v>2923.18</v>
      </c>
      <c r="S7" s="3498">
        <v>194.88</v>
      </c>
      <c r="T7" s="3498">
        <v>1949</v>
      </c>
      <c r="U7" s="3498">
        <v>0</v>
      </c>
      <c r="V7" s="3498" t="s">
        <v>3543</v>
      </c>
      <c r="W7" s="3498" t="s">
        <v>3547</v>
      </c>
      <c r="X7" s="3498" t="s">
        <v>3543</v>
      </c>
    </row>
    <row r="8" spans="1:24">
      <c r="A8" s="3498" t="s">
        <v>3553</v>
      </c>
      <c r="B8" s="3498" t="s">
        <v>3417</v>
      </c>
      <c r="C8" s="3498" t="s">
        <v>3538</v>
      </c>
      <c r="D8" s="3498" t="s">
        <v>3554</v>
      </c>
      <c r="E8" s="3498">
        <v>18241.37</v>
      </c>
      <c r="F8" s="3498">
        <v>21889.64</v>
      </c>
      <c r="G8" s="3498" t="s">
        <v>2475</v>
      </c>
      <c r="H8" s="3498" t="s">
        <v>3555</v>
      </c>
      <c r="I8" s="3498" t="s">
        <v>3664</v>
      </c>
      <c r="J8" s="3498" t="s">
        <v>3541</v>
      </c>
      <c r="K8" s="3498" t="s">
        <v>3542</v>
      </c>
      <c r="L8" s="3498" t="s">
        <v>3543</v>
      </c>
      <c r="M8" s="3498" t="s">
        <v>3543</v>
      </c>
      <c r="N8" s="3498" t="s">
        <v>3556</v>
      </c>
      <c r="O8" s="3498" t="s">
        <v>3545</v>
      </c>
      <c r="P8" s="3498" t="s">
        <v>3557</v>
      </c>
      <c r="Q8" s="3498">
        <v>6000</v>
      </c>
      <c r="R8" s="3498">
        <v>3289.22</v>
      </c>
      <c r="S8" s="3498">
        <v>219.28</v>
      </c>
      <c r="T8" s="3498">
        <v>2741</v>
      </c>
      <c r="U8" s="3498">
        <v>0</v>
      </c>
      <c r="V8" s="3498" t="s">
        <v>3543</v>
      </c>
      <c r="W8" s="3498" t="s">
        <v>3558</v>
      </c>
      <c r="X8" s="3498" t="s">
        <v>3543</v>
      </c>
    </row>
    <row r="9" spans="1:24">
      <c r="A9" s="3498" t="s">
        <v>3559</v>
      </c>
      <c r="B9" s="3498" t="s">
        <v>3417</v>
      </c>
      <c r="C9" s="3498" t="s">
        <v>3538</v>
      </c>
      <c r="D9" s="3498" t="s">
        <v>3560</v>
      </c>
      <c r="E9" s="3498">
        <v>186670.83</v>
      </c>
      <c r="F9" s="3498">
        <v>336007.5</v>
      </c>
      <c r="G9" s="3498" t="s">
        <v>2475</v>
      </c>
      <c r="H9" s="3498" t="s">
        <v>3555</v>
      </c>
      <c r="I9" s="3498" t="s">
        <v>3664</v>
      </c>
      <c r="J9" s="3498" t="s">
        <v>3561</v>
      </c>
      <c r="K9" s="3498" t="s">
        <v>3542</v>
      </c>
      <c r="L9" s="3498" t="s">
        <v>3543</v>
      </c>
      <c r="M9" s="3498" t="s">
        <v>3543</v>
      </c>
      <c r="N9" s="3498" t="s">
        <v>3562</v>
      </c>
      <c r="O9" s="3498" t="s">
        <v>3545</v>
      </c>
      <c r="P9" s="3498" t="s">
        <v>3563</v>
      </c>
      <c r="Q9" s="3498">
        <v>77800</v>
      </c>
      <c r="R9" s="3498">
        <v>4167.76</v>
      </c>
      <c r="S9" s="3498">
        <v>277.85000000000002</v>
      </c>
      <c r="T9" s="3498">
        <v>2315</v>
      </c>
      <c r="U9" s="3498">
        <v>0</v>
      </c>
      <c r="V9" s="3498" t="s">
        <v>3543</v>
      </c>
      <c r="W9" s="3498" t="s">
        <v>3558</v>
      </c>
      <c r="X9" s="3498" t="s">
        <v>3543</v>
      </c>
    </row>
    <row r="10" spans="1:24">
      <c r="A10" s="3498" t="s">
        <v>3564</v>
      </c>
      <c r="B10" s="3498" t="s">
        <v>3417</v>
      </c>
      <c r="C10" s="3498" t="s">
        <v>3538</v>
      </c>
      <c r="D10" s="3498" t="s">
        <v>3565</v>
      </c>
      <c r="E10" s="3498">
        <v>36970.339999999997</v>
      </c>
      <c r="F10" s="3498">
        <v>36970.339999999997</v>
      </c>
      <c r="G10" s="3498" t="s">
        <v>2475</v>
      </c>
      <c r="H10" s="3498" t="s">
        <v>3555</v>
      </c>
      <c r="I10" s="3498" t="s">
        <v>3664</v>
      </c>
      <c r="J10" s="3498" t="s">
        <v>3566</v>
      </c>
      <c r="K10" s="3498" t="s">
        <v>3542</v>
      </c>
      <c r="L10" s="3498" t="s">
        <v>3543</v>
      </c>
      <c r="M10" s="3498" t="s">
        <v>3543</v>
      </c>
      <c r="N10" s="3498" t="s">
        <v>3567</v>
      </c>
      <c r="O10" s="3498" t="s">
        <v>3545</v>
      </c>
      <c r="P10" s="3498" t="s">
        <v>3568</v>
      </c>
      <c r="Q10" s="3498">
        <v>10540</v>
      </c>
      <c r="R10" s="3498">
        <v>2850.93</v>
      </c>
      <c r="S10" s="3498">
        <v>190.06</v>
      </c>
      <c r="T10" s="3498">
        <v>2851</v>
      </c>
      <c r="U10" s="3498">
        <v>0</v>
      </c>
      <c r="V10" s="3498" t="s">
        <v>3543</v>
      </c>
      <c r="W10" s="3498" t="s">
        <v>3558</v>
      </c>
      <c r="X10" s="3498" t="s">
        <v>3543</v>
      </c>
    </row>
    <row r="11" spans="1:24">
      <c r="A11" s="3498" t="s">
        <v>3569</v>
      </c>
      <c r="B11" s="3498" t="s">
        <v>3417</v>
      </c>
      <c r="C11" s="3498" t="s">
        <v>3538</v>
      </c>
      <c r="D11" s="3498" t="s">
        <v>3570</v>
      </c>
      <c r="E11" s="3498">
        <v>20171.71</v>
      </c>
      <c r="F11" s="3498">
        <v>26223.22</v>
      </c>
      <c r="G11" s="3498" t="s">
        <v>2475</v>
      </c>
      <c r="H11" s="3498" t="s">
        <v>3555</v>
      </c>
      <c r="I11" s="3498" t="s">
        <v>3664</v>
      </c>
      <c r="J11" s="3498" t="s">
        <v>3571</v>
      </c>
      <c r="K11" s="3498" t="s">
        <v>3542</v>
      </c>
      <c r="L11" s="3498" t="s">
        <v>3543</v>
      </c>
      <c r="M11" s="3498" t="s">
        <v>3543</v>
      </c>
      <c r="N11" s="3498" t="s">
        <v>3572</v>
      </c>
      <c r="O11" s="3498" t="s">
        <v>3545</v>
      </c>
      <c r="P11" s="3498" t="s">
        <v>3573</v>
      </c>
      <c r="Q11" s="3498">
        <v>5900</v>
      </c>
      <c r="R11" s="3498">
        <v>2924.88</v>
      </c>
      <c r="S11" s="3498">
        <v>194.99</v>
      </c>
      <c r="T11" s="3498">
        <v>2250</v>
      </c>
      <c r="U11" s="3498">
        <v>0</v>
      </c>
      <c r="V11" s="3498" t="s">
        <v>3543</v>
      </c>
      <c r="W11" s="3498" t="s">
        <v>3558</v>
      </c>
      <c r="X11" s="3498" t="s">
        <v>3543</v>
      </c>
    </row>
    <row r="12" spans="1:24">
      <c r="A12" s="3498" t="s">
        <v>3574</v>
      </c>
      <c r="B12" s="3498" t="s">
        <v>3417</v>
      </c>
      <c r="C12" s="3498" t="s">
        <v>3538</v>
      </c>
      <c r="D12" s="3498" t="s">
        <v>3575</v>
      </c>
      <c r="E12" s="3498">
        <v>89021.08</v>
      </c>
      <c r="F12" s="3498">
        <v>106825.3</v>
      </c>
      <c r="G12" s="3498" t="s">
        <v>2475</v>
      </c>
      <c r="H12" s="3498" t="s">
        <v>3555</v>
      </c>
      <c r="I12" s="3498" t="s">
        <v>3664</v>
      </c>
      <c r="J12" s="3498" t="s">
        <v>3576</v>
      </c>
      <c r="K12" s="3498" t="s">
        <v>3542</v>
      </c>
      <c r="L12" s="3498" t="s">
        <v>3543</v>
      </c>
      <c r="M12" s="3498" t="s">
        <v>3543</v>
      </c>
      <c r="N12" s="3498" t="s">
        <v>3577</v>
      </c>
      <c r="O12" s="3498" t="s">
        <v>3578</v>
      </c>
      <c r="P12" s="3498" t="s">
        <v>3579</v>
      </c>
      <c r="Q12" s="3498">
        <v>30947</v>
      </c>
      <c r="R12" s="3498">
        <v>3476.36</v>
      </c>
      <c r="S12" s="3498">
        <v>231.76</v>
      </c>
      <c r="T12" s="3498">
        <v>2897</v>
      </c>
      <c r="U12" s="3498">
        <v>0</v>
      </c>
      <c r="V12" s="3498" t="s">
        <v>3543</v>
      </c>
      <c r="W12" s="3498" t="s">
        <v>3558</v>
      </c>
      <c r="X12" s="3498" t="s">
        <v>3543</v>
      </c>
    </row>
    <row r="13" spans="1:24">
      <c r="A13" s="3498" t="s">
        <v>3580</v>
      </c>
      <c r="B13" s="3498" t="s">
        <v>3417</v>
      </c>
      <c r="C13" s="3498" t="s">
        <v>3538</v>
      </c>
      <c r="D13" s="3498" t="s">
        <v>3581</v>
      </c>
      <c r="E13" s="3498">
        <v>19134.599999999999</v>
      </c>
      <c r="F13" s="3498">
        <v>22961.52</v>
      </c>
      <c r="G13" s="3498" t="s">
        <v>2475</v>
      </c>
      <c r="H13" s="3498" t="s">
        <v>3555</v>
      </c>
      <c r="I13" s="3498" t="s">
        <v>3664</v>
      </c>
      <c r="J13" s="3498" t="s">
        <v>3576</v>
      </c>
      <c r="K13" s="3498" t="s">
        <v>3542</v>
      </c>
      <c r="L13" s="3498" t="s">
        <v>3543</v>
      </c>
      <c r="M13" s="3498" t="s">
        <v>3543</v>
      </c>
      <c r="N13" s="3498" t="s">
        <v>3582</v>
      </c>
      <c r="O13" s="3498" t="s">
        <v>3578</v>
      </c>
      <c r="P13" s="3498" t="s">
        <v>3579</v>
      </c>
      <c r="Q13" s="3498">
        <v>5496</v>
      </c>
      <c r="R13" s="3498">
        <v>2872.28</v>
      </c>
      <c r="S13" s="3498">
        <v>191.49</v>
      </c>
      <c r="T13" s="3498">
        <v>2394</v>
      </c>
      <c r="U13" s="3498">
        <v>0</v>
      </c>
      <c r="V13" s="3498" t="s">
        <v>3543</v>
      </c>
      <c r="W13" s="3498" t="s">
        <v>3558</v>
      </c>
      <c r="X13" s="3498" t="s">
        <v>3543</v>
      </c>
    </row>
    <row r="14" spans="1:24">
      <c r="A14" s="3498" t="s">
        <v>3583</v>
      </c>
      <c r="B14" s="3498" t="s">
        <v>3417</v>
      </c>
      <c r="C14" s="3498" t="s">
        <v>3538</v>
      </c>
      <c r="D14" s="3498" t="s">
        <v>3584</v>
      </c>
      <c r="E14" s="3498">
        <v>53345.32</v>
      </c>
      <c r="F14" s="3498">
        <v>64014.38</v>
      </c>
      <c r="G14" s="3498" t="s">
        <v>2475</v>
      </c>
      <c r="H14" s="3498" t="s">
        <v>3585</v>
      </c>
      <c r="I14" s="3498" t="s">
        <v>3647</v>
      </c>
      <c r="J14" s="3498" t="s">
        <v>3576</v>
      </c>
      <c r="K14" s="3498" t="s">
        <v>3542</v>
      </c>
      <c r="L14" s="3498" t="s">
        <v>3543</v>
      </c>
      <c r="M14" s="3498" t="s">
        <v>3543</v>
      </c>
      <c r="N14" s="3498" t="s">
        <v>3582</v>
      </c>
      <c r="O14" s="3498" t="s">
        <v>3578</v>
      </c>
      <c r="P14" s="3498" t="s">
        <v>3586</v>
      </c>
      <c r="Q14" s="3498">
        <v>7279.4</v>
      </c>
      <c r="R14" s="3498">
        <v>1364.58</v>
      </c>
      <c r="S14" s="3498">
        <v>90.97</v>
      </c>
      <c r="T14" s="3498">
        <v>1137</v>
      </c>
      <c r="U14" s="3498">
        <v>0</v>
      </c>
      <c r="V14" s="3498" t="s">
        <v>3543</v>
      </c>
      <c r="W14" s="3498" t="s">
        <v>3558</v>
      </c>
      <c r="X14" s="3498" t="s">
        <v>3543</v>
      </c>
    </row>
    <row r="15" spans="1:24">
      <c r="A15" s="3498" t="s">
        <v>3587</v>
      </c>
      <c r="B15" s="3498" t="s">
        <v>3417</v>
      </c>
      <c r="C15" s="3498" t="s">
        <v>3538</v>
      </c>
      <c r="D15" s="3498" t="s">
        <v>3588</v>
      </c>
      <c r="E15" s="3498">
        <v>67803.740000000005</v>
      </c>
      <c r="F15" s="3498">
        <v>122046.73</v>
      </c>
      <c r="G15" s="3498" t="s">
        <v>2475</v>
      </c>
      <c r="H15" s="3498" t="s">
        <v>3555</v>
      </c>
      <c r="I15" s="3498" t="s">
        <v>3664</v>
      </c>
      <c r="J15" s="3498" t="s">
        <v>3589</v>
      </c>
      <c r="K15" s="3498" t="s">
        <v>3542</v>
      </c>
      <c r="L15" s="3498" t="s">
        <v>3543</v>
      </c>
      <c r="M15" s="3498" t="s">
        <v>3543</v>
      </c>
      <c r="N15" s="3498" t="s">
        <v>3590</v>
      </c>
      <c r="O15" s="3498" t="s">
        <v>3578</v>
      </c>
      <c r="P15" s="3498" t="s">
        <v>3591</v>
      </c>
      <c r="Q15" s="3498">
        <v>28300</v>
      </c>
      <c r="R15" s="3498">
        <v>4173.8100000000004</v>
      </c>
      <c r="S15" s="3498">
        <v>278.25</v>
      </c>
      <c r="T15" s="3498">
        <v>2319</v>
      </c>
      <c r="U15" s="3498">
        <v>0</v>
      </c>
      <c r="V15" s="3498" t="s">
        <v>3543</v>
      </c>
      <c r="W15" s="3498" t="s">
        <v>3558</v>
      </c>
      <c r="X15" s="3498" t="s">
        <v>3543</v>
      </c>
    </row>
    <row r="16" spans="1:24">
      <c r="A16" s="3498" t="s">
        <v>3592</v>
      </c>
      <c r="B16" s="3498" t="s">
        <v>3417</v>
      </c>
      <c r="C16" s="3498" t="s">
        <v>3538</v>
      </c>
      <c r="D16" s="3498" t="s">
        <v>3593</v>
      </c>
      <c r="E16" s="3498">
        <v>374092.65</v>
      </c>
      <c r="F16" s="3498">
        <v>935231.62</v>
      </c>
      <c r="G16" s="3498" t="s">
        <v>2475</v>
      </c>
      <c r="H16" s="3498" t="s">
        <v>3555</v>
      </c>
      <c r="I16" s="3498" t="s">
        <v>3664</v>
      </c>
      <c r="J16" s="3498" t="s">
        <v>3594</v>
      </c>
      <c r="K16" s="3498" t="s">
        <v>3542</v>
      </c>
      <c r="L16" s="3498" t="s">
        <v>3543</v>
      </c>
      <c r="M16" s="3498" t="s">
        <v>3543</v>
      </c>
      <c r="N16" s="3498" t="s">
        <v>3595</v>
      </c>
      <c r="O16" s="3498" t="s">
        <v>3578</v>
      </c>
      <c r="P16" s="3498" t="s">
        <v>3596</v>
      </c>
      <c r="Q16" s="3498">
        <v>185300</v>
      </c>
      <c r="R16" s="3498">
        <v>4953.3100000000004</v>
      </c>
      <c r="S16" s="3498">
        <v>330.22</v>
      </c>
      <c r="T16" s="3498">
        <v>1981</v>
      </c>
      <c r="U16" s="3498">
        <v>0</v>
      </c>
      <c r="V16" s="3498" t="s">
        <v>3543</v>
      </c>
      <c r="W16" s="3498" t="s">
        <v>3558</v>
      </c>
      <c r="X16" s="3498" t="s">
        <v>3543</v>
      </c>
    </row>
    <row r="17" spans="1:24">
      <c r="A17" s="3498" t="s">
        <v>3597</v>
      </c>
      <c r="B17" s="3498" t="s">
        <v>3417</v>
      </c>
      <c r="C17" s="3498" t="s">
        <v>3538</v>
      </c>
      <c r="D17" s="3498" t="s">
        <v>3598</v>
      </c>
      <c r="E17" s="3498">
        <v>236803.69</v>
      </c>
      <c r="F17" s="3498">
        <v>592009.23</v>
      </c>
      <c r="G17" s="3498" t="s">
        <v>2475</v>
      </c>
      <c r="H17" s="3498" t="s">
        <v>3555</v>
      </c>
      <c r="I17" s="3498" t="s">
        <v>3664</v>
      </c>
      <c r="J17" s="3498" t="s">
        <v>3594</v>
      </c>
      <c r="K17" s="3498" t="s">
        <v>3542</v>
      </c>
      <c r="L17" s="3498" t="s">
        <v>3543</v>
      </c>
      <c r="M17" s="3498" t="s">
        <v>3543</v>
      </c>
      <c r="N17" s="3498" t="s">
        <v>3599</v>
      </c>
      <c r="O17" s="3498" t="s">
        <v>3578</v>
      </c>
      <c r="P17" s="3498" t="s">
        <v>3600</v>
      </c>
      <c r="Q17" s="3498">
        <v>117300</v>
      </c>
      <c r="R17" s="3498">
        <v>4953.47</v>
      </c>
      <c r="S17" s="3498">
        <v>330.23</v>
      </c>
      <c r="T17" s="3498">
        <v>1981</v>
      </c>
      <c r="U17" s="3498">
        <v>0</v>
      </c>
      <c r="V17" s="3498" t="s">
        <v>3543</v>
      </c>
      <c r="W17" s="3498" t="s">
        <v>3558</v>
      </c>
      <c r="X17" s="3498" t="s">
        <v>3543</v>
      </c>
    </row>
    <row r="18" spans="1:24">
      <c r="A18" s="3498" t="s">
        <v>3601</v>
      </c>
      <c r="B18" s="3498" t="s">
        <v>3417</v>
      </c>
      <c r="C18" s="3498" t="s">
        <v>3538</v>
      </c>
      <c r="D18" s="3498" t="s">
        <v>3602</v>
      </c>
      <c r="E18" s="3498">
        <v>108495.99</v>
      </c>
      <c r="F18" s="3498">
        <v>206142.38</v>
      </c>
      <c r="G18" s="3498" t="s">
        <v>2475</v>
      </c>
      <c r="H18" s="3498" t="s">
        <v>3555</v>
      </c>
      <c r="I18" s="3498" t="s">
        <v>3664</v>
      </c>
      <c r="J18" s="3498" t="s">
        <v>3603</v>
      </c>
      <c r="K18" s="3498" t="s">
        <v>3542</v>
      </c>
      <c r="L18" s="3498" t="s">
        <v>3543</v>
      </c>
      <c r="M18" s="3498" t="s">
        <v>3543</v>
      </c>
      <c r="N18" s="3498" t="s">
        <v>3604</v>
      </c>
      <c r="O18" s="3498" t="s">
        <v>3578</v>
      </c>
      <c r="P18" s="3498" t="s">
        <v>3605</v>
      </c>
      <c r="Q18" s="3498">
        <v>45170.58</v>
      </c>
      <c r="R18" s="3498">
        <v>4163.34</v>
      </c>
      <c r="S18" s="3498">
        <v>277.56</v>
      </c>
      <c r="T18" s="3498">
        <v>2191</v>
      </c>
      <c r="U18" s="3498">
        <v>0</v>
      </c>
      <c r="V18" s="3498" t="s">
        <v>3543</v>
      </c>
      <c r="W18" s="3498" t="s">
        <v>3558</v>
      </c>
      <c r="X18" s="3498" t="s">
        <v>3543</v>
      </c>
    </row>
    <row r="19" spans="1:24">
      <c r="A19" s="3498" t="s">
        <v>3606</v>
      </c>
      <c r="B19" s="3498" t="s">
        <v>3417</v>
      </c>
      <c r="C19" s="3498" t="s">
        <v>3538</v>
      </c>
      <c r="D19" s="3498" t="s">
        <v>3607</v>
      </c>
      <c r="E19" s="3498">
        <v>65332.65</v>
      </c>
      <c r="F19" s="3498">
        <v>117598.77</v>
      </c>
      <c r="G19" s="3498" t="s">
        <v>2475</v>
      </c>
      <c r="H19" s="3498" t="s">
        <v>3608</v>
      </c>
      <c r="I19" s="3498" t="s">
        <v>3664</v>
      </c>
      <c r="J19" s="3498" t="s">
        <v>3589</v>
      </c>
      <c r="K19" s="3498" t="s">
        <v>3542</v>
      </c>
      <c r="L19" s="3498" t="s">
        <v>3543</v>
      </c>
      <c r="M19" s="3498" t="s">
        <v>3543</v>
      </c>
      <c r="N19" s="3498" t="s">
        <v>3609</v>
      </c>
      <c r="O19" s="3498" t="s">
        <v>3578</v>
      </c>
      <c r="P19" s="3498" t="s">
        <v>3610</v>
      </c>
      <c r="Q19" s="3498">
        <v>25381.96</v>
      </c>
      <c r="R19" s="3498">
        <v>3885.03</v>
      </c>
      <c r="S19" s="3498">
        <v>259</v>
      </c>
      <c r="T19" s="3498">
        <v>2158</v>
      </c>
      <c r="U19" s="3498">
        <v>0</v>
      </c>
      <c r="V19" s="3498" t="s">
        <v>3543</v>
      </c>
      <c r="W19" s="3498" t="s">
        <v>3611</v>
      </c>
      <c r="X19" s="3498" t="s">
        <v>3543</v>
      </c>
    </row>
    <row r="20" spans="1:24">
      <c r="A20" s="3498" t="s">
        <v>3612</v>
      </c>
      <c r="B20" s="3498" t="s">
        <v>3417</v>
      </c>
      <c r="C20" s="3498" t="s">
        <v>3538</v>
      </c>
      <c r="D20" s="3498" t="s">
        <v>3613</v>
      </c>
      <c r="E20" s="3498">
        <v>23693.13</v>
      </c>
      <c r="F20" s="3498">
        <v>30801.7</v>
      </c>
      <c r="G20" s="3498" t="s">
        <v>2475</v>
      </c>
      <c r="H20" s="3498" t="s">
        <v>3608</v>
      </c>
      <c r="I20" s="3498" t="s">
        <v>3664</v>
      </c>
      <c r="J20" s="3498" t="s">
        <v>3571</v>
      </c>
      <c r="K20" s="3498" t="s">
        <v>3542</v>
      </c>
      <c r="L20" s="3498" t="s">
        <v>3543</v>
      </c>
      <c r="M20" s="3498" t="s">
        <v>3543</v>
      </c>
      <c r="N20" s="3498" t="s">
        <v>3614</v>
      </c>
      <c r="O20" s="3498" t="s">
        <v>3578</v>
      </c>
      <c r="P20" s="3498" t="s">
        <v>3615</v>
      </c>
      <c r="Q20" s="3498">
        <v>6414.01</v>
      </c>
      <c r="R20" s="3498">
        <v>2707.11</v>
      </c>
      <c r="S20" s="3498">
        <v>180.47</v>
      </c>
      <c r="T20" s="3498">
        <v>2082</v>
      </c>
      <c r="U20" s="3498">
        <v>0</v>
      </c>
      <c r="V20" s="3498" t="s">
        <v>3543</v>
      </c>
      <c r="W20" s="3498" t="s">
        <v>3558</v>
      </c>
      <c r="X20" s="3498" t="s">
        <v>3543</v>
      </c>
    </row>
    <row r="21" spans="1:24">
      <c r="A21" s="3498" t="s">
        <v>3616</v>
      </c>
      <c r="B21" s="3498" t="s">
        <v>3417</v>
      </c>
      <c r="C21" s="3498" t="s">
        <v>3538</v>
      </c>
      <c r="D21" s="3498" t="s">
        <v>3617</v>
      </c>
      <c r="E21" s="3498">
        <v>36256.68</v>
      </c>
      <c r="F21" s="3498">
        <v>47133.69</v>
      </c>
      <c r="G21" s="3498" t="s">
        <v>2475</v>
      </c>
      <c r="H21" s="3498" t="s">
        <v>3608</v>
      </c>
      <c r="I21" s="3498" t="s">
        <v>3665</v>
      </c>
      <c r="J21" s="3498" t="s">
        <v>3571</v>
      </c>
      <c r="K21" s="3498" t="s">
        <v>3542</v>
      </c>
      <c r="L21" s="3498" t="s">
        <v>3543</v>
      </c>
      <c r="M21" s="3498" t="s">
        <v>3543</v>
      </c>
      <c r="N21" s="3498" t="s">
        <v>3618</v>
      </c>
      <c r="O21" s="3498" t="s">
        <v>3578</v>
      </c>
      <c r="P21" s="3498" t="s">
        <v>3619</v>
      </c>
      <c r="Q21" s="3498">
        <v>9897.48</v>
      </c>
      <c r="R21" s="3498">
        <v>2729.83</v>
      </c>
      <c r="S21" s="3498">
        <v>181.99</v>
      </c>
      <c r="T21" s="3498">
        <v>2100</v>
      </c>
      <c r="U21" s="3498">
        <v>0</v>
      </c>
      <c r="V21" s="3498" t="s">
        <v>3543</v>
      </c>
      <c r="W21" s="3498" t="s">
        <v>3558</v>
      </c>
      <c r="X21" s="3498" t="s">
        <v>3543</v>
      </c>
    </row>
    <row r="22" spans="1:24">
      <c r="A22" s="3498" t="s">
        <v>3620</v>
      </c>
      <c r="B22" s="3498" t="s">
        <v>3417</v>
      </c>
      <c r="C22" s="3498" t="s">
        <v>3538</v>
      </c>
      <c r="D22" s="3498" t="s">
        <v>3621</v>
      </c>
      <c r="E22" s="3498">
        <v>7327.55</v>
      </c>
      <c r="F22" s="3498">
        <v>8060.31</v>
      </c>
      <c r="G22" s="3498" t="s">
        <v>2475</v>
      </c>
      <c r="H22" s="3498" t="s">
        <v>3585</v>
      </c>
      <c r="I22" s="3498" t="s">
        <v>3647</v>
      </c>
      <c r="J22" s="3498" t="s">
        <v>3622</v>
      </c>
      <c r="K22" s="3498" t="s">
        <v>3542</v>
      </c>
      <c r="L22" s="3498" t="s">
        <v>3543</v>
      </c>
      <c r="M22" s="3498" t="s">
        <v>3543</v>
      </c>
      <c r="N22" s="3498" t="s">
        <v>3623</v>
      </c>
      <c r="O22" s="3498" t="s">
        <v>3578</v>
      </c>
      <c r="P22" s="3498" t="s">
        <v>3624</v>
      </c>
      <c r="Q22" s="3498">
        <v>759.28</v>
      </c>
      <c r="R22" s="3498">
        <v>1036.19</v>
      </c>
      <c r="S22" s="3498">
        <v>69.08</v>
      </c>
      <c r="T22" s="3498">
        <v>942</v>
      </c>
      <c r="U22" s="3498">
        <v>0</v>
      </c>
      <c r="V22" s="3498" t="s">
        <v>3543</v>
      </c>
      <c r="W22" s="3498" t="s">
        <v>3558</v>
      </c>
      <c r="X22" s="3498" t="s">
        <v>3543</v>
      </c>
    </row>
    <row r="23" spans="1:24">
      <c r="A23" s="3498" t="s">
        <v>3625</v>
      </c>
      <c r="B23" s="3498" t="s">
        <v>3417</v>
      </c>
      <c r="C23" s="3498" t="s">
        <v>3538</v>
      </c>
      <c r="D23" s="3498" t="s">
        <v>3626</v>
      </c>
      <c r="E23" s="3498">
        <v>99235.68</v>
      </c>
      <c r="F23" s="3498">
        <v>99235.68</v>
      </c>
      <c r="G23" s="3498" t="s">
        <v>2475</v>
      </c>
      <c r="H23" s="3498" t="s">
        <v>3585</v>
      </c>
      <c r="I23" s="3498" t="s">
        <v>3647</v>
      </c>
      <c r="J23" s="3498" t="s">
        <v>3566</v>
      </c>
      <c r="K23" s="3498" t="s">
        <v>3542</v>
      </c>
      <c r="L23" s="3498" t="s">
        <v>3543</v>
      </c>
      <c r="M23" s="3498" t="s">
        <v>3543</v>
      </c>
      <c r="N23" s="3498" t="s">
        <v>3623</v>
      </c>
      <c r="O23" s="3498" t="s">
        <v>3578</v>
      </c>
      <c r="P23" s="3498" t="s">
        <v>3627</v>
      </c>
      <c r="Q23" s="3498">
        <v>9975.17</v>
      </c>
      <c r="R23" s="3498">
        <v>1005.19</v>
      </c>
      <c r="S23" s="3498">
        <v>67.010000000000005</v>
      </c>
      <c r="T23" s="3498">
        <v>1005</v>
      </c>
      <c r="U23" s="3498">
        <v>0</v>
      </c>
      <c r="V23" s="3498" t="s">
        <v>3543</v>
      </c>
      <c r="W23" s="3498" t="s">
        <v>3558</v>
      </c>
      <c r="X23" s="3498" t="s">
        <v>3543</v>
      </c>
    </row>
    <row r="24" spans="1:24">
      <c r="A24" s="3498" t="s">
        <v>3666</v>
      </c>
      <c r="B24" s="3498" t="s">
        <v>3417</v>
      </c>
      <c r="C24" s="3498" t="s">
        <v>3667</v>
      </c>
      <c r="D24" s="3498" t="s">
        <v>3668</v>
      </c>
      <c r="E24" s="3498">
        <v>101073.71</v>
      </c>
      <c r="F24" s="3498">
        <v>131395.82</v>
      </c>
      <c r="G24" s="3498" t="s">
        <v>2475</v>
      </c>
      <c r="H24" s="3498" t="s">
        <v>3555</v>
      </c>
      <c r="I24" s="3498" t="s">
        <v>3647</v>
      </c>
      <c r="J24" s="3498" t="s">
        <v>3669</v>
      </c>
      <c r="K24" s="3498" t="s">
        <v>3542</v>
      </c>
      <c r="L24" s="3498" t="s">
        <v>3543</v>
      </c>
      <c r="M24" s="3498" t="s">
        <v>3543</v>
      </c>
      <c r="N24" s="3498" t="s">
        <v>3670</v>
      </c>
      <c r="O24" s="3498" t="s">
        <v>3578</v>
      </c>
      <c r="P24" s="3498" t="s">
        <v>3671</v>
      </c>
      <c r="Q24" s="3498">
        <v>8185.96</v>
      </c>
      <c r="R24" s="3498">
        <v>809.9</v>
      </c>
      <c r="S24" s="3498">
        <v>53.99</v>
      </c>
      <c r="T24" s="3498">
        <v>623</v>
      </c>
      <c r="U24" s="3498">
        <v>0</v>
      </c>
      <c r="V24" s="3498" t="s">
        <v>3543</v>
      </c>
      <c r="W24" s="3498" t="s">
        <v>3543</v>
      </c>
      <c r="X24" s="3498" t="s">
        <v>3543</v>
      </c>
    </row>
    <row r="25" spans="1:24">
      <c r="A25" s="3498" t="s">
        <v>3672</v>
      </c>
      <c r="B25" s="3498" t="s">
        <v>3417</v>
      </c>
      <c r="C25" s="3498" t="s">
        <v>3667</v>
      </c>
      <c r="D25" s="3498" t="s">
        <v>3673</v>
      </c>
      <c r="E25" s="3498">
        <v>43490.16</v>
      </c>
      <c r="F25" s="3498">
        <v>69584.259999999995</v>
      </c>
      <c r="G25" s="3498" t="s">
        <v>2475</v>
      </c>
      <c r="H25" s="3498" t="s">
        <v>3585</v>
      </c>
      <c r="I25" s="3498" t="s">
        <v>3647</v>
      </c>
      <c r="J25" s="3498" t="s">
        <v>3674</v>
      </c>
      <c r="K25" s="3498" t="s">
        <v>3542</v>
      </c>
      <c r="L25" s="3498" t="s">
        <v>3543</v>
      </c>
      <c r="M25" s="3498" t="s">
        <v>3543</v>
      </c>
      <c r="N25" s="3498" t="s">
        <v>3675</v>
      </c>
      <c r="O25" s="3498" t="s">
        <v>3578</v>
      </c>
      <c r="P25" s="3498" t="s">
        <v>3676</v>
      </c>
      <c r="Q25" s="3498">
        <v>3931.51</v>
      </c>
      <c r="R25" s="3498">
        <v>903.99</v>
      </c>
      <c r="S25" s="3498">
        <v>60.27</v>
      </c>
      <c r="T25" s="3498">
        <v>565</v>
      </c>
      <c r="U25" s="3498">
        <v>0</v>
      </c>
      <c r="V25" s="3498" t="s">
        <v>3543</v>
      </c>
      <c r="W25" s="3498" t="s">
        <v>3651</v>
      </c>
      <c r="X25" s="3498" t="s">
        <v>3543</v>
      </c>
    </row>
    <row r="26" spans="1:24">
      <c r="A26" s="3498" t="s">
        <v>3628</v>
      </c>
      <c r="B26" s="3498" t="s">
        <v>3417</v>
      </c>
      <c r="C26" s="3498" t="s">
        <v>3538</v>
      </c>
      <c r="D26" s="3498" t="s">
        <v>3629</v>
      </c>
      <c r="E26" s="3498">
        <v>133914.21</v>
      </c>
      <c r="F26" s="3498">
        <v>200871.31</v>
      </c>
      <c r="G26" s="3498" t="s">
        <v>2475</v>
      </c>
      <c r="H26" s="3498" t="s">
        <v>3555</v>
      </c>
      <c r="I26" s="3498" t="s">
        <v>3664</v>
      </c>
      <c r="J26" s="3498" t="s">
        <v>3630</v>
      </c>
      <c r="K26" s="3498" t="s">
        <v>3542</v>
      </c>
      <c r="L26" s="3498" t="s">
        <v>3543</v>
      </c>
      <c r="M26" s="3498" t="s">
        <v>3543</v>
      </c>
      <c r="N26" s="3498" t="s">
        <v>3631</v>
      </c>
      <c r="O26" s="3498" t="s">
        <v>3578</v>
      </c>
      <c r="P26" s="3498" t="s">
        <v>3632</v>
      </c>
      <c r="Q26" s="3498">
        <v>25211.81</v>
      </c>
      <c r="R26" s="3498">
        <v>1882.68</v>
      </c>
      <c r="S26" s="3498">
        <v>125.51</v>
      </c>
      <c r="T26" s="3498">
        <v>1255</v>
      </c>
      <c r="U26" s="3498">
        <v>0</v>
      </c>
      <c r="V26" s="3498" t="s">
        <v>3543</v>
      </c>
      <c r="W26" s="3498" t="s">
        <v>3543</v>
      </c>
      <c r="X26" s="3498" t="s">
        <v>3543</v>
      </c>
    </row>
    <row r="27" spans="1:24">
      <c r="A27" s="3498" t="s">
        <v>3633</v>
      </c>
      <c r="B27" s="3498" t="s">
        <v>3417</v>
      </c>
      <c r="C27" s="3498" t="s">
        <v>3538</v>
      </c>
      <c r="D27" s="3498" t="s">
        <v>3634</v>
      </c>
      <c r="E27" s="3498">
        <v>96051.49</v>
      </c>
      <c r="F27" s="3498">
        <v>144077.24</v>
      </c>
      <c r="G27" s="3498" t="s">
        <v>2475</v>
      </c>
      <c r="H27" s="3498" t="s">
        <v>3555</v>
      </c>
      <c r="I27" s="3498" t="s">
        <v>3664</v>
      </c>
      <c r="J27" s="3498" t="s">
        <v>3630</v>
      </c>
      <c r="K27" s="3498" t="s">
        <v>3542</v>
      </c>
      <c r="L27" s="3498" t="s">
        <v>3543</v>
      </c>
      <c r="M27" s="3498" t="s">
        <v>3543</v>
      </c>
      <c r="N27" s="3498" t="s">
        <v>3631</v>
      </c>
      <c r="O27" s="3498" t="s">
        <v>3578</v>
      </c>
      <c r="P27" s="3498" t="s">
        <v>3635</v>
      </c>
      <c r="Q27" s="3498">
        <v>17952.02</v>
      </c>
      <c r="R27" s="3498">
        <v>1868.99</v>
      </c>
      <c r="S27" s="3498">
        <v>124.6</v>
      </c>
      <c r="T27" s="3498">
        <v>1246</v>
      </c>
      <c r="U27" s="3498">
        <v>0</v>
      </c>
      <c r="V27" s="3498" t="s">
        <v>3543</v>
      </c>
      <c r="W27" s="3498" t="s">
        <v>3543</v>
      </c>
      <c r="X27" s="3498" t="s">
        <v>3543</v>
      </c>
    </row>
    <row r="28" spans="1:24">
      <c r="A28" s="3498" t="s">
        <v>3677</v>
      </c>
      <c r="B28" s="3498" t="s">
        <v>3417</v>
      </c>
      <c r="C28" s="3498" t="s">
        <v>3645</v>
      </c>
      <c r="D28" s="3498" t="s">
        <v>3678</v>
      </c>
      <c r="E28" s="3498">
        <v>45953.52</v>
      </c>
      <c r="F28" s="3498">
        <v>55144</v>
      </c>
      <c r="G28" s="3498" t="s">
        <v>2475</v>
      </c>
      <c r="H28" s="3498" t="s">
        <v>3642</v>
      </c>
      <c r="I28" s="3498" t="s">
        <v>3647</v>
      </c>
      <c r="J28" s="3498" t="s">
        <v>3576</v>
      </c>
      <c r="K28" s="3498" t="s">
        <v>3542</v>
      </c>
      <c r="L28" s="3498" t="s">
        <v>3543</v>
      </c>
      <c r="M28" s="3498" t="s">
        <v>3543</v>
      </c>
      <c r="N28" s="3498" t="s">
        <v>3679</v>
      </c>
      <c r="O28" s="3498" t="s">
        <v>3578</v>
      </c>
      <c r="P28" s="3498" t="s">
        <v>3680</v>
      </c>
      <c r="Q28" s="3498">
        <v>9213.09</v>
      </c>
      <c r="R28" s="3498">
        <v>2004.87</v>
      </c>
      <c r="S28" s="3498">
        <v>133.66</v>
      </c>
      <c r="T28" s="3498">
        <v>1671</v>
      </c>
      <c r="U28" s="3498">
        <v>0</v>
      </c>
      <c r="V28" s="3498" t="s">
        <v>3543</v>
      </c>
      <c r="W28" s="3498" t="s">
        <v>3651</v>
      </c>
      <c r="X28" s="3498" t="s">
        <v>3543</v>
      </c>
    </row>
    <row r="29" spans="1:24">
      <c r="A29" s="3498" t="s">
        <v>3681</v>
      </c>
      <c r="B29" s="3498" t="s">
        <v>3417</v>
      </c>
      <c r="C29" s="3498" t="s">
        <v>3667</v>
      </c>
      <c r="D29" s="3498" t="s">
        <v>3682</v>
      </c>
      <c r="E29" s="3498">
        <v>16189.08</v>
      </c>
      <c r="F29" s="3498">
        <v>32378.16</v>
      </c>
      <c r="G29" s="3498" t="s">
        <v>2475</v>
      </c>
      <c r="H29" s="3498" t="s">
        <v>3642</v>
      </c>
      <c r="I29" s="3498" t="s">
        <v>3647</v>
      </c>
      <c r="J29" s="3498" t="s">
        <v>3683</v>
      </c>
      <c r="K29" s="3498" t="s">
        <v>3542</v>
      </c>
      <c r="L29" s="3498" t="s">
        <v>3543</v>
      </c>
      <c r="M29" s="3498" t="s">
        <v>3543</v>
      </c>
      <c r="N29" s="3498" t="s">
        <v>3684</v>
      </c>
      <c r="O29" s="3498" t="s">
        <v>3578</v>
      </c>
      <c r="P29" s="3498" t="s">
        <v>3685</v>
      </c>
      <c r="Q29" s="3498">
        <v>2246.2600000000002</v>
      </c>
      <c r="R29" s="3498">
        <v>1387.51</v>
      </c>
      <c r="S29" s="3498">
        <v>92.5</v>
      </c>
      <c r="T29" s="3498">
        <v>694</v>
      </c>
      <c r="U29" s="3498">
        <v>0</v>
      </c>
      <c r="V29" s="3498" t="s">
        <v>3543</v>
      </c>
      <c r="W29" s="3498" t="s">
        <v>3558</v>
      </c>
      <c r="X29" s="3498" t="s">
        <v>3543</v>
      </c>
    </row>
    <row r="30" spans="1:24">
      <c r="A30" s="3498" t="s">
        <v>3686</v>
      </c>
      <c r="B30" s="3498" t="s">
        <v>3417</v>
      </c>
      <c r="C30" s="3498" t="s">
        <v>3667</v>
      </c>
      <c r="D30" s="3498" t="s">
        <v>3687</v>
      </c>
      <c r="E30" s="3498">
        <v>10002.61</v>
      </c>
      <c r="F30" s="3498">
        <v>20005.22</v>
      </c>
      <c r="G30" s="3498" t="s">
        <v>2475</v>
      </c>
      <c r="H30" s="3498" t="s">
        <v>3688</v>
      </c>
      <c r="I30" s="3498" t="s">
        <v>3647</v>
      </c>
      <c r="J30" s="3498" t="s">
        <v>3683</v>
      </c>
      <c r="K30" s="3498" t="s">
        <v>3542</v>
      </c>
      <c r="L30" s="3498" t="s">
        <v>3543</v>
      </c>
      <c r="M30" s="3498" t="s">
        <v>3543</v>
      </c>
      <c r="N30" s="3498" t="s">
        <v>3689</v>
      </c>
      <c r="O30" s="3498" t="s">
        <v>3578</v>
      </c>
      <c r="P30" s="3498" t="s">
        <v>3690</v>
      </c>
      <c r="Q30" s="3498">
        <v>1039.07</v>
      </c>
      <c r="R30" s="3498">
        <v>1038.79</v>
      </c>
      <c r="S30" s="3498">
        <v>69.25</v>
      </c>
      <c r="T30" s="3498">
        <v>519</v>
      </c>
      <c r="U30" s="3498">
        <v>0</v>
      </c>
      <c r="V30" s="3498" t="s">
        <v>3543</v>
      </c>
      <c r="W30" s="3498" t="s">
        <v>3558</v>
      </c>
      <c r="X30" s="3498" t="s">
        <v>3543</v>
      </c>
    </row>
    <row r="31" spans="1:24">
      <c r="A31" s="3498" t="s">
        <v>3636</v>
      </c>
      <c r="B31" s="3498" t="s">
        <v>3417</v>
      </c>
      <c r="C31" s="3498" t="s">
        <v>3538</v>
      </c>
      <c r="D31" s="3498" t="s">
        <v>3637</v>
      </c>
      <c r="E31" s="3498">
        <v>30231.14</v>
      </c>
      <c r="F31" s="3498">
        <v>30231.14</v>
      </c>
      <c r="G31" s="3498" t="s">
        <v>2475</v>
      </c>
      <c r="H31" s="3498" t="s">
        <v>3638</v>
      </c>
      <c r="I31" s="3498" t="s">
        <v>3647</v>
      </c>
      <c r="J31" s="3498" t="s">
        <v>3639</v>
      </c>
      <c r="K31" s="3498" t="s">
        <v>3542</v>
      </c>
      <c r="L31" s="3498" t="s">
        <v>3543</v>
      </c>
      <c r="M31" s="3498" t="s">
        <v>3543</v>
      </c>
      <c r="N31" s="3498" t="s">
        <v>3640</v>
      </c>
      <c r="O31" s="3498" t="s">
        <v>3578</v>
      </c>
      <c r="P31" s="3498" t="s">
        <v>3641</v>
      </c>
      <c r="Q31" s="3498">
        <v>2817.03</v>
      </c>
      <c r="R31" s="3498">
        <v>931.83</v>
      </c>
      <c r="S31" s="3498">
        <v>62.12</v>
      </c>
      <c r="T31" s="3498">
        <v>932</v>
      </c>
      <c r="U31" s="3498">
        <v>0</v>
      </c>
      <c r="V31" s="3498" t="s">
        <v>3543</v>
      </c>
      <c r="W31" s="3498" t="s">
        <v>3543</v>
      </c>
      <c r="X31" s="3498" t="s">
        <v>3543</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19" workbookViewId="0">
      <selection activeCell="P53" sqref="P53"/>
    </sheetView>
  </sheetViews>
  <sheetFormatPr defaultRowHeight="13.5"/>
  <sheetData>
    <row r="37" spans="3:3">
      <c r="C37" s="3488" t="s">
        <v>3469</v>
      </c>
    </row>
    <row r="38" spans="3:3">
      <c r="C38" s="3488" t="s">
        <v>3470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建筑物价值</v>
      </c>
      <c r="G2" s="3520"/>
      <c r="H2" s="3520" t="str">
        <f>IF(项目基本情况!B9="房地产市场价值","房地产市场价值","房地产价值")</f>
        <v>房地产价值</v>
      </c>
      <c r="I2" s="3520"/>
    </row>
    <row r="3" spans="1:9" ht="15">
      <c r="A3" s="3515"/>
      <c r="B3" s="3515"/>
      <c r="C3" s="3515"/>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1132</v>
      </c>
      <c r="E4" s="850">
        <f ca="1">结果表!E118</f>
        <v>2106</v>
      </c>
      <c r="F4" s="850">
        <f ca="1">结果表!F118</f>
        <v>1286</v>
      </c>
      <c r="G4" s="850">
        <f ca="1">结果表!G118</f>
        <v>2393</v>
      </c>
      <c r="H4" s="850">
        <f ca="1">结果表!H118</f>
        <v>2418</v>
      </c>
      <c r="I4" s="850">
        <f ca="1">结果表!I118</f>
        <v>4499</v>
      </c>
    </row>
    <row r="5" spans="1:9" ht="30" customHeight="1">
      <c r="A5" s="3515" t="s">
        <v>927</v>
      </c>
      <c r="B5" s="3515"/>
      <c r="C5" s="3515"/>
      <c r="D5" s="3515" t="str">
        <f ca="1">结果表!D119</f>
        <v>壹仟壹佰叁拾贰万元整</v>
      </c>
      <c r="E5" s="3515"/>
      <c r="F5" s="3515" t="str">
        <f ca="1">结果表!F119</f>
        <v>壹仟贰佰捌拾陆万元整</v>
      </c>
      <c r="G5" s="3515"/>
      <c r="H5" s="3515" t="str">
        <f ca="1">结果表!H119</f>
        <v>贰仟肆佰壹拾捌万元整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2418</v>
      </c>
      <c r="E8" s="3514"/>
      <c r="F8" s="3514"/>
      <c r="G8" s="3514"/>
      <c r="H8" s="3514"/>
      <c r="I8" s="3514"/>
    </row>
    <row r="9" spans="1:9" ht="15">
      <c r="A9" s="3515" t="s">
        <v>927</v>
      </c>
      <c r="B9" s="3515"/>
      <c r="C9" s="3515"/>
      <c r="D9" s="3515" t="str">
        <f ca="1">结果表!D123</f>
        <v>贰仟肆佰壹拾捌万元整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7" t="s">
        <v>949</v>
      </c>
      <c r="B1" s="3527"/>
      <c r="C1" s="3527"/>
      <c r="D1" s="3527"/>
    </row>
    <row r="2" spans="1:4" ht="18">
      <c r="A2" s="3528" t="s">
        <v>933</v>
      </c>
      <c r="B2" s="3528"/>
      <c r="C2" s="3528"/>
      <c r="D2" s="3528"/>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8" t="s">
        <v>939</v>
      </c>
      <c r="B6" s="3528"/>
      <c r="C6" s="3528"/>
      <c r="D6" s="3528"/>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5" t="s">
        <v>956</v>
      </c>
      <c r="B15" s="3530" t="s">
        <v>109</v>
      </c>
      <c r="C15" s="3531"/>
    </row>
    <row r="16" spans="1:7" ht="13.5">
      <c r="A16" s="3536"/>
      <c r="B16" s="3530" t="s">
        <v>42</v>
      </c>
      <c r="C16" s="3531"/>
    </row>
    <row r="17" spans="1:3" ht="13.5">
      <c r="A17" s="3536"/>
      <c r="B17" s="3533" t="s">
        <v>957</v>
      </c>
      <c r="C17" s="1528" t="s">
        <v>956</v>
      </c>
    </row>
    <row r="18" spans="1:3" ht="13.5">
      <c r="A18" s="3536"/>
      <c r="B18" s="3533"/>
      <c r="C18" s="1528" t="s">
        <v>958</v>
      </c>
    </row>
    <row r="19" spans="1:3" ht="13.5">
      <c r="A19" s="3536"/>
      <c r="B19" s="3533"/>
      <c r="C19" s="1528" t="s">
        <v>959</v>
      </c>
    </row>
    <row r="20" spans="1:3" ht="13.5">
      <c r="A20" s="3537"/>
      <c r="B20" s="3532" t="s">
        <v>960</v>
      </c>
      <c r="C20" s="3531"/>
    </row>
    <row r="21" spans="1:3" ht="13.5">
      <c r="A21" s="1529" t="s">
        <v>961</v>
      </c>
      <c r="B21" s="1530"/>
      <c r="C21" s="1531"/>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28" t="s">
        <v>967</v>
      </c>
    </row>
    <row r="26" spans="1:3" ht="13.5">
      <c r="A26" s="3534"/>
      <c r="B26" s="3533"/>
      <c r="C26" s="1528" t="s">
        <v>968</v>
      </c>
    </row>
    <row r="27" spans="1:3" ht="13.5">
      <c r="A27" s="3534"/>
      <c r="B27" s="3533"/>
      <c r="C27" s="1528" t="s">
        <v>969</v>
      </c>
    </row>
    <row r="28" spans="1:3" ht="13.5">
      <c r="A28" s="3534"/>
      <c r="B28" s="3533"/>
      <c r="C28" s="1528" t="s">
        <v>970</v>
      </c>
    </row>
    <row r="29" spans="1:3" ht="13.5">
      <c r="A29" s="3534"/>
      <c r="B29" s="3533"/>
      <c r="C29" s="1528" t="s">
        <v>971</v>
      </c>
    </row>
    <row r="30" spans="1:3" ht="13.5">
      <c r="A30" s="3534"/>
      <c r="B30" s="3533"/>
      <c r="C30" s="1528" t="s">
        <v>972</v>
      </c>
    </row>
    <row r="31" spans="1:3" ht="13.5">
      <c r="A31" s="3534"/>
      <c r="B31" s="3533"/>
      <c r="C31" s="1528" t="s">
        <v>973</v>
      </c>
    </row>
    <row r="32" spans="1:3" ht="13.5">
      <c r="A32" s="3534"/>
      <c r="B32" s="3533"/>
      <c r="C32" s="1528" t="s">
        <v>974</v>
      </c>
    </row>
    <row r="33" spans="1:3" ht="13.5">
      <c r="A33" s="3534"/>
      <c r="B33" s="353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45896</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8" t="s">
        <v>2156</v>
      </c>
      <c r="B17" s="3538"/>
      <c r="C17" s="3538"/>
      <c r="D17" s="3538"/>
      <c r="E17" s="3538"/>
      <c r="F17" s="3538"/>
      <c r="G17" s="3538"/>
      <c r="H17" s="3538"/>
    </row>
    <row r="18" spans="1:8" ht="24" customHeight="1">
      <c r="A18" s="3539" t="s">
        <v>2157</v>
      </c>
      <c r="B18" s="3539"/>
      <c r="C18" s="3539"/>
      <c r="D18" s="2339"/>
      <c r="E18" s="3540" t="s">
        <v>2158</v>
      </c>
      <c r="F18" s="3539"/>
      <c r="G18" s="3539"/>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2025-08-27T06:08:08Z</dcterms:modified>
</cp:coreProperties>
</file>