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2\2022-1-0543北京市海淀区建材城中路2号（双合盛）\"/>
    </mc:Choice>
  </mc:AlternateContent>
  <bookViews>
    <workbookView xWindow="0" yWindow="0" windowWidth="21600" windowHeight="973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昌平案例" sheetId="76"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比较法-成本" sheetId="73" r:id="rId41"/>
    <sheet name="不动产比较法-工业" sheetId="37" state="hidden" r:id="rId42"/>
    <sheet name="案例（海淀）" sheetId="72"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40"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1"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40">'比较法-成本'!$A$1:$K$62,'比较法-成本'!$A$65:$N$122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1">'不动产比较法-工业'!$A$1:$K$48,'不动产比较法-工业'!$A$51:$M$113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0">'比较法-成本'!$B$115:$M$115</definedName>
    <definedName name="套工工程地质条件">'比较法-工业'!$B$115:$M$115</definedName>
    <definedName name="套工交易情况">'比较法-住宅、综合'!$A$74:$M$74</definedName>
    <definedName name="套工开发程度" localSheetId="40">'比较法-成本'!$B$113:$M$113</definedName>
    <definedName name="套工开发程度">'比较法-工业'!$B$113:$M$113</definedName>
    <definedName name="套工临街等级" localSheetId="40">'比较法-成本'!$B$98:$M$98</definedName>
    <definedName name="套工临街等级">'比较法-工业'!$B$98:$M$98</definedName>
    <definedName name="套工土地级别" localSheetId="40">'比较法-成本'!$B$100:$M$100</definedName>
    <definedName name="套工土地级别">'比较法-工业'!$B$100:$M$100</definedName>
    <definedName name="套工用途" localSheetId="40">'比较法-成本'!$B$71:$M$71</definedName>
    <definedName name="套工用途">'比较法-工业'!$B$71:$M$71</definedName>
    <definedName name="套工宗地形状" localSheetId="40">'比较法-成本'!$B$111:$M$111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40" l="1"/>
  <c r="D6" i="75" l="1"/>
  <c r="I9" i="40" l="1"/>
  <c r="D10" i="75" l="1"/>
  <c r="D5" i="9" l="1"/>
  <c r="I36" i="40"/>
  <c r="G36" i="40"/>
  <c r="E36" i="40"/>
  <c r="I43" i="40"/>
  <c r="G43" i="40"/>
  <c r="E43" i="40"/>
  <c r="F67" i="40"/>
  <c r="G67" i="40" s="1"/>
  <c r="H67" i="40" s="1"/>
  <c r="I67" i="40" s="1"/>
  <c r="J67" i="40" s="1"/>
  <c r="K67" i="40" s="1"/>
  <c r="L67" i="40" s="1"/>
  <c r="M67" i="40" s="1"/>
  <c r="N67" i="40" s="1"/>
  <c r="O67" i="40" s="1"/>
  <c r="P67" i="40" s="1"/>
  <c r="Q67" i="40" s="1"/>
  <c r="R67" i="40" s="1"/>
  <c r="S67" i="40" s="1"/>
  <c r="T67" i="40" s="1"/>
  <c r="U67" i="40" s="1"/>
  <c r="V67" i="40" s="1"/>
  <c r="W67" i="40" s="1"/>
  <c r="X67" i="40" s="1"/>
  <c r="E67" i="40"/>
  <c r="D67" i="40"/>
  <c r="N68" i="40"/>
  <c r="M68" i="40"/>
  <c r="L68" i="40"/>
  <c r="K68" i="40"/>
  <c r="J68" i="40"/>
  <c r="I68" i="40"/>
  <c r="H68" i="40"/>
  <c r="G68" i="40"/>
  <c r="F68" i="40"/>
  <c r="E68" i="40"/>
  <c r="D68" i="40"/>
  <c r="G9" i="40" l="1"/>
  <c r="E9" i="40"/>
  <c r="G7" i="40"/>
  <c r="E7" i="40"/>
  <c r="K5" i="74"/>
  <c r="K4" i="74" l="1"/>
  <c r="K3" i="74"/>
  <c r="K2" i="74"/>
  <c r="D8" i="11"/>
  <c r="E67" i="73"/>
  <c r="F67" i="73" s="1"/>
  <c r="G67" i="73" s="1"/>
  <c r="H67" i="73" s="1"/>
  <c r="I67" i="73" s="1"/>
  <c r="J67" i="73" s="1"/>
  <c r="K67" i="73" s="1"/>
  <c r="L67" i="73" s="1"/>
  <c r="M67" i="73" s="1"/>
  <c r="N67" i="73" s="1"/>
  <c r="D67" i="73"/>
  <c r="N68" i="73"/>
  <c r="M68" i="73"/>
  <c r="L68" i="73"/>
  <c r="K68" i="73"/>
  <c r="J68" i="73"/>
  <c r="I68" i="73"/>
  <c r="H68" i="73"/>
  <c r="G68" i="73"/>
  <c r="F68" i="73"/>
  <c r="E68" i="73"/>
  <c r="F110" i="73"/>
  <c r="G110" i="73" s="1"/>
  <c r="E110" i="73"/>
  <c r="D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D3" i="4"/>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D22" i="59"/>
  <c r="C24" i="46"/>
  <c r="F16" i="15"/>
  <c r="B8" i="67"/>
  <c r="B13" i="67"/>
  <c r="F11" i="67"/>
  <c r="N7" i="65"/>
  <c r="J5" i="65"/>
  <c r="F9" i="15"/>
  <c r="F36" i="15"/>
  <c r="I7" i="65"/>
  <c r="F14" i="67"/>
  <c r="F43" i="44"/>
  <c r="I3" i="65"/>
  <c r="F43" i="15"/>
  <c r="M10" i="44"/>
  <c r="E9" i="67"/>
  <c r="M28" i="44"/>
  <c r="J17" i="44"/>
  <c r="M29" i="15"/>
  <c r="M31" i="44"/>
  <c r="F38" i="44"/>
  <c r="F15" i="44"/>
  <c r="F45" i="44"/>
  <c r="F10" i="67"/>
  <c r="F6" i="15"/>
  <c r="F18" i="44"/>
  <c r="E10" i="67"/>
  <c r="E13" i="67"/>
  <c r="F40" i="44"/>
  <c r="B11" i="67"/>
  <c r="M8" i="44"/>
  <c r="M11" i="44"/>
  <c r="F9" i="67"/>
  <c r="F42" i="15"/>
  <c r="F10" i="44"/>
  <c r="B9" i="67"/>
  <c r="M26" i="44"/>
  <c r="M30" i="44"/>
  <c r="E14" i="67"/>
  <c r="B14" i="67"/>
  <c r="F7" i="15"/>
  <c r="F8" i="15"/>
  <c r="M26" i="15"/>
  <c r="N3" i="65"/>
  <c r="L48" i="15"/>
  <c r="N4" i="65"/>
  <c r="F13" i="67"/>
  <c r="J4" i="65"/>
  <c r="F37" i="15"/>
  <c r="M6" i="15"/>
  <c r="J3" i="65"/>
  <c r="J36" i="15"/>
  <c r="E11" i="67"/>
  <c r="N6" i="65"/>
  <c r="M23" i="15"/>
  <c r="F8" i="44"/>
  <c r="M28" i="15"/>
  <c r="F39" i="44"/>
  <c r="M24" i="15"/>
  <c r="F38" i="15"/>
  <c r="E8" i="67"/>
  <c r="F26" i="15"/>
  <c r="I4" i="65"/>
  <c r="F11" i="44"/>
  <c r="F13" i="15"/>
  <c r="J7" i="65"/>
  <c r="F28" i="44"/>
  <c r="E12" i="67"/>
  <c r="M8" i="15"/>
  <c r="F40" i="15"/>
  <c r="J15" i="15"/>
  <c r="B10" i="67"/>
  <c r="M22" i="15"/>
  <c r="F12" i="67"/>
  <c r="L47" i="15"/>
  <c r="J6" i="65"/>
  <c r="M24" i="44"/>
  <c r="B12" i="67"/>
  <c r="M25" i="44"/>
  <c r="L49" i="44"/>
  <c r="L48" i="44"/>
  <c r="M9" i="15"/>
  <c r="I6" i="65"/>
  <c r="N5" i="65"/>
  <c r="I5" i="65"/>
  <c r="F8" i="67"/>
  <c r="F9" i="44"/>
  <c r="J19" i="40" l="1"/>
  <c r="AC19" i="40" s="1"/>
  <c r="W38" i="40"/>
  <c r="H23" i="40"/>
  <c r="U23" i="40" s="1"/>
  <c r="F9" i="1"/>
  <c r="AP9" i="1" s="1"/>
  <c r="F6" i="1"/>
  <c r="AP6" i="1" s="1"/>
  <c r="C42" i="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U19" i="40" l="1"/>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E64" i="73" l="1"/>
  <c r="D66" i="73"/>
  <c r="E62" i="39"/>
  <c r="E57" i="73"/>
  <c r="E59" i="40"/>
  <c r="E59" i="73"/>
  <c r="E65" i="39"/>
  <c r="E60" i="73"/>
  <c r="J12" i="40"/>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O36" i="46"/>
  <c r="M36" i="46"/>
  <c r="L37" i="46"/>
  <c r="P36" i="46"/>
  <c r="N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C20" i="12" l="1"/>
  <c r="E66" i="73"/>
  <c r="F64" i="73"/>
  <c r="AB12" i="73"/>
  <c r="U12" i="73"/>
  <c r="W12" i="73"/>
  <c r="AC12" i="73"/>
  <c r="AA12" i="73"/>
  <c r="S12" i="73"/>
  <c r="E12" i="59"/>
  <c r="E11" i="59" s="1"/>
  <c r="U13" i="59"/>
  <c r="C17" i="59"/>
  <c r="D18" i="59"/>
  <c r="B16" i="59"/>
  <c r="B15" i="59" s="1"/>
  <c r="B14" i="59" s="1"/>
  <c r="B13" i="59" s="1"/>
  <c r="S17" i="59"/>
  <c r="D37" i="59"/>
  <c r="T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G64" i="73" l="1"/>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G66" i="73" l="1"/>
  <c r="H64" i="73"/>
  <c r="S16" i="1"/>
  <c r="J36" i="40"/>
  <c r="H36" i="40"/>
  <c r="F36" i="40"/>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C16" i="44"/>
  <c r="C14" i="15"/>
  <c r="F35" i="15"/>
  <c r="M21" i="15"/>
  <c r="M23" i="44"/>
  <c r="F37" i="44"/>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D19" i="9"/>
  <c r="C20" i="9"/>
  <c r="C21" i="9"/>
  <c r="L44" i="9" l="1"/>
  <c r="G19" i="9"/>
  <c r="G22" i="9" s="1"/>
  <c r="D22" i="9"/>
  <c r="B5" i="11"/>
  <c r="B4" i="11"/>
  <c r="B3" i="11"/>
  <c r="B4" i="73"/>
  <c r="B3" i="73"/>
  <c r="B5" i="73"/>
  <c r="F20" i="43"/>
  <c r="D20" i="43" s="1"/>
  <c r="F26" i="12"/>
  <c r="F26" i="44"/>
  <c r="F24" i="15"/>
  <c r="D20" i="9"/>
  <c r="D21" i="9"/>
  <c r="C32" i="9" l="1"/>
  <c r="O38" i="9" s="1"/>
  <c r="N43" i="9"/>
  <c r="G20" i="9"/>
  <c r="D4" i="75" s="1"/>
  <c r="G21" i="9"/>
  <c r="C42" i="9"/>
  <c r="C34" i="9"/>
  <c r="C20" i="43"/>
  <c r="C24" i="15"/>
  <c r="C23" i="15"/>
  <c r="C27" i="12"/>
  <c r="D26" i="12" s="1"/>
  <c r="C32" i="12" s="1"/>
  <c r="D30" i="12" s="1"/>
  <c r="C28" i="12"/>
  <c r="C26" i="12" s="1"/>
  <c r="C31" i="12" s="1"/>
  <c r="C30" i="12" s="1"/>
  <c r="C26" i="44"/>
  <c r="C25" i="44"/>
  <c r="O43" i="9" l="1"/>
  <c r="C33" i="9"/>
  <c r="N38" i="9" s="1"/>
  <c r="K28" i="9" s="1"/>
  <c r="C35" i="9"/>
  <c r="F42" i="9" s="1"/>
  <c r="K25" i="9"/>
  <c r="K26" i="9"/>
  <c r="M38" i="9"/>
  <c r="K27" i="9" s="1"/>
  <c r="E42" i="9"/>
  <c r="P5" i="54" s="1"/>
  <c r="B46" i="63" s="1"/>
  <c r="R5" i="54"/>
  <c r="B48" i="63" s="1"/>
  <c r="D63" i="9"/>
  <c r="N68" i="9"/>
  <c r="C23" i="43"/>
  <c r="C31" i="44"/>
  <c r="C38" i="44" s="1"/>
  <c r="C36" i="12"/>
  <c r="B2" i="12" s="1"/>
  <c r="B3" i="12" s="1"/>
  <c r="C29" i="15"/>
  <c r="D42" i="9" l="1"/>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s="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<sst xmlns="http://schemas.openxmlformats.org/spreadsheetml/2006/main" count="7755" uniqueCount="3414">
  <si>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</si>
  <si>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</si>
  <si>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</si>
  <si>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</si>
  <si>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</si>
  <si>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</si>
  <si>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</si>
  <si>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</si>
  <si>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</si>
  <si>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</si>
  <si>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</si>
  <si>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</si>
  <si>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</si>
  <si>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</si>
  <si>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</si>
  <si>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</si>
  <si>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</si>
  <si>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</si>
  <si>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</si>
  <si>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</si>
  <si>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</si>
  <si>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</si>
  <si>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</si>
  <si>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</si>
  <si>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</si>
  <si>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</si>
  <si>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</si>
  <si>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</si>
  <si>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</si>
  <si>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</si>
  <si>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</si>
  <si>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</si>
  <si>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</si>
  <si>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</si>
  <si>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</si>
  <si>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</si>
  <si>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</si>
  <si>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</si>
  <si>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</si>
  <si>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</si>
  <si>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</si>
  <si>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</si>
  <si>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</si>
  <si>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</si>
  <si>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</si>
  <si>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</si>
  <si>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</si>
  <si>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</si>
  <si>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</si>
  <si>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</si>
  <si>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</si>
  <si>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</si>
  <si>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</si>
  <si>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</si>
  <si>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</si>
  <si>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</si>
  <si>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</si>
  <si>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</si>
  <si>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</si>
  <si>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</si>
  <si>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</si>
  <si>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</si>
  <si>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</si>
  <si>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</si>
  <si>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</si>
  <si>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</si>
  <si>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</si>
  <si>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</si>
  <si>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</si>
  <si>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</si>
  <si>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</si>
  <si>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</si>
  <si>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</si>
  <si>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</si>
  <si>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</si>
  <si>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</si>
  <si>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</si>
  <si>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</si>
  <si>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</si>
  <si>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</si>
  <si>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</si>
  <si>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</si>
  <si>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</si>
  <si>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</si>
  <si>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</si>
  <si>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</si>
  <si>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</si>
  <si>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</si>
  <si>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</si>
  <si>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</si>
  <si>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</si>
  <si>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</si>
  <si>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</si>
  <si>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</si>
  <si>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</si>
  <si>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</si>
  <si>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</si>
  <si>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</si>
  <si>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</si>
  <si>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</si>
  <si>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</si>
  <si>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</si>
  <si>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</si>
  <si>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</si>
  <si>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</si>
  <si>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</si>
  <si>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</si>
  <si>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</si>
  <si>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</si>
  <si>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</si>
  <si>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</si>
  <si>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</si>
  <si>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</si>
  <si>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</si>
  <si>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</si>
  <si>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</si>
  <si>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</si>
  <si>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</si>
  <si>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</si>
  <si>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</si>
  <si>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</si>
  <si>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</si>
  <si>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</si>
  <si>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</si>
  <si>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</si>
  <si>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</si>
  <si>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</si>
  <si>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</si>
  <si>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</si>
  <si>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</si>
  <si>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</si>
  <si>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</si>
  <si>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</si>
  <si>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</si>
  <si>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</si>
  <si>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</si>
  <si>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</si>
  <si>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</si>
  <si>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</si>
  <si>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</si>
  <si>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</si>
  <si>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</si>
  <si>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</si>
  <si>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</si>
  <si>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</si>
  <si>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</si>
  <si>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</si>
  <si>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</si>
  <si>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</si>
  <si>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</si>
  <si>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</si>
  <si>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</si>
  <si>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</si>
  <si>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</si>
  <si>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</si>
  <si>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</si>
  <si>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</si>
  <si>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</si>
  <si>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</si>
  <si>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</si>
  <si>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</si>
  <si>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</si>
  <si>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</si>
  <si>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</si>
  <si>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</si>
  <si>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</si>
  <si>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</si>
  <si>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</si>
  <si>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</si>
  <si>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</si>
  <si>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</si>
  <si>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</si>
  <si>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</si>
  <si>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</si>
  <si>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</si>
  <si>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</si>
  <si>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</si>
  <si>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</si>
  <si>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</si>
  <si>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</si>
  <si>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</si>
  <si>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</si>
  <si>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</si>
  <si>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</si>
  <si>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</si>
  <si>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</si>
  <si>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</si>
  <si>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</si>
  <si>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</si>
  <si>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</si>
  <si>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</si>
  <si>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</si>
  <si>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</si>
  <si>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</si>
  <si>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</si>
  <si>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</si>
  <si>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</si>
  <si>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</si>
  <si>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</si>
  <si>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</si>
  <si>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</si>
  <si>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</si>
  <si>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</si>
  <si>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</si>
  <si>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</si>
  <si>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</si>
  <si>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</si>
  <si>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</si>
  <si>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</si>
  <si>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</si>
  <si>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</si>
  <si>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</si>
  <si>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</si>
  <si>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</si>
  <si>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</si>
  <si>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</si>
  <si>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</si>
  <si>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</si>
  <si>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</si>
  <si>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</si>
  <si>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</si>
  <si>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</si>
  <si>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</si>
  <si>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</si>
  <si>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</si>
  <si>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</si>
  <si>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</si>
  <si>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</si>
  <si>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</si>
  <si>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</si>
  <si>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</si>
  <si>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</si>
  <si>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</si>
  <si>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</si>
  <si>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</si>
  <si>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</si>
  <si>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</si>
  <si>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</si>
  <si>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</si>
  <si>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</si>
  <si>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</si>
  <si>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</si>
  <si>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</si>
  <si>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</si>
  <si>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</si>
  <si>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</si>
  <si>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</si>
  <si>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</si>
  <si>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</si>
  <si>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</si>
  <si>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</si>
  <si>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</si>
  <si>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</si>
  <si>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</si>
  <si>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</si>
  <si>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</si>
  <si>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</si>
  <si>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</si>
  <si>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</si>
  <si>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</si>
  <si>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</si>
  <si>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</si>
  <si>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</si>
  <si>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</si>
  <si>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</si>
  <si>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</si>
  <si>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</si>
  <si>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</si>
  <si>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</si>
  <si>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</si>
  <si>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</si>
  <si>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</si>
  <si>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</si>
  <si>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</si>
  <si>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</si>
  <si>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</si>
  <si>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</si>
  <si>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</si>
  <si>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</si>
  <si>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</si>
  <si>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</si>
  <si>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</si>
  <si>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</si>
  <si>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</si>
  <si>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</si>
  <si>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</si>
  <si>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</si>
  <si>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</si>
  <si>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</si>
  <si>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</si>
  <si>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</si>
  <si>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</si>
  <si>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</si>
  <si>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</si>
  <si>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</si>
  <si>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</si>
  <si>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</si>
  <si>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</si>
  <si>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</si>
  <si>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</si>
  <si>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</si>
  <si>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</si>
  <si>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</si>
  <si>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</si>
  <si>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</si>
  <si>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</si>
  <si>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</si>
  <si>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</si>
  <si>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</si>
  <si>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</si>
  <si>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</si>
  <si>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</si>
  <si>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</si>
  <si>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</si>
  <si>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</si>
  <si>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</si>
  <si>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</si>
  <si>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</si>
  <si>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</si>
  <si>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</si>
  <si>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</si>
  <si>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</si>
  <si>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</si>
  <si>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</si>
  <si>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</si>
  <si>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</si>
  <si>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</si>
  <si>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</si>
  <si>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</si>
  <si>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</si>
  <si>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</si>
  <si>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</si>
  <si>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</si>
  <si>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</si>
  <si>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</si>
  <si>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</si>
  <si>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</si>
  <si>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</si>
  <si>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</si>
  <si>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</si>
  <si>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</si>
  <si>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</si>
  <si>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</si>
  <si>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</si>
  <si>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</si>
  <si>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</si>
  <si>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</si>
  <si>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</si>
  <si>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</si>
  <si>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</si>
  <si>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</si>
  <si>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</si>
  <si>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</si>
  <si>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</si>
  <si>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</si>
  <si>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</si>
  <si>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</si>
  <si>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</si>
  <si>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</si>
  <si>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</si>
  <si>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</si>
  <si>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</si>
  <si>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</si>
  <si>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</si>
  <si>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</si>
  <si>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</si>
  <si>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</si>
  <si>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</si>
  <si>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</si>
  <si>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</si>
  <si>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</si>
  <si>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</si>
  <si>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</si>
  <si>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</si>
  <si>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</si>
  <si>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</si>
  <si>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</si>
  <si>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</si>
  <si>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</si>
  <si>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</si>
  <si>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</si>
  <si>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</si>
  <si>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</si>
  <si>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</si>
  <si>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</si>
  <si>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</si>
  <si>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</si>
  <si>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</si>
  <si>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</si>
  <si>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</si>
  <si>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</si>
  <si>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</si>
  <si>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</si>
  <si>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</si>
  <si>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</si>
  <si>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</si>
  <si>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</si>
  <si>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</si>
  <si>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</si>
  <si>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</si>
  <si>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</si>
  <si>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</si>
  <si>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</si>
  <si>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</si>
  <si>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</si>
  <si>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</si>
  <si>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</si>
  <si>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</si>
  <si>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</si>
  <si>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</si>
  <si>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</si>
  <si>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</si>
  <si>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</si>
  <si>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</si>
  <si>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</si>
  <si>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</si>
  <si>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</si>
  <si>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</si>
  <si>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</si>
  <si>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</si>
  <si>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</si>
  <si>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</si>
  <si>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</si>
  <si>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</si>
  <si>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</si>
  <si>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</si>
  <si>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</si>
  <si>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</si>
  <si>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</si>
  <si>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</si>
  <si>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</si>
  <si>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</si>
  <si>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</si>
  <si>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</si>
  <si>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</si>
  <si>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</si>
  <si>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</si>
  <si>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</si>
  <si>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</si>
  <si>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</si>
  <si>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</si>
  <si>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</si>
  <si>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</si>
  <si>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</si>
  <si>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</si>
  <si>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</si>
  <si>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</si>
  <si>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</si>
  <si>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</si>
  <si>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</si>
  <si>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</si>
  <si>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</si>
  <si>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</si>
  <si>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</si>
  <si>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</si>
  <si>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</si>
  <si>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</si>
  <si>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</si>
  <si>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</si>
  <si>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</si>
  <si>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</si>
  <si>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</si>
  <si>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</si>
  <si>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</si>
  <si>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</si>
  <si>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</si>
  <si>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</si>
  <si>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</si>
  <si>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</si>
  <si>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</si>
  <si>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</si>
  <si>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</si>
  <si>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</si>
  <si>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</si>
  <si>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</si>
  <si>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</si>
  <si>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</si>
  <si>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</si>
  <si>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</si>
  <si>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</si>
  <si>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</si>
  <si>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</si>
  <si>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</si>
  <si>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</si>
  <si>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</si>
  <si>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</si>
  <si>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</si>
  <si>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</si>
  <si>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</si>
  <si>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</si>
  <si>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</si>
  <si>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</si>
  <si>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</si>
  <si>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</si>
  <si>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</si>
  <si>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</si>
  <si>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</si>
  <si>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</si>
  <si>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</si>
  <si>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</si>
  <si>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</si>
  <si>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</si>
  <si>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</si>
  <si>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</si>
  <si>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</si>
  <si>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</si>
  <si>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</si>
  <si>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</si>
  <si>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</si>
  <si>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</si>
  <si>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</si>
  <si>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</si>
  <si>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</si>
  <si>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</si>
  <si>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</si>
  <si>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</si>
  <si>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</si>
  <si>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</si>
  <si>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</si>
  <si>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</si>
  <si>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</si>
  <si>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</si>
  <si>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</si>
  <si>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</si>
  <si>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</si>
  <si>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</si>
  <si>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</si>
  <si>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</si>
  <si>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</si>
  <si>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</si>
  <si>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</si>
  <si>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</si>
  <si>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</si>
  <si>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</si>
  <si>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</si>
  <si>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</si>
  <si>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</si>
  <si>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</si>
  <si>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</si>
  <si>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</si>
  <si>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</si>
  <si>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</si>
  <si>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</si>
  <si>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</si>
  <si>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</si>
  <si>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</si>
  <si>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</si>
  <si>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</si>
  <si>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</si>
  <si>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</si>
  <si>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</si>
  <si>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</si>
  <si>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</si>
  <si>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</si>
  <si>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</si>
  <si>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</si>
  <si>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</si>
  <si>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</si>
  <si>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</si>
  <si>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</si>
  <si>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</si>
  <si>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</si>
  <si>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</si>
  <si>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</si>
  <si>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</si>
  <si>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</si>
  <si>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</si>
  <si>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</si>
  <si>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</si>
  <si>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</si>
  <si>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</si>
  <si>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</si>
  <si>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</si>
  <si>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</si>
  <si>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</si>
  <si>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</si>
  <si>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</si>
  <si>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</si>
  <si>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</si>
  <si>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</si>
  <si>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</si>
  <si>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</si>
  <si>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</si>
  <si>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</si>
  <si>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</si>
  <si>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</si>
  <si>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</si>
  <si>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</si>
  <si>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</si>
  <si>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</si>
  <si>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</si>
  <si>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</si>
  <si>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</si>
  <si>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</si>
  <si>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</si>
  <si>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</si>
  <si>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</si>
  <si>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</si>
  <si>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</si>
  <si>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</si>
  <si>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</si>
  <si>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</si>
  <si>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</si>
  <si>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</si>
  <si>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</si>
  <si>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</si>
  <si>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</si>
  <si>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</si>
  <si>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</si>
  <si>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</si>
  <si>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</si>
  <si>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</si>
  <si>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</si>
  <si>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</si>
  <si>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</si>
  <si>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</si>
  <si>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</si>
  <si>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</si>
  <si>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</si>
  <si>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</si>
  <si>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</si>
  <si>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</si>
  <si>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</si>
  <si>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</si>
  <si>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</si>
  <si>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</si>
  <si>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</si>
  <si>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</si>
  <si>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</si>
  <si>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</si>
  <si>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</si>
  <si>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</si>
  <si>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</si>
  <si>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</si>
  <si>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</si>
  <si>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</si>
  <si>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</si>
  <si>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</si>
  <si>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</si>
  <si>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</si>
  <si>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</si>
  <si>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</si>
  <si>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</si>
  <si>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</si>
  <si>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</si>
  <si>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</si>
  <si>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</si>
  <si>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</si>
  <si>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</si>
  <si>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</si>
  <si>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</si>
  <si>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</si>
  <si>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</si>
  <si>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</si>
  <si>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</si>
  <si>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</si>
  <si>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</si>
  <si>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</si>
  <si>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</si>
  <si>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</si>
  <si>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</si>
  <si>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</si>
  <si>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</si>
  <si>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</si>
  <si>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</si>
  <si>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</si>
  <si>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</si>
  <si>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</si>
  <si>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</si>
  <si>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</si>
  <si>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</si>
  <si>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</si>
  <si>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</si>
  <si>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</si>
  <si>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</si>
  <si>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</si>
  <si>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</si>
  <si>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</si>
  <si>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</si>
  <si>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</si>
  <si>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</si>
  <si>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</si>
  <si>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</si>
  <si>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</si>
  <si>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</si>
  <si>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</si>
  <si>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</si>
  <si>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</si>
  <si>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</si>
  <si>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</si>
  <si>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</si>
  <si>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</si>
  <si>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</si>
  <si>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</si>
  <si>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</si>
  <si>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</si>
  <si>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</si>
  <si>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</si>
  <si>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</si>
  <si>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</si>
  <si>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</si>
  <si>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</si>
  <si>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</si>
  <si>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</si>
  <si>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</si>
  <si>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</si>
  <si>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</si>
  <si>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</si>
  <si>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</si>
  <si>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</si>
  <si>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</si>
  <si>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</si>
  <si>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</si>
  <si>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</si>
  <si>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</si>
  <si>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</si>
  <si>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</si>
  <si>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</si>
  <si>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</si>
  <si>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</si>
  <si>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</si>
  <si>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</si>
  <si>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</si>
  <si>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</si>
  <si>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</si>
  <si>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</si>
  <si>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</si>
  <si>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</si>
  <si>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</si>
  <si>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</si>
  <si>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</si>
  <si>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</si>
  <si>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</si>
  <si>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</si>
  <si>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</si>
  <si>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</si>
  <si>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</si>
  <si>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</si>
  <si>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</si>
  <si>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</si>
  <si>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</si>
  <si>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</si>
  <si>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</si>
  <si>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</si>
  <si>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</si>
  <si>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</si>
  <si>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</si>
  <si>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</si>
  <si>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</si>
  <si>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</si>
  <si>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</si>
  <si>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</si>
  <si>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</si>
  <si>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</si>
  <si>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</si>
  <si>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</si>
  <si>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</si>
  <si>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</si>
  <si>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</si>
  <si>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</si>
  <si>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</si>
  <si>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</si>
  <si>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</si>
  <si>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</si>
  <si>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</si>
  <si>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</si>
  <si>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</si>
  <si>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</si>
  <si>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</si>
  <si>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</si>
  <si>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</si>
  <si>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</si>
  <si>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</si>
  <si>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</si>
  <si>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</si>
  <si>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</si>
  <si>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</si>
  <si>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</si>
  <si>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</si>
  <si>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</si>
  <si>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</si>
  <si>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</si>
  <si>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</si>
  <si>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</si>
  <si>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</si>
  <si>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</si>
  <si>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</si>
  <si>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</si>
  <si>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</si>
  <si>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</si>
  <si>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</si>
  <si>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</si>
  <si>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</si>
  <si>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</si>
  <si>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</si>
  <si>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</si>
  <si>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</si>
  <si>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</si>
  <si>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</si>
  <si>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</si>
  <si>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</si>
  <si>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</si>
  <si>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</si>
  <si>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</si>
  <si>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</si>
  <si>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</si>
  <si>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</si>
  <si>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</si>
  <si>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</si>
  <si>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</si>
  <si>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</si>
  <si>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</si>
  <si>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</si>
  <si>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</si>
  <si>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</si>
  <si>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</si>
  <si>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</si>
  <si>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</si>
  <si>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</si>
  <si>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</si>
  <si>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</si>
  <si>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</si>
  <si>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</si>
  <si>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</si>
  <si>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</si>
  <si>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</si>
  <si>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</si>
  <si>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</si>
  <si>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</si>
  <si>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</si>
  <si>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</si>
  <si>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</si>
  <si>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</si>
  <si>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</si>
  <si>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</si>
  <si>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</si>
  <si>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</si>
  <si>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</si>
  <si>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</si>
  <si>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</si>
  <si>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</si>
  <si>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</si>
  <si>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</si>
  <si>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</si>
  <si>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</si>
  <si>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</si>
  <si>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</si>
  <si>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</si>
  <si>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</si>
  <si>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</si>
  <si>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</si>
  <si>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</si>
  <si>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</si>
  <si>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</si>
  <si>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</si>
  <si>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</si>
  <si>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</si>
  <si>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</si>
  <si>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</si>
  <si>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</si>
  <si>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</si>
  <si>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</si>
  <si>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</si>
  <si>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</si>
  <si>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</si>
  <si>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</si>
  <si>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</si>
  <si>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</si>
  <si>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</si>
  <si>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</si>
  <si>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</si>
  <si>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</si>
  <si>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</si>
  <si>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</si>
  <si>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</si>
  <si>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</si>
  <si>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</si>
  <si>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</si>
  <si>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</si>
  <si>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</si>
  <si>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</si>
  <si>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</si>
  <si>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</si>
  <si>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</si>
  <si>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</si>
  <si>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</si>
  <si>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</si>
  <si>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</si>
  <si>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</si>
  <si>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</si>
  <si>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</si>
  <si>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</si>
  <si>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</si>
  <si>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</si>
  <si>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</si>
  <si>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</si>
  <si>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</si>
  <si>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</si>
  <si>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</si>
  <si>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</si>
  <si>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</si>
  <si>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</si>
  <si>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</si>
  <si>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</si>
  <si>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</si>
  <si>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</si>
  <si>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</si>
  <si>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</si>
  <si>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</si>
  <si>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</si>
  <si>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</si>
  <si>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</si>
  <si>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</si>
  <si>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</si>
  <si>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</si>
  <si>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</si>
  <si>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</si>
  <si>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</si>
  <si>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</si>
  <si>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</si>
  <si>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</si>
  <si>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</si>
  <si>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</si>
  <si>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</si>
  <si>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</si>
  <si>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</si>
  <si>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</si>
  <si>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</si>
  <si>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</si>
  <si>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</si>
  <si>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</si>
  <si>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</si>
  <si>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</si>
  <si>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</si>
  <si>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</si>
  <si>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</si>
  <si>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</si>
  <si>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</si>
  <si>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</si>
  <si>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</si>
  <si>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</si>
  <si>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</si>
  <si>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</si>
  <si>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</si>
  <si>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</si>
  <si>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</si>
  <si>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</si>
  <si>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</si>
  <si>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</si>
  <si>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</si>
  <si>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</si>
  <si>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</si>
  <si>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</si>
  <si>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</si>
  <si>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</si>
  <si>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</si>
  <si>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</si>
  <si>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</si>
  <si>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</si>
  <si>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</si>
  <si>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</si>
  <si>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</si>
  <si>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</si>
  <si>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</si>
  <si>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</si>
  <si>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</si>
  <si>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</si>
  <si>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</si>
  <si>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</si>
  <si>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</si>
  <si>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</si>
  <si>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</si>
  <si>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</si>
  <si>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</si>
  <si>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</si>
  <si>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</si>
  <si>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</si>
  <si>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</si>
  <si>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</si>
  <si>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</si>
  <si>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</si>
  <si>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</si>
  <si>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</si>
  <si>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</si>
  <si>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</si>
  <si>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</si>
  <si>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</si>
  <si>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</si>
  <si>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</si>
  <si>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</si>
  <si>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</si>
  <si>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</si>
  <si>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</si>
  <si>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</si>
  <si>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</si>
  <si>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</si>
  <si>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</si>
  <si>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</si>
  <si>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</si>
  <si>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</si>
  <si>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</si>
  <si>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</si>
  <si>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</si>
  <si>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</si>
  <si>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</si>
  <si>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</si>
  <si>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</si>
  <si>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</si>
  <si>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</si>
  <si>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</si>
  <si>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</si>
  <si>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</si>
  <si>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</si>
  <si>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</si>
  <si>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</si>
  <si>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</si>
  <si>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</si>
  <si>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</si>
  <si>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</si>
  <si>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</si>
  <si>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</si>
  <si>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</si>
  <si>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</si>
  <si>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</si>
  <si>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</si>
  <si>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</si>
  <si>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</si>
  <si>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</si>
  <si>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</si>
  <si>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</si>
  <si>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</si>
  <si>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</si>
  <si>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</si>
  <si>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</si>
  <si>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</si>
  <si>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</si>
  <si>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</si>
  <si>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</si>
  <si>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</si>
  <si>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</si>
  <si>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</si>
  <si>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</si>
  <si>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</si>
  <si>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</si>
  <si>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</si>
  <si>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</si>
  <si>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</si>
  <si>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</si>
  <si>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</si>
  <si>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</si>
  <si>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</si>
  <si>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</si>
  <si>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</si>
  <si>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</si>
  <si>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</si>
  <si>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</si>
  <si>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</si>
  <si>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</si>
  <si>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</si>
  <si>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</si>
  <si>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</si>
  <si>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</si>
  <si>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</si>
  <si>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</si>
  <si>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</si>
  <si>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</si>
  <si>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</si>
  <si>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</si>
  <si>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</si>
  <si>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</si>
  <si>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</si>
  <si>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</si>
  <si>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</si>
  <si>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</si>
  <si>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</si>
  <si>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</si>
  <si>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</si>
  <si>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</si>
  <si>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</si>
  <si>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</si>
  <si>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</si>
  <si>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</si>
  <si>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</si>
  <si>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</si>
  <si>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</si>
  <si>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</si>
  <si>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</si>
  <si>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</si>
  <si>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</si>
  <si>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</si>
  <si>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</si>
  <si>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</si>
  <si>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</si>
  <si>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</si>
  <si>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</si>
  <si>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</si>
  <si>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</si>
  <si>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</si>
  <si>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</si>
  <si>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</si>
  <si>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</si>
  <si>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</si>
  <si>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</si>
  <si>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</si>
  <si>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</si>
  <si>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</si>
  <si>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</si>
  <si>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</si>
  <si>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</si>
  <si>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</si>
  <si>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</si>
  <si>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</si>
  <si>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</si>
  <si>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</si>
  <si>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</si>
  <si>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</si>
  <si>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</si>
  <si>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</si>
  <si>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</si>
  <si>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</si>
  <si>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</si>
  <si>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</si>
  <si>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</si>
  <si>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</si>
  <si>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</si>
  <si>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</si>
  <si>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</si>
  <si>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</si>
  <si>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</si>
  <si>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</si>
  <si>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</si>
  <si>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</si>
  <si>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</si>
  <si>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</si>
  <si>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</si>
  <si>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</si>
  <si>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</si>
  <si>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</si>
  <si>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</si>
  <si>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</si>
  <si>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</si>
  <si>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</si>
  <si>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</si>
  <si>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</si>
  <si>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</si>
  <si>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</si>
  <si>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</si>
  <si>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</si>
  <si>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</si>
  <si>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</si>
  <si>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</si>
  <si>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</si>
  <si>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</si>
  <si>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</si>
  <si>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</si>
  <si>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</si>
  <si>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</si>
  <si>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</si>
  <si>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</si>
  <si>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</si>
  <si>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</si>
  <si>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</si>
  <si>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</si>
  <si>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</si>
  <si>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</si>
  <si>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</si>
  <si>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</si>
  <si>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</si>
  <si>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</si>
  <si>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</si>
  <si>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</si>
  <si>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</si>
  <si>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</si>
  <si>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</si>
  <si>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</si>
  <si>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</si>
  <si>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</si>
  <si>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</si>
  <si>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</si>
  <si>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</si>
  <si>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</si>
  <si>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</si>
  <si>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</si>
  <si>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</si>
  <si>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</si>
  <si>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</si>
  <si>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</si>
  <si>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</si>
  <si>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</si>
  <si>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</si>
  <si>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</si>
  <si>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</si>
  <si>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</si>
  <si>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</si>
  <si>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</si>
  <si>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</si>
  <si>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</si>
  <si>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</si>
  <si>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</si>
  <si>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</si>
  <si>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</si>
  <si>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</si>
  <si>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</si>
  <si>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</si>
  <si>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</si>
  <si>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</si>
  <si>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</si>
  <si>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</si>
  <si>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</si>
  <si>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</si>
  <si>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</si>
  <si>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</si>
  <si>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</si>
  <si>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</si>
  <si>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</si>
  <si>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</si>
  <si>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</si>
  <si>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</si>
  <si>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</si>
  <si>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</si>
  <si>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</si>
  <si>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</si>
  <si>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</si>
  <si>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</si>
  <si>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</si>
  <si>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</si>
  <si>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</si>
  <si>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</si>
  <si>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</si>
  <si>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</si>
  <si>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</si>
  <si>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</si>
  <si>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</si>
  <si>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</si>
  <si>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</si>
  <si>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</si>
  <si>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</si>
  <si>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</si>
  <si>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</si>
  <si>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</si>
  <si>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</si>
  <si>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</si>
  <si>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</si>
  <si>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</si>
  <si>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</si>
  <si>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</si>
  <si>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</si>
  <si>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</si>
  <si>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</si>
  <si>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</si>
  <si>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</si>
  <si>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</si>
  <si>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</si>
  <si>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</si>
  <si>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</si>
  <si>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</si>
  <si>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</si>
  <si>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</si>
  <si>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</si>
  <si>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</si>
  <si>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</si>
  <si>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</si>
  <si>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</si>
  <si>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</si>
  <si>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</si>
  <si>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</si>
  <si>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</si>
  <si>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</si>
  <si>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</si>
  <si>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</si>
  <si>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</si>
  <si>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</si>
  <si>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</si>
  <si>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</si>
  <si>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</si>
  <si>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</si>
  <si>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</si>
  <si>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</si>
  <si>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</si>
  <si>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</si>
  <si>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</si>
  <si>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</si>
  <si>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</si>
  <si>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</si>
  <si>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</si>
  <si>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</si>
  <si>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</si>
  <si>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</si>
  <si>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</si>
  <si>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</si>
  <si>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</si>
  <si>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</si>
  <si>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</si>
  <si>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</si>
  <si>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</si>
  <si>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</si>
  <si>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</si>
  <si>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</si>
  <si>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</si>
  <si>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</si>
  <si>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</si>
  <si>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</si>
  <si>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</si>
  <si>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</si>
  <si>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</si>
  <si>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</si>
  <si>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</si>
  <si>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</si>
  <si>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</si>
  <si>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</si>
  <si>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</si>
  <si>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</si>
  <si>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</si>
  <si>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</si>
  <si>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</si>
  <si>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</si>
  <si>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</si>
  <si>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</si>
  <si>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</si>
  <si>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</si>
  <si>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</si>
  <si>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</si>
  <si>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</si>
  <si>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</si>
  <si>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</si>
  <si>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</si>
  <si>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</si>
  <si>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</si>
  <si>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</si>
  <si>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</si>
  <si>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</si>
  <si>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</si>
  <si>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</si>
  <si>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</si>
  <si>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</si>
  <si>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</si>
  <si>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</si>
  <si>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</si>
  <si>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</si>
  <si>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</si>
  <si>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</si>
  <si>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</si>
  <si>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</si>
  <si>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</si>
  <si>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</si>
  <si>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</si>
  <si>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</si>
  <si>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</si>
  <si>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</si>
  <si>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</si>
  <si>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</si>
  <si>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</si>
  <si>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</si>
  <si>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</si>
  <si>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</si>
  <si>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</si>
  <si>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</si>
  <si>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</si>
  <si>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</si>
  <si>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</si>
  <si>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</si>
  <si>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</si>
  <si>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</si>
  <si>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</si>
  <si>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</si>
  <si>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</si>
  <si>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</si>
  <si>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</si>
  <si>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</si>
  <si>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</si>
  <si>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</si>
  <si>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</si>
  <si>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</si>
  <si>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</si>
  <si>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</si>
  <si>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</si>
  <si>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</si>
  <si>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</si>
  <si>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</si>
  <si>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</si>
  <si>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</si>
  <si>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</si>
  <si>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</si>
  <si>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</si>
  <si>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</si>
  <si>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</si>
  <si>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</si>
  <si>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</si>
  <si>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</si>
  <si>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</si>
  <si>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</si>
  <si>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</si>
  <si>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</si>
  <si>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</si>
  <si>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</si>
  <si>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</si>
  <si>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</si>
  <si>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</si>
  <si>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</si>
  <si>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</si>
  <si>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</si>
  <si>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</si>
  <si>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</si>
  <si>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</si>
  <si>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</si>
  <si>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</si>
  <si>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</si>
  <si>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</si>
  <si>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</si>
  <si>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</si>
  <si>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</si>
  <si>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</si>
  <si>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</si>
  <si>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</si>
  <si>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</si>
  <si>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</si>
  <si>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</si>
  <si>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</si>
  <si>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</si>
  <si>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</si>
  <si>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</si>
  <si>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</si>
  <si>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</si>
  <si>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</si>
  <si>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</si>
  <si>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</si>
  <si>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</si>
  <si>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</si>
  <si>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</si>
  <si>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</si>
  <si>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</si>
  <si>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</si>
  <si>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</si>
  <si>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</si>
  <si>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</si>
  <si>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</si>
  <si>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</si>
  <si>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</si>
  <si>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</si>
  <si>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</si>
  <si>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</si>
  <si>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</si>
  <si>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</si>
  <si>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</si>
  <si>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</si>
  <si>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</si>
  <si>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</si>
  <si>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</si>
  <si>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</si>
  <si>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</si>
  <si>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</si>
  <si>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</si>
  <si>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</si>
  <si>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</si>
  <si>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</si>
  <si>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</si>
  <si>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</si>
  <si>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</si>
  <si>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</si>
  <si>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</si>
  <si>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</si>
  <si>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</si>
  <si>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</si>
  <si>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</si>
  <si>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</si>
  <si>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</si>
  <si>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</si>
  <si>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</si>
  <si>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</si>
  <si>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</si>
  <si>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</si>
  <si>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</si>
  <si>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</si>
  <si>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</si>
  <si>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</si>
  <si>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</si>
  <si>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</si>
  <si>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</si>
  <si>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</si>
  <si>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</si>
  <si>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</si>
  <si>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</si>
  <si>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</si>
  <si>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</si>
  <si>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</si>
  <si>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</si>
  <si>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</si>
  <si>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</si>
  <si>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</si>
  <si>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</si>
  <si>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</si>
  <si>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</si>
  <si>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</si>
  <si>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</si>
  <si>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</si>
  <si>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</si>
  <si>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</si>
  <si>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</si>
  <si>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</si>
  <si>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</si>
  <si>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</si>
  <si>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</si>
  <si>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</si>
  <si>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</si>
  <si>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</si>
  <si>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</si>
  <si>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</si>
  <si>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</si>
  <si>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</si>
  <si>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</si>
  <si>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</si>
  <si>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</si>
  <si>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</si>
  <si>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</si>
  <si>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</si>
  <si>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</si>
  <si>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</si>
  <si>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</si>
  <si>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</si>
  <si>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</si>
  <si>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</si>
  <si>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</si>
  <si>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</si>
  <si>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</si>
  <si>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</si>
  <si>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</si>
  <si>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</si>
  <si>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</si>
  <si>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</si>
  <si>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</si>
  <si>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</si>
  <si>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</si>
  <si>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</si>
  <si>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</si>
  <si>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</si>
  <si>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</si>
  <si>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</si>
  <si>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</si>
  <si>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</si>
  <si>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</si>
  <si>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</si>
  <si>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</si>
  <si>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</si>
  <si>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</si>
  <si>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</si>
  <si>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</si>
  <si>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</si>
  <si>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</si>
  <si>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</si>
  <si>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</si>
  <si>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</si>
  <si>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</si>
  <si>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</si>
  <si>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</si>
  <si>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</si>
  <si>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</si>
  <si>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</si>
  <si>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</si>
  <si>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</si>
  <si>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</si>
  <si>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</si>
  <si>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</si>
  <si>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</si>
  <si>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</si>
  <si>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</si>
  <si>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</si>
  <si>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</si>
  <si>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</si>
  <si>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</si>
  <si>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</si>
  <si>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</si>
  <si>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</si>
  <si>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</si>
  <si>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</si>
  <si>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</si>
  <si>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</si>
  <si>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</si>
  <si>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</si>
  <si>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</si>
  <si>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</si>
  <si>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</si>
  <si>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</si>
  <si>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</si>
  <si>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</si>
  <si>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</si>
  <si>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</si>
  <si>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</si>
  <si>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</si>
  <si>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</si>
  <si>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</si>
  <si>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</si>
  <si>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</si>
  <si>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</si>
  <si>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</si>
  <si>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</si>
  <si>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</si>
  <si>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</si>
  <si>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</si>
  <si>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</si>
  <si>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</si>
  <si>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</si>
  <si>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</si>
  <si>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</si>
  <si>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</si>
  <si>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</si>
  <si>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</si>
  <si>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</si>
  <si>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</si>
  <si>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</si>
  <si>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</si>
  <si>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</si>
  <si>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</si>
  <si>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</si>
  <si>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</si>
  <si>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</si>
  <si>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</si>
  <si>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</si>
  <si>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</si>
  <si>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</si>
  <si>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</si>
  <si>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</si>
  <si>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</si>
  <si>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</si>
  <si>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</si>
  <si>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</si>
  <si>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</si>
  <si>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</si>
  <si>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</si>
  <si>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</si>
  <si>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</si>
  <si>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</si>
  <si>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</si>
  <si>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</si>
  <si>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</si>
  <si>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</si>
  <si>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</si>
  <si>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</si>
  <si>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</si>
  <si>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</si>
  <si>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</si>
  <si>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</si>
  <si>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</si>
  <si>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</si>
  <si>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</si>
  <si>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</si>
  <si>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</si>
  <si>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</si>
  <si>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</si>
  <si>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</si>
  <si>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</si>
  <si>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</si>
  <si>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</si>
  <si>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</si>
  <si>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</si>
  <si>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</si>
  <si>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</si>
  <si>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</si>
  <si>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</si>
  <si>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</si>
  <si>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</si>
  <si>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</si>
  <si>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</si>
  <si>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</si>
  <si>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</si>
  <si>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</si>
  <si>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</si>
  <si>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</si>
  <si>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</si>
  <si>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</si>
  <si>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</si>
  <si>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</si>
  <si>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</si>
  <si>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</si>
  <si>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</si>
  <si>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</si>
  <si>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</si>
  <si>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</si>
  <si>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</si>
  <si>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</si>
  <si>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</si>
  <si>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</si>
  <si>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</si>
  <si>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</si>
  <si>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</si>
  <si>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</si>
  <si>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</si>
  <si>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</si>
  <si>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</si>
  <si>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</si>
  <si>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</si>
  <si>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</si>
  <si>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</si>
  <si>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</si>
  <si>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</si>
  <si>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</si>
  <si>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</si>
  <si>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</si>
  <si>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</si>
  <si>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</si>
  <si>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</si>
  <si>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</si>
  <si>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</si>
  <si>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</si>
  <si>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</si>
  <si>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</si>
  <si>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</si>
  <si>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</si>
  <si>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</si>
  <si>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</si>
  <si>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</si>
  <si>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</si>
  <si>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</si>
  <si>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</si>
  <si>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</si>
  <si>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</si>
  <si>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</si>
  <si>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</si>
  <si>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</si>
  <si>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</si>
  <si>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</si>
  <si>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</si>
  <si>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</si>
  <si>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</si>
  <si>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</si>
  <si>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</si>
  <si>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</si>
  <si>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</si>
  <si>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</si>
  <si>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</si>
  <si>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</si>
  <si>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</si>
  <si>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</si>
  <si>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</si>
  <si>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</si>
  <si>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</si>
  <si>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</si>
  <si>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</si>
  <si>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</si>
  <si>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</si>
  <si>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</si>
  <si>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</si>
  <si>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</si>
  <si>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</si>
  <si>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</si>
  <si>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</si>
  <si>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</si>
  <si>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</si>
  <si>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</si>
  <si>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</si>
  <si>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</si>
  <si>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</si>
  <si>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</si>
  <si>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</si>
  <si>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</si>
  <si>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</si>
  <si>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</si>
  <si>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</si>
  <si>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</si>
  <si>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</si>
  <si>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</si>
  <si>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</si>
  <si>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</si>
  <si>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</si>
  <si>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</si>
  <si>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</si>
  <si>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</si>
  <si>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</si>
  <si>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</si>
  <si>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</si>
  <si>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</si>
  <si>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</si>
  <si>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</si>
  <si>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</si>
  <si>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</si>
  <si>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</si>
  <si>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</si>
  <si>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</si>
  <si>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</si>
  <si>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</si>
  <si>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</si>
  <si>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</si>
  <si>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</si>
  <si>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</si>
  <si>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</si>
  <si>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</si>
  <si>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</si>
  <si>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</si>
  <si>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</si>
  <si>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</si>
  <si>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</si>
  <si>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</si>
  <si>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</si>
  <si>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</si>
  <si>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</si>
  <si>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</si>
  <si>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</si>
  <si>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</si>
  <si>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</si>
  <si>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</si>
  <si>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</si>
  <si>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</si>
  <si>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</si>
  <si>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</si>
  <si>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</si>
  <si>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</si>
  <si>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</si>
  <si>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</si>
  <si>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</si>
  <si>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</si>
  <si>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</si>
  <si>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</si>
  <si>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</si>
  <si>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</si>
  <si>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</si>
  <si>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</si>
  <si>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</si>
  <si>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</si>
  <si>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</si>
  <si>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</si>
  <si>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</si>
  <si>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</si>
  <si>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</si>
  <si>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</si>
  <si>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</si>
  <si>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</si>
  <si>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</si>
  <si>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</si>
  <si>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</si>
  <si>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</si>
  <si>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</si>
  <si>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</si>
  <si>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</si>
  <si>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</si>
  <si>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</si>
  <si>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</si>
  <si>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</si>
  <si>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</si>
  <si>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</si>
  <si>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</si>
  <si>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</si>
  <si>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</si>
  <si>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</si>
  <si>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</si>
  <si>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</si>
  <si>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</si>
  <si>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</si>
  <si>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</si>
  <si>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</si>
  <si>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</si>
  <si>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</si>
  <si>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</si>
  <si>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</si>
  <si>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</si>
  <si>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</si>
  <si>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</si>
  <si>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</si>
  <si>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</si>
  <si>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</si>
  <si>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</si>
  <si>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</si>
  <si>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</si>
  <si>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</si>
  <si>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</si>
  <si>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</si>
  <si>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</si>
  <si>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</si>
  <si>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</si>
  <si>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</si>
  <si>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</si>
  <si>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</si>
  <si>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</si>
  <si>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</si>
  <si>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</si>
  <si>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</si>
  <si>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</si>
  <si>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</si>
  <si>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</si>
  <si>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</si>
  <si>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</si>
  <si>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</si>
  <si>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</si>
  <si>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</si>
  <si>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</si>
  <si>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</si>
  <si>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</si>
  <si>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</si>
  <si>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</si>
  <si>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</si>
  <si>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</si>
  <si>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</si>
  <si>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</si>
  <si>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</si>
  <si>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</si>
  <si>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</si>
  <si>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</si>
  <si>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</si>
  <si>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</si>
  <si>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</si>
  <si>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</si>
  <si>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</si>
  <si>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</si>
  <si>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</si>
  <si>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</si>
  <si>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</si>
  <si>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</si>
  <si>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</si>
  <si>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</si>
  <si>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</si>
  <si>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</si>
  <si>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</si>
  <si>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</si>
  <si>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</si>
  <si>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</si>
  <si>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</si>
  <si>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</si>
  <si>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</si>
  <si>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</si>
  <si>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</si>
  <si>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</si>
  <si>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</si>
  <si>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</si>
  <si>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</si>
  <si>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</si>
  <si>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</si>
  <si>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</si>
  <si>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</si>
  <si>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</si>
  <si>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</si>
  <si>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</si>
  <si>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</si>
  <si>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</si>
  <si>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</si>
  <si>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</si>
  <si>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</si>
  <si>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</si>
  <si>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</si>
  <si>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</si>
  <si>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</si>
  <si>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</si>
  <si>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</si>
  <si>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</si>
  <si>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</si>
  <si>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</si>
  <si>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</si>
  <si>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</si>
  <si>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</si>
  <si>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</si>
  <si>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</si>
  <si>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</si>
  <si>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</si>
  <si>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</si>
  <si>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</si>
  <si>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</si>
  <si>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</si>
  <si>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</si>
  <si>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</si>
  <si>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</si>
  <si>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</si>
  <si>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</si>
  <si>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</si>
  <si>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</si>
  <si>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</si>
  <si>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</si>
  <si>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</si>
  <si>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</si>
  <si>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</si>
  <si>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</si>
  <si>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</si>
  <si>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</si>
  <si>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</si>
  <si>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</si>
  <si>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</si>
  <si>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</si>
  <si>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</si>
  <si>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</si>
  <si>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</si>
  <si>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</si>
  <si>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</si>
  <si>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</si>
  <si>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</si>
  <si>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</si>
  <si>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</si>
  <si>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</si>
  <si>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</si>
  <si>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</si>
  <si>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</si>
  <si>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</si>
  <si>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</si>
  <si>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</si>
  <si>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</si>
  <si>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</si>
  <si>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</si>
  <si>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</si>
  <si>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</si>
  <si>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</si>
  <si>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</si>
  <si>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</si>
  <si>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</si>
  <si>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</si>
  <si>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</si>
  <si>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</si>
  <si>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</si>
  <si>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</si>
  <si>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</si>
  <si>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</si>
  <si>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</si>
  <si>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</si>
  <si>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</si>
  <si>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</si>
  <si>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</si>
  <si>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</si>
  <si>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</si>
  <si>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</si>
  <si>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</si>
  <si>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</si>
  <si>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</si>
  <si>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</si>
  <si>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</si>
  <si>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</si>
  <si>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</si>
  <si>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</si>
  <si>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</si>
  <si>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</si>
  <si>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</si>
  <si>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</si>
  <si>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</si>
  <si>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</si>
  <si>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</si>
  <si>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</si>
  <si>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</si>
  <si>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</si>
  <si>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</si>
  <si>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</si>
  <si>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</si>
  <si>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</si>
  <si>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</si>
  <si>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</si>
  <si>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</si>
  <si>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</si>
  <si>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</si>
  <si>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</si>
  <si>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</si>
  <si>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</si>
  <si>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</si>
  <si>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</si>
  <si>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</si>
  <si>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</si>
  <si>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</si>
  <si>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</si>
  <si>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</si>
  <si>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</si>
  <si>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</si>
  <si>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</si>
  <si>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</si>
  <si>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</si>
  <si>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</si>
  <si>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</si>
  <si>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</si>
  <si>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</si>
  <si>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</si>
  <si>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</si>
  <si>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</si>
  <si>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</si>
  <si>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</si>
  <si>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</si>
  <si>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</si>
  <si>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</si>
  <si>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</si>
  <si>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</si>
  <si>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</si>
  <si>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</si>
  <si>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</si>
  <si>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</si>
  <si>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</si>
  <si>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</si>
  <si>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</si>
  <si>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</si>
  <si>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</si>
  <si>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</si>
  <si>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</si>
  <si>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</si>
  <si>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</si>
  <si>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</si>
  <si>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</si>
  <si>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</si>
  <si>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</si>
  <si>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</si>
  <si>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</si>
  <si>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</si>
  <si>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</si>
  <si>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</si>
  <si>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</si>
  <si>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</si>
  <si>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</si>
  <si>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</si>
  <si>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</si>
  <si>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</si>
  <si>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</si>
  <si>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</si>
  <si>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</si>
  <si>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</si>
  <si>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</si>
  <si>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</si>
  <si>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</si>
  <si>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</si>
  <si>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</si>
  <si>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</si>
  <si>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</si>
  <si>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</si>
  <si>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</si>
  <si>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</si>
  <si>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</si>
  <si>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</si>
  <si>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</si>
  <si>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</si>
  <si>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</si>
  <si>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</si>
  <si>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</si>
  <si>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</si>
  <si>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</si>
  <si>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</si>
  <si>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</si>
  <si>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</si>
  <si>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</si>
  <si>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</si>
  <si>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</si>
  <si>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</si>
  <si>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</si>
  <si>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</si>
  <si>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</si>
  <si>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</si>
  <si>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</si>
  <si>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</si>
  <si>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</si>
  <si>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</si>
  <si>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</si>
  <si>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</si>
  <si>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</si>
  <si>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</si>
  <si>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</si>
  <si>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</si>
  <si>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</si>
  <si>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</si>
  <si>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</si>
  <si>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</si>
  <si>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</si>
  <si>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</si>
  <si>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</si>
  <si>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</si>
  <si>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</si>
  <si>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</si>
  <si>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</si>
  <si>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</si>
  <si>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</si>
  <si>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</si>
  <si>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</si>
  <si>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</si>
  <si>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</si>
  <si>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</si>
  <si>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</si>
  <si>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</si>
  <si>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</si>
  <si>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</si>
  <si>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</si>
  <si>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</si>
  <si>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</si>
  <si>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</si>
  <si>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</si>
  <si>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</si>
  <si>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</si>
  <si>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</si>
  <si>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</si>
  <si>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</si>
  <si>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</si>
  <si>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</si>
  <si>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</si>
  <si>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</si>
  <si>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</si>
  <si>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</si>
  <si>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</si>
  <si>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</si>
  <si>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</si>
  <si>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</si>
  <si>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</si>
  <si>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</si>
  <si>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</si>
  <si>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</si>
  <si>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</si>
  <si>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</si>
  <si>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</si>
  <si>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</si>
  <si>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</si>
  <si>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</si>
  <si>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</si>
  <si>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</si>
  <si>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</si>
  <si>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</si>
  <si>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</si>
  <si>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</si>
  <si>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</si>
  <si>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</si>
  <si>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</si>
  <si>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</si>
  <si>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</si>
  <si>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</si>
  <si>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</si>
  <si>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</si>
  <si>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</si>
  <si>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</si>
  <si>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</si>
  <si>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</si>
  <si>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</si>
  <si>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</si>
  <si>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</si>
  <si>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</si>
  <si>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</si>
  <si>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</si>
  <si>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</si>
  <si>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</si>
  <si>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</si>
  <si>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</si>
  <si>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</si>
  <si>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</si>
  <si>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</si>
  <si>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</si>
  <si>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</si>
  <si>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</si>
  <si>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</si>
  <si>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</si>
  <si>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</si>
  <si>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</si>
  <si>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</si>
  <si>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</si>
  <si>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</si>
  <si>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</si>
  <si>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</si>
  <si>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</si>
  <si>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</si>
  <si>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</si>
  <si>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</si>
  <si>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</si>
  <si>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</si>
  <si>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</si>
  <si>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</si>
  <si>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</si>
  <si>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</si>
  <si>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</si>
  <si>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</si>
  <si>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</si>
  <si>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</si>
  <si>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</si>
  <si>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</si>
  <si>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</si>
  <si>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</si>
  <si>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</si>
  <si>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</si>
  <si>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</si>
  <si>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</si>
  <si>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</si>
  <si>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</si>
  <si>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</si>
  <si>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</si>
  <si>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</si>
  <si>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</si>
  <si>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</si>
  <si>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</si>
  <si>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</si>
  <si>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</si>
  <si>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</si>
  <si>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</si>
  <si>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</si>
  <si>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</si>
  <si>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</si>
  <si>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</si>
  <si>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</si>
  <si>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</si>
  <si>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</si>
  <si>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</si>
  <si>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</si>
  <si>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</si>
  <si>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</si>
  <si>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</si>
  <si>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</si>
  <si>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</si>
  <si>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</si>
  <si>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</si>
  <si>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</si>
  <si>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</si>
  <si>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</si>
  <si>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</si>
  <si>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</si>
  <si>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</si>
  <si>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</si>
  <si>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</si>
  <si>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</si>
  <si>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</si>
  <si>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</si>
  <si>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</si>
  <si>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</si>
  <si>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</si>
  <si>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</si>
  <si>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</si>
  <si>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</si>
  <si>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</si>
  <si>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</si>
  <si>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</si>
  <si>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</si>
  <si>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</si>
  <si>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</si>
  <si>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</si>
  <si>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</si>
  <si>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</si>
  <si>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</si>
  <si>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</si>
  <si>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</si>
  <si>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</si>
  <si>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</si>
  <si>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</si>
  <si>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</si>
  <si>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</si>
  <si>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</si>
  <si>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</si>
  <si>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</si>
  <si>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</si>
  <si>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</si>
  <si>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</si>
  <si>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</si>
  <si>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</si>
  <si>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</si>
  <si>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</si>
  <si>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</si>
  <si>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</si>
  <si>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</si>
  <si>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</si>
  <si>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</si>
  <si>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</si>
  <si>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</si>
  <si>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</si>
  <si>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</si>
  <si>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</si>
  <si>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</si>
  <si>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</si>
  <si>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</si>
  <si>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</si>
  <si>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</si>
  <si>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</si>
  <si>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</si>
  <si>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</si>
  <si>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</si>
  <si>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</si>
  <si>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</si>
  <si>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</si>
  <si>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</si>
  <si>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</si>
  <si>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</si>
  <si>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</si>
  <si>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</si>
  <si>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</si>
  <si>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</si>
  <si>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</si>
  <si>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</si>
  <si>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</si>
  <si>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</si>
  <si>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</si>
  <si>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</si>
  <si>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</si>
  <si>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</si>
  <si>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</si>
  <si>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</si>
  <si>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</si>
  <si>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</si>
  <si>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</si>
  <si>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</si>
  <si>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</si>
  <si>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</si>
  <si>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</si>
  <si>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</si>
  <si>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</si>
  <si>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</si>
  <si>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</si>
  <si>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</si>
  <si>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</si>
  <si>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</si>
  <si>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</si>
  <si>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</si>
  <si>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</si>
  <si>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</si>
  <si>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</si>
  <si>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</si>
  <si>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</si>
  <si>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</si>
  <si>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</si>
  <si>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</si>
  <si>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</si>
  <si>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</si>
  <si>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</si>
  <si>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</si>
  <si>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</si>
  <si>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</si>
  <si>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</si>
  <si>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</si>
  <si>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</si>
  <si>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</si>
  <si>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</si>
  <si>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</si>
  <si>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</si>
  <si>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</si>
  <si>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</si>
  <si>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</si>
  <si>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</si>
  <si>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</si>
  <si>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</si>
  <si>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</si>
  <si>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</si>
  <si>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</si>
  <si>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</si>
  <si>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</si>
  <si>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</si>
  <si>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</si>
  <si>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</si>
  <si>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</si>
  <si>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</si>
  <si>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</si>
  <si>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</si>
  <si>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</si>
  <si>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</si>
  <si>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</si>
  <si>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</si>
  <si>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</si>
  <si>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</si>
  <si>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</si>
  <si>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</si>
  <si>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</si>
  <si>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</si>
  <si>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</si>
  <si>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</si>
  <si>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</si>
  <si>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</si>
  <si>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</si>
  <si>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</si>
  <si>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</si>
  <si>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</si>
  <si>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</si>
  <si>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</si>
  <si>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</si>
  <si>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</si>
  <si>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</si>
  <si>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</si>
  <si>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</si>
  <si>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</si>
  <si>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</si>
  <si>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</si>
  <si>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</si>
  <si>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</si>
  <si>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</si>
  <si>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</si>
  <si>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</si>
  <si>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</si>
  <si>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</si>
  <si>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</si>
  <si>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</si>
  <si>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</si>
  <si>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</si>
  <si>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</si>
  <si>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</si>
  <si>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</si>
  <si>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</si>
  <si>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</si>
  <si>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</si>
  <si>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</si>
  <si>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</si>
  <si>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</si>
  <si>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</si>
  <si>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</si>
  <si>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</si>
  <si>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</si>
  <si>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</si>
  <si>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</si>
  <si>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</si>
  <si>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</si>
  <si>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</si>
  <si>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</si>
  <si>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</si>
  <si>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</si>
  <si>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</si>
  <si>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</si>
  <si>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</si>
  <si>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</si>
  <si>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</si>
  <si>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</si>
  <si>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</si>
  <si>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</si>
  <si>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</si>
  <si>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</si>
  <si>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</si>
  <si>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</si>
  <si>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</si>
  <si>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</si>
  <si>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</si>
  <si>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</si>
  <si>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</si>
  <si>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</si>
  <si>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</si>
  <si>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</si>
  <si>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</si>
  <si>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</si>
  <si>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</si>
  <si>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</si>
  <si>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</si>
  <si>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</si>
  <si>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</si>
  <si>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</si>
  <si>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</si>
  <si>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</si>
  <si>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</si>
  <si>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</si>
  <si>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</si>
  <si>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</si>
  <si>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</si>
  <si>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</si>
  <si>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</si>
  <si>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</si>
  <si>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</si>
  <si>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</si>
  <si>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</si>
  <si>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</si>
  <si>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</si>
  <si>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</si>
  <si>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</si>
  <si>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</si>
  <si>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</si>
  <si>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</si>
  <si>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</si>
  <si>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</si>
  <si>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</si>
  <si>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</si>
  <si>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</si>
  <si>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</si>
  <si>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</si>
  <si>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</si>
  <si>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</si>
  <si>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</si>
  <si>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</si>
  <si>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</si>
  <si>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</si>
  <si>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</si>
  <si>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</si>
  <si>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</si>
  <si>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</si>
  <si>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</si>
  <si>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</si>
  <si>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</si>
  <si>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</si>
  <si>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</si>
  <si>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</si>
  <si>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</si>
  <si>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</si>
  <si>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</si>
  <si>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</si>
  <si>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</si>
  <si>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</si>
  <si>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</si>
  <si>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</si>
  <si>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</si>
  <si>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</si>
  <si>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</si>
  <si>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</si>
  <si>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</si>
  <si>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</si>
  <si>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</si>
  <si>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</si>
  <si>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</si>
  <si>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</si>
  <si>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</si>
  <si>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</si>
  <si>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</si>
  <si>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</si>
  <si>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</si>
  <si>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</si>
  <si>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</si>
  <si>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</si>
  <si>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</si>
  <si>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</si>
  <si>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</si>
  <si>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</si>
  <si>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</si>
  <si>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</si>
  <si>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</si>
  <si>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</si>
  <si>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</si>
  <si>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</si>
  <si>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</si>
  <si>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</si>
  <si>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</si>
  <si>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</si>
  <si>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</si>
  <si>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</si>
  <si>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</si>
  <si>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</si>
  <si>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</si>
  <si>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</si>
  <si>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</si>
  <si>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</si>
  <si>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</si>
  <si>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</si>
  <si>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</si>
  <si>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</si>
  <si>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</si>
  <si>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</si>
  <si>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</si>
  <si>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</si>
  <si>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</si>
  <si>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</si>
  <si>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</si>
  <si>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</si>
  <si>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</si>
  <si>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</si>
  <si>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</si>
  <si>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</si>
  <si>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</si>
  <si>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</si>
  <si>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</si>
  <si>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</si>
  <si>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</si>
  <si>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</si>
  <si>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</si>
  <si>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</si>
  <si>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</si>
  <si>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</si>
  <si>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</si>
  <si>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</si>
  <si>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</si>
  <si>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</si>
  <si>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</si>
  <si>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</si>
  <si>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</si>
  <si>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</si>
  <si>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</si>
  <si>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</si>
  <si>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</si>
  <si>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</si>
  <si>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</si>
  <si>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</si>
  <si>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</si>
  <si>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</si>
  <si>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</si>
  <si>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</si>
  <si>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</si>
  <si>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</si>
  <si>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</si>
  <si>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</si>
  <si>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</si>
  <si>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</si>
  <si>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</si>
  <si>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</si>
  <si>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</si>
  <si>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</si>
  <si>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</si>
  <si>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</si>
  <si>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</si>
  <si>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</si>
  <si>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</si>
  <si>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</si>
  <si>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</si>
  <si>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</si>
  <si>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</si>
  <si>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</si>
  <si>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</si>
  <si>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</si>
  <si>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</si>
  <si>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</si>
  <si>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</si>
  <si>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</si>
  <si>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</si>
  <si>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</si>
  <si>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</si>
  <si>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</si>
  <si>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</si>
  <si>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</si>
  <si>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</si>
  <si>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</si>
  <si>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</si>
  <si>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</si>
  <si>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</si>
  <si>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</si>
  <si>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</si>
  <si>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</si>
  <si>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</si>
  <si>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</si>
  <si>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</si>
  <si>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</si>
  <si>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</si>
  <si>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</si>
  <si>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</si>
  <si>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</si>
  <si>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</si>
  <si>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</si>
  <si>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</si>
  <si>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</si>
  <si>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</si>
  <si>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</si>
  <si>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</si>
  <si>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</si>
  <si>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</si>
  <si>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</si>
  <si>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</si>
  <si>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</si>
  <si>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</si>
  <si>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</si>
  <si>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</si>
  <si>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</si>
  <si>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</si>
  <si>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</si>
  <si>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</si>
  <si>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</si>
  <si>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</si>
  <si>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</si>
  <si>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</si>
  <si>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</si>
  <si>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</si>
  <si>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</si>
  <si>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</si>
  <si>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</si>
  <si>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</si>
  <si>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</si>
  <si>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</si>
  <si>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</si>
  <si>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</si>
  <si>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</si>
  <si>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</si>
  <si>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</si>
  <si>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</si>
  <si>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</si>
  <si>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</si>
  <si>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</si>
  <si>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</si>
  <si>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</si>
  <si>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</si>
  <si>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</si>
  <si>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</si>
  <si>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</si>
  <si>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</si>
  <si>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</si>
  <si>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</si>
  <si>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</si>
  <si>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</si>
  <si>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</si>
  <si>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</si>
  <si>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</si>
  <si>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</si>
  <si>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</si>
  <si>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</si>
  <si>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</si>
  <si>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</si>
  <si>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</si>
  <si>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</si>
  <si>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</si>
  <si>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</si>
  <si>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</si>
  <si>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</si>
  <si>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</si>
  <si>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</si>
  <si>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</si>
  <si>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</si>
  <si>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</si>
  <si>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</si>
  <si>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</si>
  <si>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</si>
  <si>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</si>
  <si>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</si>
  <si>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</si>
  <si>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</si>
  <si>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</si>
  <si>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</si>
  <si>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</si>
  <si>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</si>
  <si>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</si>
  <si>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</si>
  <si>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</si>
  <si>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</si>
  <si>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</si>
  <si>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</si>
  <si>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</si>
  <si>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</si>
  <si>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</si>
  <si>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</si>
  <si>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</si>
  <si>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</si>
  <si>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</si>
  <si>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</si>
  <si>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</si>
  <si>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</si>
  <si>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</si>
  <si>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</si>
  <si>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</si>
  <si>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</si>
  <si>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</si>
  <si>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</si>
  <si>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</si>
  <si>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</si>
  <si>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</si>
  <si>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</si>
  <si>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</si>
  <si>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</si>
  <si>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</si>
  <si>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</si>
  <si>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</si>
  <si>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</si>
  <si>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</si>
  <si>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</si>
  <si>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</si>
  <si>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</si>
  <si>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</si>
  <si>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</si>
  <si>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</si>
  <si>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</si>
  <si>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</si>
  <si>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</si>
  <si>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</si>
  <si>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</si>
  <si>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</si>
  <si>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</si>
  <si>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</si>
  <si>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</si>
  <si>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</si>
  <si>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</si>
  <si>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</si>
  <si>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</si>
  <si>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</si>
  <si>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</si>
  <si>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</si>
  <si>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</si>
  <si>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</si>
  <si>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</si>
  <si>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</si>
  <si>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</si>
  <si>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</si>
  <si>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</si>
  <si>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</si>
  <si>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</si>
  <si>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</si>
  <si>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</si>
  <si>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</si>
  <si>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</si>
  <si>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</si>
  <si>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</si>
  <si>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</si>
  <si>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</si>
  <si>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</si>
  <si>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</si>
  <si>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</si>
  <si>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</si>
  <si>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</si>
  <si>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</si>
  <si>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</si>
  <si>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</si>
  <si>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</si>
  <si>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</si>
  <si>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</si>
  <si>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</si>
  <si>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</si>
  <si>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</si>
  <si>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</si>
  <si>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</si>
  <si>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</si>
  <si>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</si>
  <si>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</si>
  <si>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</si>
  <si>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</si>
  <si>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</si>
  <si>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</si>
  <si>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</si>
  <si>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</si>
  <si>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</si>
  <si>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</si>
  <si>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</si>
  <si>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</si>
  <si>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</si>
  <si>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</si>
  <si>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</si>
  <si>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</si>
  <si>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</si>
  <si>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</si>
  <si>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</si>
  <si>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</si>
  <si>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</si>
  <si>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</si>
  <si>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</si>
  <si>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</si>
  <si>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</si>
  <si>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</si>
  <si>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</si>
  <si>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</si>
  <si>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</si>
  <si>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</si>
  <si>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</si>
  <si>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</si>
  <si>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</si>
  <si>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</si>
  <si>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</si>
  <si>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</si>
  <si>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</si>
  <si>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</si>
  <si>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</si>
  <si>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</si>
  <si>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</si>
  <si>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</si>
  <si>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</si>
  <si>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</si>
  <si>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</si>
  <si>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</si>
  <si>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</si>
  <si>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</si>
  <si>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</si>
  <si>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</si>
  <si>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</si>
  <si>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</si>
  <si>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</si>
  <si>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</si>
  <si>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</si>
  <si>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</si>
  <si>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</si>
  <si>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</si>
  <si>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</si>
  <si>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</si>
  <si>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</si>
  <si>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</si>
  <si>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</si>
  <si>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</si>
  <si>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</si>
  <si>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</si>
  <si>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</si>
  <si>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</si>
  <si>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</si>
  <si>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</si>
  <si>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</si>
  <si>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</si>
  <si>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</si>
  <si>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</si>
  <si>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</si>
  <si>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</si>
  <si>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</si>
  <si>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</si>
  <si>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</si>
  <si>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</si>
  <si>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</si>
  <si>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</si>
  <si>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</si>
  <si>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</si>
  <si>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</si>
  <si>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</si>
  <si>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</si>
  <si>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</si>
  <si>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</si>
  <si>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</si>
  <si>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</si>
  <si>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</si>
  <si>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</si>
  <si>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</si>
  <si>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</si>
  <si>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</si>
  <si>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</si>
  <si>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</si>
  <si>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</si>
  <si>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</si>
  <si>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</si>
  <si>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</si>
  <si>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</si>
  <si>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</si>
  <si>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</si>
  <si>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</si>
  <si>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</si>
  <si>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</si>
  <si>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</si>
  <si>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</si>
  <si>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</si>
  <si>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</si>
  <si>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</si>
  <si>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</si>
  <si>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</si>
  <si>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</si>
  <si>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</si>
  <si>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</si>
  <si>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</si>
  <si>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</si>
  <si>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</si>
  <si>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</si>
  <si>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</si>
  <si>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</si>
  <si>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</si>
  <si>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</si>
  <si>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</si>
  <si>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</si>
  <si>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</si>
  <si>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</si>
  <si>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</si>
  <si>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</si>
  <si>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</si>
  <si>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</si>
  <si>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</si>
  <si>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</si>
  <si>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</si>
  <si>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</si>
  <si>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</si>
  <si>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</si>
  <si>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</si>
  <si>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</si>
  <si>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</si>
  <si>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</si>
  <si>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</si>
  <si>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</si>
  <si>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</si>
  <si>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</si>
  <si>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</si>
  <si>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</si>
  <si>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</si>
  <si>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</si>
  <si>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</si>
  <si>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</si>
  <si>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</si>
  <si>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</si>
  <si>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</si>
  <si>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</si>
  <si>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</si>
  <si>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</si>
  <si>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</si>
  <si>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</si>
  <si>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</si>
  <si>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</si>
  <si>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</si>
  <si>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</si>
  <si>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</si>
  <si>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</si>
  <si>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</si>
  <si>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</si>
  <si>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</si>
  <si>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</si>
  <si>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</si>
  <si>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</si>
  <si>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</si>
  <si>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</si>
  <si>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</si>
  <si>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</si>
  <si>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</si>
  <si>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</si>
  <si>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</si>
  <si>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</si>
  <si>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</si>
  <si>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</si>
  <si>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</si>
  <si>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</si>
  <si>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</si>
  <si>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</si>
  <si>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</si>
  <si>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</si>
  <si>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</si>
  <si>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</si>
  <si>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</si>
  <si>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</si>
  <si>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</si>
  <si>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</si>
  <si>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</si>
  <si>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</si>
  <si>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</si>
  <si>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</si>
  <si>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</si>
  <si>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</si>
  <si>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</si>
  <si>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</si>
  <si>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</si>
  <si>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</si>
  <si>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</si>
  <si>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</si>
  <si>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</si>
  <si>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</si>
  <si>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</si>
  <si>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</si>
  <si>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</si>
  <si>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</si>
  <si>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</si>
  <si>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</si>
  <si>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</si>
  <si>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</si>
  <si>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</si>
  <si>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</si>
  <si>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</si>
  <si>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</si>
  <si>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</si>
  <si>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</si>
  <si>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</si>
  <si>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</si>
  <si>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</si>
  <si>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</si>
  <si>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</si>
  <si>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</si>
  <si>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</si>
  <si>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</si>
  <si>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</si>
  <si>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</si>
  <si>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</si>
  <si>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</si>
  <si>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</si>
  <si>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</si>
  <si>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</si>
  <si>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</si>
  <si>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</si>
  <si>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</si>
  <si>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</si>
  <si>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</si>
  <si>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</si>
  <si>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</si>
  <si>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</si>
  <si>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</si>
  <si>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</si>
  <si>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</si>
  <si>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</si>
  <si>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</si>
  <si>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</si>
  <si>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</si>
  <si>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</si>
  <si>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</si>
  <si>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</si>
  <si>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</si>
  <si>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</si>
  <si>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</si>
  <si>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</si>
  <si>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</si>
  <si>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</si>
  <si>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</si>
  <si>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</si>
  <si>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</si>
  <si>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</si>
  <si>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</si>
  <si>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</si>
  <si>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</si>
  <si>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</si>
  <si>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</si>
  <si>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</si>
  <si>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</si>
  <si>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</si>
  <si>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</si>
  <si>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</si>
  <si>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</si>
  <si>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</si>
  <si>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</si>
  <si>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</si>
  <si>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</si>
  <si>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</si>
  <si>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</si>
  <si>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</si>
  <si>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</si>
  <si>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</si>
  <si>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</si>
  <si>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</si>
  <si>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</si>
  <si>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</si>
  <si>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</si>
  <si>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</si>
  <si>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</si>
  <si>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</si>
  <si>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</si>
  <si>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</si>
  <si>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</si>
  <si>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</si>
  <si>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</si>
  <si>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</si>
  <si>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</si>
  <si>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</si>
  <si>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</si>
  <si>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</si>
  <si>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</si>
  <si>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</si>
  <si>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</si>
  <si>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</si>
  <si>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</si>
  <si>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</si>
  <si>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</si>
  <si>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</si>
  <si>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</si>
  <si>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</si>
  <si>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</si>
  <si>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</si>
  <si>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</si>
  <si>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</si>
  <si>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</si>
  <si>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</si>
  <si>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</si>
  <si>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</si>
  <si>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</si>
  <si>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</si>
  <si>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</si>
  <si>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</si>
  <si>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</si>
  <si>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</si>
  <si>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</si>
  <si>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</si>
  <si>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</si>
  <si>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</si>
  <si>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</si>
  <si>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</si>
  <si>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</si>
  <si>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</si>
  <si>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</si>
  <si>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</si>
  <si>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</si>
  <si>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</si>
  <si>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</si>
  <si>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</si>
  <si>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</si>
  <si>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</si>
  <si>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</si>
  <si>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</si>
  <si>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</si>
  <si>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</si>
  <si>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</si>
  <si>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</si>
  <si>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</si>
  <si>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</si>
  <si>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</si>
  <si>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</si>
  <si>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</si>
  <si>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</si>
  <si>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</si>
  <si>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</si>
  <si>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</si>
  <si>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</si>
  <si>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</si>
  <si>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</si>
  <si>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</si>
  <si>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</si>
  <si>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</si>
  <si>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</si>
  <si>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</si>
  <si>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</si>
  <si>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</si>
  <si>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</si>
  <si>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</si>
  <si>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</si>
  <si>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</si>
  <si>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</si>
  <si>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</si>
  <si>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</si>
  <si>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</si>
  <si>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</si>
  <si>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</si>
  <si>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</si>
  <si>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</si>
  <si>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</si>
  <si>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</si>
  <si>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</si>
  <si>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</si>
  <si>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</si>
  <si>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</si>
  <si>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</si>
  <si>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</si>
  <si>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</si>
  <si>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</si>
  <si>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</si>
  <si>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</si>
  <si>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</si>
  <si>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</si>
  <si>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</si>
  <si>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</si>
  <si>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</si>
  <si>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</si>
  <si>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</si>
  <si>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</si>
  <si>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</si>
  <si>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</si>
  <si>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</si>
  <si>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</si>
  <si>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</si>
  <si>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</si>
  <si>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</si>
  <si>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</si>
  <si>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</si>
  <si>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</si>
  <si>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</si>
  <si>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</si>
  <si>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</si>
  <si>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</si>
  <si>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</si>
  <si>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</si>
  <si>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</si>
  <si>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</si>
  <si>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</si>
  <si>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</si>
  <si>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</si>
  <si>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</si>
  <si>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</si>
  <si>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</si>
  <si>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</si>
  <si>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</si>
  <si>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</si>
  <si>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</si>
  <si>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</si>
  <si>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</si>
  <si>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</si>
  <si>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</si>
  <si>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</si>
  <si>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</si>
  <si>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</si>
  <si>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</si>
  <si>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</si>
  <si>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</si>
  <si>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</si>
  <si>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</si>
  <si>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</si>
  <si>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</si>
  <si>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</si>
  <si>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</si>
  <si>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</si>
  <si>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</si>
  <si>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</si>
  <si>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</si>
  <si>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</si>
  <si>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</si>
  <si>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</si>
  <si>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</si>
  <si>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</si>
  <si>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</si>
  <si>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</si>
  <si>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</si>
  <si>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</si>
  <si>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</si>
  <si>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</si>
  <si>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</si>
  <si>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</si>
  <si>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</si>
  <si>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</si>
  <si>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</si>
  <si>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</si>
  <si>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</si>
  <si>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</si>
  <si>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</si>
  <si>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</si>
  <si>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</si>
  <si>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</si>
  <si>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</si>
  <si>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</si>
  <si>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</si>
  <si>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</si>
  <si>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</si>
  <si>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</si>
  <si>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</si>
  <si>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</si>
  <si>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</si>
  <si>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</si>
  <si>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</si>
  <si>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</si>
  <si>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</si>
  <si>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</si>
  <si>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</si>
  <si>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</si>
  <si>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</si>
  <si>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</si>
  <si>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</si>
  <si>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</si>
  <si>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</si>
  <si>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</si>
  <si>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</si>
  <si>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</si>
  <si>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</si>
  <si>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</si>
  <si>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</si>
  <si>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</si>
  <si>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t>2018-4</t>
    <phoneticPr fontId="30" type="noConversion"/>
  </si>
  <si>
    <t>2018-3</t>
    <phoneticPr fontId="30" type="noConversion"/>
  </si>
  <si>
    <t>2018-2</t>
  </si>
  <si>
    <t>2018-1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</si>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</sst>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cellStyleXfs>
  <cellXfs count="4038">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 fillId="0" borderId="0" xfId="18"/>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180" fontId="69" fillId="0" borderId="67" xfId="0" applyNumberFormat="1" applyFont="1" applyBorder="1" applyAlignment="1" applyProtection="1">
      <alignment horizontal="center" vertical="center" wrapText="1"/>
      <protection locked="0"/>
    </xf>
    <xf numFmtId="180" fontId="69" fillId="0" borderId="55" xfId="0" applyNumberFormat="1" applyFont="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80" fontId="69" fillId="6" borderId="67"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14" fontId="0" fillId="0" borderId="0" xfId="0" applyNumberFormat="1" applyAlignment="1">
      <alignment horizontal="center" vertical="center"/>
    </xf>
    <xf numFmtId="0" fontId="143" fillId="0" borderId="2" xfId="18" applyNumberFormat="1" applyFont="1" applyBorder="1" applyAlignment="1">
      <alignment horizontal="center" vertical="center" wrapText="1"/>
    </xf>
    <xf numFmtId="0" fontId="1" fillId="0" borderId="2" xfId="18" applyFont="1" applyBorder="1" applyAlignment="1">
      <alignment horizontal="center" vertical="center" wrapText="1"/>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185" fontId="81" fillId="16"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34" fillId="11" borderId="11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34" fillId="11" borderId="129"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0" fontId="143" fillId="0" borderId="5" xfId="18" applyFont="1" applyBorder="1" applyAlignment="1">
      <alignment horizontal="center" vertical="center"/>
    </xf>
    <xf numFmtId="0" fontId="143" fillId="0" borderId="9" xfId="18" applyFont="1" applyBorder="1" applyAlignment="1">
      <alignment horizontal="center" vertical="center"/>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a16="http://schemas.microsoft.com/office/drawing/2014/main" xmlns="" id="{B63D919A-E360-4CAB-9A31-A6AF111E7B70}"/>
            </a:ext>
          </a:extLst>
        </xdr:cNvPr>
        <xdr:cNvPicPr>
          <a:picLocks noChangeAspect="1"/>
        </xdr:cNvPicPr>
      </xdr:nvPicPr>
      <xdr:blipFill>
        <a:blip xmlns:r="http://schemas.openxmlformats.org/officeDocument/2006/relationships" r:embed="rId1"/>
        <a:stretch>
          <a:fillRect/>
        </a:stretch>
      </xdr:blipFill>
      <xdr:spPr>
        <a:xfrm>
          <a:off x="561975" y="1123950"/>
          <a:ext cx="6609524" cy="497142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a16="http://schemas.microsoft.com/office/drawing/2014/main" xmlns="" id="{4D3E418F-48BC-40F5-9302-67834BFEF27B}"/>
            </a:ext>
          </a:extLst>
        </xdr:cNvPr>
        <xdr:cNvPicPr>
          <a:picLocks noChangeAspect="1"/>
        </xdr:cNvPicPr>
      </xdr:nvPicPr>
      <xdr:blipFill>
        <a:blip xmlns:r="http://schemas.openxmlformats.org/officeDocument/2006/relationships" r:embed="rId2"/>
        <a:stretch>
          <a:fillRect/>
        </a:stretch>
      </xdr:blipFill>
      <xdr:spPr>
        <a:xfrm>
          <a:off x="7172325" y="1123950"/>
          <a:ext cx="5457143" cy="384761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3-1-0672&#21271;&#20140;&#24066;&#39034;&#20041;&#21306;&#21335;&#27861;&#20449;&#21306;&#21016;&#23478;&#27827;&#26449;&#39034;&#20313;&#19996;&#36335;1&#21495;/&#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Sheet2"/>
    </sheetNames>
    <sheetDataSet>
      <sheetData sheetId="0"/>
      <sheetData sheetId="1">
        <row r="30">
          <cell r="B30">
            <v>468404</v>
          </cell>
        </row>
      </sheetData>
      <sheetData sheetId="2"/>
      <sheetData sheetId="3"/>
      <sheetData sheetId="4"/>
      <sheetData sheetId="5"/>
      <sheetData sheetId="6">
        <row r="27">
          <cell r="G27">
            <v>59666</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4">
          <cell r="G4">
            <v>55680</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剩余法-现房"/>
      <sheetName val="不动产收益法"/>
      <sheetName val="比较法-住宅、综合"/>
      <sheetName val="比较法-公开"/>
      <sheetName val="比较法-特殊（何金峰）"/>
      <sheetName val="比较法-划拨"/>
      <sheetName val="新案例整理1024"/>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I7">
            <v>0.47</v>
          </cell>
        </row>
        <row r="8">
          <cell r="I8">
            <v>0.56999999999999995</v>
          </cell>
        </row>
        <row r="9">
          <cell r="I9">
            <v>0.11</v>
          </cell>
        </row>
        <row r="10">
          <cell r="I10">
            <v>0.23</v>
          </cell>
        </row>
        <row r="11">
          <cell r="I11">
            <v>0.01</v>
          </cell>
        </row>
        <row r="12">
          <cell r="I12">
            <v>0.37</v>
          </cell>
        </row>
        <row r="13">
          <cell r="I13">
            <v>7.0000000000000007E-2</v>
          </cell>
        </row>
        <row r="14">
          <cell r="I14">
            <v>0.24</v>
          </cell>
        </row>
        <row r="15">
          <cell r="I15">
            <v>0.41</v>
          </cell>
        </row>
        <row r="16">
          <cell r="I16">
            <v>-0.25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2023年11月18日（评估专业人员勘察现场之日）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5" thickBot="1">
      <c r="A21" s="2378" t="s">
        <v>1956</v>
      </c>
      <c r="B21" s="2379" t="str">
        <f>'预评函-1'!A28</f>
        <v>——</v>
      </c>
    </row>
    <row r="22" spans="1:48" ht="15"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估价期日：2023年11月18日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8671</v>
      </c>
    </row>
    <row r="47" spans="1:2">
      <c r="A47" s="2356" t="s">
        <v>2006</v>
      </c>
      <c r="B47" s="2357">
        <f ca="1">'预评函-2'!Q5</f>
        <v>8671</v>
      </c>
    </row>
    <row r="48" spans="1:2">
      <c r="A48" s="2356" t="s">
        <v>2007</v>
      </c>
      <c r="B48" s="2357">
        <f ca="1">'预评函-2'!R5</f>
        <v>9312</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5" defaultRowHeight="13.5"/>
  <cols>
    <col min="1" max="16384" width="15.2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45248</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-123.96</v>
      </c>
      <c r="D5" s="3291">
        <f>IF(ISERROR(ROUND(POWER(1+E5,A5-C5)*(POWER(1+E5,C5)-1)/(POWER(1+E5,A5)-1),3)),0,ROUND(POWER(1+E5,A5-C5)*(POWER(1+E5,C5)-1)/(POWER(1+E5,A5)-1),4))</f>
        <v>0</v>
      </c>
      <c r="E5" s="3292"/>
      <c r="F5" s="3285"/>
    </row>
    <row r="6" spans="1:6">
      <c r="A6" s="3290"/>
      <c r="B6" s="3287"/>
      <c r="C6" s="3289">
        <f>ROUNDDOWN(MIN((B6-B3)/365,A6),2)</f>
        <v>-123.96</v>
      </c>
      <c r="D6" s="3291">
        <f>IF(ISERROR(ROUND(POWER(1+E6,A6-C6)*(POWER(1+E6,C6)-1)/(POWER(1+E6,A6)-1),3)),0,ROUND(POWER(1+E6,A6-C6)*(POWER(1+E6,C6)-1)/(POWER(1+E6,A6)-1),4))</f>
        <v>0</v>
      </c>
      <c r="E6" s="3292"/>
      <c r="F6" s="3285"/>
    </row>
    <row r="7" spans="1:6">
      <c r="A7" s="3290"/>
      <c r="B7" s="3287"/>
      <c r="C7" s="3289">
        <f>ROUNDDOWN(MIN((B7-B3)/365,A7),2)</f>
        <v>-123.96</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4.25" thickBot="1">
      <c r="A18" s="3297" t="s">
        <v>2690</v>
      </c>
      <c r="B18" s="3298" t="e">
        <f>ROUND(B17*F11/F12,2)</f>
        <v>#DIV/0!</v>
      </c>
      <c r="C18" s="3298" t="e">
        <f>ROUND(F11/F12,4)</f>
        <v>#DIV/0!</v>
      </c>
      <c r="D18" s="3299"/>
      <c r="E18" s="3299"/>
      <c r="F18" s="3300"/>
    </row>
    <row r="19" spans="1:7" ht="14.2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4.2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Normal="100" zoomScaleSheetLayoutView="100" workbookViewId="0">
      <selection activeCell="E8" sqref="E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60" t="str">
        <f>IF(B10="北京市","北京市",C10)&amp;F10&amp;A17&amp;"国有建设用地使用权"&amp;B9&amp;"预评估"</f>
        <v>北京市划拨国有建设用地使用权市场价格预评估</v>
      </c>
      <c r="C1" s="3761"/>
      <c r="D1" s="3761"/>
      <c r="E1" s="3761"/>
      <c r="F1" s="3761"/>
      <c r="G1" s="3761"/>
      <c r="H1" s="3761"/>
      <c r="I1" s="3762"/>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45248</v>
      </c>
      <c r="C3" s="2738" t="s">
        <v>1513</v>
      </c>
      <c r="D3" s="1465">
        <f>B3</f>
        <v>45248</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766" t="s">
        <v>1464</v>
      </c>
      <c r="E8" s="1628"/>
      <c r="F8" s="1475"/>
      <c r="G8" s="2816"/>
      <c r="H8" s="2816"/>
      <c r="I8" s="2819"/>
      <c r="J8" s="2815"/>
      <c r="K8" s="2798"/>
      <c r="L8" s="2794"/>
      <c r="M8" s="2794"/>
      <c r="N8" s="2795"/>
      <c r="O8" s="2796"/>
      <c r="P8" s="2795"/>
      <c r="Q8" s="2795"/>
      <c r="R8" s="2795"/>
      <c r="S8" s="2795"/>
      <c r="T8" s="2795"/>
      <c r="U8" s="2795"/>
    </row>
    <row r="9" spans="1:21" ht="15" thickBot="1">
      <c r="A9" s="2740" t="s">
        <v>1463</v>
      </c>
      <c r="B9" s="1476" t="s">
        <v>3262</v>
      </c>
      <c r="C9" s="1477"/>
      <c r="D9" s="3767"/>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63"/>
      <c r="C12" s="3764"/>
      <c r="D12" s="3765"/>
      <c r="E12" s="1494" t="s">
        <v>1579</v>
      </c>
      <c r="F12" s="3781" t="s">
        <v>2163</v>
      </c>
      <c r="G12" s="3782"/>
      <c r="H12" s="3782"/>
      <c r="I12" s="3783"/>
      <c r="J12" s="2815"/>
      <c r="K12" s="2798"/>
      <c r="L12" s="2794"/>
      <c r="M12" s="2794"/>
      <c r="N12" s="2795"/>
      <c r="O12" s="2796"/>
      <c r="P12" s="2795"/>
      <c r="Q12" s="2795"/>
      <c r="R12" s="2795"/>
      <c r="S12" s="2795"/>
      <c r="T12" s="2795"/>
      <c r="U12" s="2795"/>
    </row>
    <row r="13" spans="1:21">
      <c r="A13" s="1485" t="s">
        <v>1577</v>
      </c>
      <c r="B13" s="3763"/>
      <c r="C13" s="3764"/>
      <c r="D13" s="3765"/>
      <c r="E13" s="1494" t="s">
        <v>1579</v>
      </c>
      <c r="F13" s="3781" t="s">
        <v>2164</v>
      </c>
      <c r="G13" s="3782"/>
      <c r="H13" s="3782"/>
      <c r="I13" s="3783"/>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2.75">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778"/>
      <c r="E20" s="3779"/>
      <c r="F20" s="3779"/>
      <c r="G20" s="3779"/>
      <c r="H20" s="3779"/>
      <c r="I20" s="3780"/>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768" t="s">
        <v>1516</v>
      </c>
      <c r="F21" s="3769"/>
      <c r="G21" s="3769"/>
      <c r="H21" s="3769"/>
      <c r="I21" s="3770"/>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768" t="s">
        <v>2165</v>
      </c>
      <c r="F22" s="3769"/>
      <c r="G22" s="3769"/>
      <c r="H22" s="3769"/>
      <c r="I22" s="3770"/>
      <c r="J22" s="2815"/>
      <c r="K22" s="2798"/>
      <c r="L22" s="2794"/>
      <c r="M22" s="2794"/>
      <c r="N22" s="2795"/>
      <c r="O22" s="2796"/>
      <c r="P22" s="2795"/>
      <c r="Q22" s="2795"/>
      <c r="R22" s="2795"/>
      <c r="S22" s="2795"/>
      <c r="T22" s="2795"/>
      <c r="U22" s="2795"/>
    </row>
    <row r="23" spans="1:21" ht="29.25"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71" t="s">
        <v>1484</v>
      </c>
      <c r="C24" s="3772"/>
      <c r="D24" s="3773" t="s">
        <v>1485</v>
      </c>
      <c r="E24" s="3774"/>
      <c r="F24" s="1502" t="s">
        <v>1486</v>
      </c>
      <c r="G24" s="2815"/>
      <c r="H24" s="2815"/>
      <c r="I24" s="2819"/>
      <c r="J24" s="2815"/>
      <c r="K24" s="375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5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5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45" t="s">
        <v>1519</v>
      </c>
      <c r="B31" s="1553" t="s">
        <v>1520</v>
      </c>
      <c r="C31" s="3784"/>
      <c r="D31" s="3785"/>
      <c r="E31" s="2815"/>
      <c r="F31" s="2815"/>
      <c r="G31" s="2815"/>
      <c r="H31" s="2815"/>
      <c r="I31" s="2819"/>
      <c r="J31" s="2815"/>
      <c r="K31" s="2801"/>
      <c r="L31" s="2795"/>
      <c r="M31" s="2795"/>
      <c r="N31" s="2795"/>
      <c r="O31" s="2795"/>
      <c r="P31" s="2795"/>
      <c r="Q31" s="2795"/>
      <c r="R31" s="2795"/>
      <c r="S31" s="2795"/>
      <c r="T31" s="2795"/>
      <c r="U31" s="2795"/>
    </row>
    <row r="32" spans="1:21">
      <c r="A32" s="3745"/>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45"/>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46"/>
      <c r="B34" s="1464" t="s">
        <v>1523</v>
      </c>
      <c r="C34" s="3747"/>
      <c r="D34" s="3748"/>
      <c r="E34" s="2815"/>
      <c r="F34" s="2815"/>
      <c r="G34" s="2815"/>
      <c r="H34" s="2815"/>
      <c r="I34" s="2819"/>
      <c r="J34" s="2815"/>
      <c r="K34" s="2801"/>
      <c r="L34" s="2795"/>
      <c r="M34" s="2795"/>
      <c r="N34" s="2795"/>
      <c r="O34" s="2795"/>
      <c r="P34" s="2795"/>
      <c r="Q34" s="2795"/>
      <c r="R34" s="2795"/>
      <c r="S34" s="2795"/>
      <c r="T34" s="2795"/>
      <c r="U34" s="2795"/>
    </row>
    <row r="35" spans="1:28">
      <c r="A35" s="3749" t="s">
        <v>785</v>
      </c>
      <c r="B35" s="1516"/>
      <c r="C35" s="1562" t="str">
        <f>IF(B35="场地平整","——","具体情况：")</f>
        <v>具体情况：</v>
      </c>
      <c r="D35" s="3751"/>
      <c r="E35" s="3752"/>
      <c r="F35" s="3752"/>
      <c r="G35" s="3752"/>
      <c r="H35" s="3752"/>
      <c r="I35" s="3753"/>
      <c r="J35" s="2815"/>
      <c r="K35" s="2802"/>
      <c r="L35" s="2794"/>
      <c r="M35" s="2794"/>
      <c r="N35" s="2795"/>
      <c r="O35" s="2796"/>
      <c r="P35" s="2795"/>
      <c r="Q35" s="2795"/>
      <c r="R35" s="2795"/>
      <c r="S35" s="2795"/>
      <c r="T35" s="2795"/>
      <c r="U35" s="2795"/>
    </row>
    <row r="36" spans="1:28">
      <c r="A36" s="3745"/>
      <c r="B36" s="3754" t="s">
        <v>1572</v>
      </c>
      <c r="C36" s="3755"/>
      <c r="D36" s="1578"/>
      <c r="E36" s="3756"/>
      <c r="F36" s="3756"/>
      <c r="G36" s="1485" t="str">
        <f>IF(B35="场地未平整","估价结果处理","")</f>
        <v/>
      </c>
      <c r="H36" s="3757"/>
      <c r="I36" s="3757"/>
      <c r="J36" s="2815"/>
      <c r="K36" s="2802"/>
      <c r="L36" s="2794"/>
      <c r="M36" s="2794"/>
      <c r="N36" s="2795"/>
      <c r="O36" s="2796"/>
      <c r="P36" s="2795"/>
      <c r="Q36" s="2795"/>
      <c r="R36" s="2795"/>
      <c r="S36" s="2795"/>
      <c r="T36" s="2795"/>
      <c r="U36" s="2795"/>
    </row>
    <row r="37" spans="1:28" ht="28.5">
      <c r="A37" s="3745"/>
      <c r="B37" s="3775"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45"/>
      <c r="B38" s="3776"/>
      <c r="C38" s="1472" t="s">
        <v>788</v>
      </c>
      <c r="D38" s="1577">
        <f>ROUNDDOWN(MIN(('数据-取费表'!$B$2-D37)/365,D34),1)</f>
        <v>123.9</v>
      </c>
      <c r="E38" s="1521" t="s">
        <v>789</v>
      </c>
      <c r="F38" s="2815"/>
      <c r="G38" s="2815"/>
      <c r="H38" s="2815"/>
      <c r="I38" s="2819"/>
      <c r="J38" s="2815"/>
      <c r="K38" s="2802"/>
      <c r="L38" s="2795"/>
      <c r="M38" s="2795"/>
      <c r="N38" s="2795"/>
      <c r="O38" s="2795"/>
      <c r="P38" s="2795"/>
      <c r="Q38" s="2795"/>
      <c r="R38" s="2795"/>
      <c r="S38" s="2795"/>
      <c r="T38" s="2795"/>
      <c r="U38" s="2795"/>
    </row>
    <row r="39" spans="1:28">
      <c r="A39" s="3746"/>
      <c r="B39" s="3777"/>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58" t="s">
        <v>1503</v>
      </c>
      <c r="T40" s="1525" t="str">
        <f>NUMBERSTRING(7-K40,1)&amp;"通"</f>
        <v>七通</v>
      </c>
      <c r="U40" s="2795"/>
    </row>
    <row r="41" spans="1:28">
      <c r="A41" s="1466"/>
      <c r="B41" s="3750" t="s">
        <v>1250</v>
      </c>
      <c r="C41" s="3750"/>
      <c r="D41" s="3750"/>
      <c r="E41" s="3750"/>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58"/>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95" t="s">
        <v>169</v>
      </c>
      <c r="B2" s="3795"/>
      <c r="C2" s="3795"/>
      <c r="D2" s="1729" t="s">
        <v>170</v>
      </c>
      <c r="E2" s="102" t="s">
        <v>171</v>
      </c>
      <c r="F2" s="2824"/>
      <c r="G2" s="1096"/>
      <c r="H2" s="1097"/>
      <c r="I2" s="1098" t="s">
        <v>795</v>
      </c>
      <c r="J2" s="2824"/>
      <c r="K2" s="2824"/>
      <c r="L2" s="2824"/>
      <c r="M2" s="2824"/>
      <c r="N2" s="2824"/>
      <c r="O2" s="2824"/>
      <c r="P2" s="2824"/>
    </row>
    <row r="3" spans="1:16" ht="15.75" thickBot="1">
      <c r="A3" s="3796" t="s">
        <v>172</v>
      </c>
      <c r="B3" s="3796"/>
      <c r="C3" s="3796"/>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5">
      <c r="A4" s="3797"/>
      <c r="B4" s="3798"/>
      <c r="C4" s="3799"/>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c r="A5" s="106" t="s">
        <v>173</v>
      </c>
      <c r="B5" s="3800" t="s">
        <v>196</v>
      </c>
      <c r="C5" s="3800"/>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800" t="s">
        <v>174</v>
      </c>
      <c r="C6" s="3800"/>
      <c r="D6" s="107">
        <f>ROUND($D$3*E6/$E$3,2)</f>
        <v>10738.85</v>
      </c>
      <c r="E6" s="108">
        <f>E3-E5</f>
        <v>10738.85</v>
      </c>
      <c r="F6" s="2824"/>
      <c r="G6" s="1099"/>
      <c r="H6" s="266" t="s">
        <v>798</v>
      </c>
      <c r="I6" s="1730">
        <f>ROUND(F31/D31,2)</f>
        <v>1</v>
      </c>
      <c r="J6" s="2824"/>
      <c r="K6" s="2824"/>
      <c r="L6" s="2824"/>
      <c r="M6" s="2824"/>
      <c r="N6" s="2824"/>
      <c r="O6" s="2824"/>
      <c r="P6" s="2824"/>
    </row>
    <row r="7" spans="1:16" ht="15">
      <c r="A7" s="3792"/>
      <c r="B7" s="3793"/>
      <c r="C7" s="3794"/>
      <c r="D7" s="104" t="s">
        <v>170</v>
      </c>
      <c r="E7" s="110" t="s">
        <v>197</v>
      </c>
      <c r="F7" s="2824"/>
      <c r="G7" s="1055" t="s">
        <v>1180</v>
      </c>
      <c r="H7" s="1056"/>
      <c r="I7" s="1631"/>
      <c r="J7" s="2824"/>
      <c r="K7" s="2824"/>
      <c r="L7" s="2824"/>
      <c r="M7" s="2824"/>
      <c r="N7" s="2824"/>
      <c r="O7" s="2824"/>
      <c r="P7" s="2824"/>
    </row>
    <row r="8" spans="1:16">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10738.85</v>
      </c>
      <c r="E16" s="116">
        <f>SUM(E8:E15)</f>
        <v>10738.85</v>
      </c>
      <c r="F16" s="2824"/>
      <c r="G16" s="2825"/>
      <c r="H16" s="930" t="s">
        <v>185</v>
      </c>
      <c r="I16" s="931"/>
      <c r="J16" s="1738"/>
      <c r="K16" s="3786" t="s">
        <v>1849</v>
      </c>
      <c r="L16" s="3787"/>
      <c r="M16" s="3787"/>
      <c r="N16" s="3787"/>
      <c r="O16" s="3787"/>
      <c r="P16" s="3788"/>
    </row>
    <row r="17" spans="1:19" ht="15">
      <c r="A17" s="117" t="s">
        <v>182</v>
      </c>
      <c r="B17" s="118" t="s">
        <v>183</v>
      </c>
      <c r="C17" s="2016" t="s">
        <v>1670</v>
      </c>
      <c r="D17" s="104" t="s">
        <v>170</v>
      </c>
      <c r="E17" s="120" t="s">
        <v>171</v>
      </c>
      <c r="F17" s="121"/>
      <c r="G17" s="1225"/>
      <c r="H17" s="932" t="s">
        <v>184</v>
      </c>
      <c r="I17" s="933" t="s">
        <v>1669</v>
      </c>
      <c r="J17" s="1738"/>
      <c r="K17" s="3789" t="s">
        <v>1850</v>
      </c>
      <c r="L17" s="3790"/>
      <c r="M17" s="3791"/>
      <c r="N17" s="3789" t="s">
        <v>1851</v>
      </c>
      <c r="O17" s="3790"/>
      <c r="P17" s="3791"/>
      <c r="R17" s="2017" t="s">
        <v>1668</v>
      </c>
      <c r="S17" s="137"/>
    </row>
    <row r="18" spans="1:19" ht="15">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c r="A19" s="129"/>
      <c r="B19" s="111" t="s">
        <v>191</v>
      </c>
      <c r="C19" s="2496" t="s">
        <v>3301</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7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8.6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45248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3300</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成本逼近法!C13</f>
        <v>338.27379999999999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7" t="s">
        <v>3299</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801" t="s">
        <v>1198</v>
      </c>
      <c r="B1" s="3802"/>
      <c r="C1" s="3802"/>
      <c r="D1" s="3802"/>
      <c r="E1" s="3802"/>
      <c r="F1" s="3802"/>
      <c r="G1" s="3802"/>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2182</v>
      </c>
      <c r="D3" s="2869"/>
      <c r="E3" s="2870" t="s">
        <v>1201</v>
      </c>
      <c r="F3" s="2871" t="s">
        <v>1189</v>
      </c>
      <c r="G3" s="3682" t="s">
        <v>3312</v>
      </c>
      <c r="H3" s="2865"/>
      <c r="I3" s="2865"/>
      <c r="J3" s="2865"/>
      <c r="K3" s="2865"/>
      <c r="L3" s="2865"/>
      <c r="M3" s="2865"/>
      <c r="N3" s="2865"/>
      <c r="O3" s="2865"/>
      <c r="P3" s="2865"/>
      <c r="Q3" s="2865"/>
      <c r="R3" s="2865"/>
    </row>
    <row r="4" spans="1:18" ht="40.5">
      <c r="A4" s="2870"/>
      <c r="B4" s="2872" t="s">
        <v>1202</v>
      </c>
      <c r="C4" s="2873" t="s">
        <v>2183</v>
      </c>
      <c r="D4" s="2869"/>
      <c r="E4" s="2874"/>
      <c r="F4" s="2875" t="s">
        <v>1203</v>
      </c>
      <c r="G4" s="3683" t="s">
        <v>2180</v>
      </c>
      <c r="H4" s="2865"/>
      <c r="I4" s="2865"/>
      <c r="J4" s="2865"/>
      <c r="K4" s="2865"/>
      <c r="L4" s="2865"/>
      <c r="M4" s="2865"/>
      <c r="N4" s="2865"/>
      <c r="O4" s="2865"/>
      <c r="P4" s="2865"/>
      <c r="Q4" s="2865"/>
      <c r="R4" s="2865"/>
    </row>
    <row r="5" spans="1:18" ht="41.25">
      <c r="A5" s="2870"/>
      <c r="B5" s="2872" t="s">
        <v>1204</v>
      </c>
      <c r="C5" s="2873" t="s">
        <v>2184</v>
      </c>
      <c r="D5" s="2869"/>
      <c r="E5" s="2874"/>
      <c r="F5" s="2872" t="s">
        <v>1829</v>
      </c>
      <c r="G5" s="3684" t="s">
        <v>3313</v>
      </c>
      <c r="H5" s="2865"/>
      <c r="I5" s="2865"/>
      <c r="J5" s="2865"/>
      <c r="K5" s="2865"/>
      <c r="L5" s="2865"/>
      <c r="M5" s="2865"/>
      <c r="N5" s="2865"/>
      <c r="O5" s="2865"/>
      <c r="P5" s="2865"/>
      <c r="Q5" s="2865"/>
      <c r="R5" s="2865"/>
    </row>
    <row r="6" spans="1:18" ht="40.5">
      <c r="A6" s="2870"/>
      <c r="B6" s="2872" t="s">
        <v>1190</v>
      </c>
      <c r="C6" s="2876" t="s">
        <v>2180</v>
      </c>
      <c r="D6" s="2869"/>
      <c r="E6" s="2874"/>
      <c r="F6" s="2872" t="s">
        <v>1830</v>
      </c>
      <c r="G6" s="3684" t="s">
        <v>1502</v>
      </c>
      <c r="H6" s="2865"/>
      <c r="I6" s="2865"/>
      <c r="J6" s="2865"/>
      <c r="K6" s="2865"/>
      <c r="L6" s="2865"/>
      <c r="M6" s="2865"/>
      <c r="N6" s="2865"/>
      <c r="O6" s="2865"/>
      <c r="P6" s="2865"/>
      <c r="Q6" s="2865"/>
      <c r="R6" s="2865"/>
    </row>
    <row r="7" spans="1:18" ht="41.25" thickBot="1">
      <c r="A7" s="2870"/>
      <c r="B7" s="2872" t="s">
        <v>1829</v>
      </c>
      <c r="C7" s="2876" t="s">
        <v>2181</v>
      </c>
      <c r="D7" s="2877"/>
      <c r="E7" s="2878"/>
      <c r="F7" s="2879" t="s">
        <v>1205</v>
      </c>
      <c r="G7" s="3685" t="s">
        <v>3314</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7">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0.5">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7">
      <c r="A19" s="2910"/>
      <c r="B19" s="2914" t="s">
        <v>1194</v>
      </c>
      <c r="C19" s="2916"/>
      <c r="D19" s="2869"/>
      <c r="E19" s="2913"/>
      <c r="F19" s="2872" t="s">
        <v>1829</v>
      </c>
      <c r="G19" s="2915" t="str">
        <f>G5</f>
        <v>估价对象所在区域公共配套设施齐备情况好</v>
      </c>
    </row>
    <row r="20" spans="1:7" ht="27">
      <c r="A20" s="2910"/>
      <c r="B20" s="2914" t="s">
        <v>1195</v>
      </c>
      <c r="C20" s="2912" t="str">
        <f>C9</f>
        <v>区域自然环境：；人文环境；综合评价环境状况一般</v>
      </c>
      <c r="D20" s="2877"/>
      <c r="E20" s="2913"/>
      <c r="F20" s="2872" t="s">
        <v>1830</v>
      </c>
      <c r="G20" s="2915" t="str">
        <f>G6</f>
        <v>七通</v>
      </c>
    </row>
    <row r="21" spans="1:7" ht="27">
      <c r="A21" s="2910"/>
      <c r="B21" s="2872" t="s">
        <v>1829</v>
      </c>
      <c r="C21" s="2915" t="str">
        <f>C7</f>
        <v>估价对象所在区域公共配套设施齐备情况</v>
      </c>
      <c r="D21" s="2869"/>
      <c r="E21" s="2913"/>
      <c r="F21" s="2914" t="s">
        <v>1196</v>
      </c>
      <c r="G21" s="2917"/>
    </row>
    <row r="22" spans="1:7" ht="14.25">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6" t="s">
        <v>3315</v>
      </c>
    </row>
    <row r="24" spans="1:7" ht="14.2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8" sqref="D28"/>
    </sheetView>
  </sheetViews>
  <sheetFormatPr defaultColWidth="14.625" defaultRowHeight="13.5"/>
  <cols>
    <col min="1" max="1" width="24.375" style="2925" customWidth="1"/>
    <col min="2" max="16384" width="14.625" style="2925"/>
  </cols>
  <sheetData>
    <row r="1" spans="1:10" ht="16.5">
      <c r="A1" s="2924" t="s">
        <v>2118</v>
      </c>
      <c r="B1" s="2924">
        <f>SUM(B14:B23)</f>
        <v>0</v>
      </c>
      <c r="C1" s="2933"/>
      <c r="D1" s="2933"/>
      <c r="E1" s="2933"/>
      <c r="F1" s="2933"/>
      <c r="G1" s="2934"/>
      <c r="H1" s="2934"/>
      <c r="I1" s="2934"/>
      <c r="J1" s="2934"/>
    </row>
    <row r="2" spans="1:10" ht="16.5">
      <c r="A2" s="2924" t="s">
        <v>2119</v>
      </c>
      <c r="B2" s="2924">
        <f>SUM(C14:C23)</f>
        <v>0</v>
      </c>
      <c r="C2" s="2933"/>
      <c r="D2" s="2933"/>
      <c r="E2" s="2933"/>
      <c r="F2" s="2933"/>
      <c r="G2" s="2934"/>
      <c r="H2" s="2934"/>
      <c r="I2" s="2934"/>
      <c r="J2" s="2934"/>
    </row>
    <row r="3" spans="1:10" ht="16.5">
      <c r="A3" s="2924" t="s">
        <v>2120</v>
      </c>
      <c r="B3" s="2926">
        <f>项目基本情况!D3</f>
        <v>45248</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SUM(D14:D23)</f>
        <v>0</v>
      </c>
      <c r="C5" s="2924" t="e">
        <f>ROUND(B5*10000/$B$1,0)</f>
        <v>#DIV/0!</v>
      </c>
      <c r="D5" s="2924" t="e">
        <f>ROUND(B5*10000/$B$2,0)</f>
        <v>#DIV/0!</v>
      </c>
      <c r="E5" s="2933"/>
      <c r="F5" s="2933"/>
      <c r="G5" s="2934"/>
      <c r="H5" s="2934"/>
      <c r="I5" s="2934"/>
      <c r="J5" s="2934"/>
    </row>
    <row r="6" spans="1:10" ht="16.5">
      <c r="A6" s="2924" t="s">
        <v>2126</v>
      </c>
      <c r="B6" s="2924">
        <f>SUM(G14:G23)</f>
        <v>0</v>
      </c>
      <c r="C6" s="2924" t="e">
        <f>ROUND(B6*10000/$B$1,0)</f>
        <v>#DIV/0!</v>
      </c>
      <c r="D6" s="2924" t="e">
        <f>ROUND(B6*10000/$B$2,0)</f>
        <v>#DIV/0!</v>
      </c>
      <c r="E6" s="2933"/>
      <c r="F6" s="2933"/>
      <c r="G6" s="2934"/>
      <c r="H6" s="2934"/>
      <c r="I6" s="2934"/>
      <c r="J6" s="2934"/>
    </row>
    <row r="7" spans="1:10" ht="16.5">
      <c r="A7" s="2924" t="s">
        <v>2127</v>
      </c>
      <c r="B7" s="2924">
        <f>SUM(H14:H23)</f>
        <v>0</v>
      </c>
      <c r="C7" s="2924" t="e">
        <f>ROUND(B7*10000/$B$1,0)</f>
        <v>#DIV/0!</v>
      </c>
      <c r="D7" s="2924" t="e">
        <f>ROUND(B7*10000/$B$2,0)</f>
        <v>#DIV/0!</v>
      </c>
      <c r="E7" s="2933"/>
      <c r="F7" s="2933"/>
      <c r="G7" s="2934"/>
      <c r="H7" s="2934"/>
      <c r="I7" s="2934"/>
      <c r="J7" s="2934"/>
    </row>
    <row r="8" spans="1:10" ht="16.5">
      <c r="A8" s="2924" t="s">
        <v>2128</v>
      </c>
      <c r="B8" s="2924">
        <f>SUM(I14:I23)</f>
        <v>0</v>
      </c>
      <c r="C8" s="2924" t="e">
        <f>ROUND(B8*10000/$B$1,0)</f>
        <v>#DIV/0!</v>
      </c>
      <c r="D8" s="2924" t="e">
        <f>ROUND(B8*10000/$B$2,0)</f>
        <v>#DIV/0!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c r="C14" s="2930"/>
      <c r="D14" s="2930"/>
      <c r="E14" s="2930" t="e">
        <f>ROUND(D14*10000/B14,0)</f>
        <v>#DIV/0!</v>
      </c>
      <c r="F14" s="2930" t="e">
        <f>ROUND(D14*10000/C14,0)</f>
        <v>#DIV/0!</v>
      </c>
      <c r="G14" s="2930"/>
      <c r="H14" s="2930"/>
      <c r="I14" s="2930"/>
      <c r="J14" s="2934"/>
    </row>
    <row r="15" spans="1:10" ht="16.5">
      <c r="A15" s="2929" t="s">
        <v>2135</v>
      </c>
      <c r="B15" s="2931"/>
      <c r="C15" s="2931"/>
      <c r="D15" s="2931"/>
      <c r="E15" s="2930" t="e">
        <f t="shared" ref="E15:E23" si="0">ROUND(D15*10000/B15,0)</f>
        <v>#DIV/0!</v>
      </c>
      <c r="F15" s="2930" t="e">
        <f t="shared" ref="F15:F23" si="1">ROUND(D15*10000/C15,0)</f>
        <v>#DIV/0!</v>
      </c>
      <c r="G15" s="2513"/>
      <c r="H15" s="2513"/>
      <c r="I15" s="2931"/>
      <c r="J15" s="2934"/>
    </row>
    <row r="16" spans="1:10" ht="16.5">
      <c r="A16" s="2929" t="s">
        <v>2136</v>
      </c>
      <c r="B16" s="2931"/>
      <c r="C16" s="2931"/>
      <c r="D16" s="2931"/>
      <c r="E16" s="2930" t="e">
        <f t="shared" si="0"/>
        <v>#DIV/0!</v>
      </c>
      <c r="F16" s="2930" t="e">
        <f t="shared" si="1"/>
        <v>#DIV/0!</v>
      </c>
      <c r="G16" s="2513"/>
      <c r="H16" s="2513"/>
      <c r="I16" s="2931"/>
      <c r="J16" s="2934"/>
    </row>
    <row r="17" spans="1:10" ht="16.5">
      <c r="A17" s="2929" t="s">
        <v>2137</v>
      </c>
      <c r="B17" s="2931"/>
      <c r="C17" s="2931"/>
      <c r="D17" s="2931"/>
      <c r="E17" s="2930" t="e">
        <f t="shared" si="0"/>
        <v>#DIV/0!</v>
      </c>
      <c r="F17" s="2930" t="e">
        <f t="shared" si="1"/>
        <v>#DIV/0!</v>
      </c>
      <c r="G17" s="2513"/>
      <c r="H17" s="2513"/>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47" t="str">
        <f>项目基本情况!K2</f>
        <v>北京市划拨国有建设用地使用权</v>
      </c>
      <c r="B2" s="3848"/>
      <c r="C2" s="3849"/>
      <c r="D2" s="3849"/>
      <c r="E2" s="3849"/>
      <c r="F2" s="3849"/>
      <c r="G2" s="3848"/>
      <c r="H2" s="3848"/>
      <c r="I2" s="3850"/>
      <c r="J2" s="1753"/>
      <c r="K2" s="1752"/>
      <c r="L2" s="1752"/>
      <c r="M2" s="1752"/>
      <c r="N2" s="1752"/>
      <c r="O2" s="1752"/>
      <c r="P2" s="1752"/>
      <c r="Q2" s="1752"/>
      <c r="R2" s="1752"/>
      <c r="S2" s="1752"/>
      <c r="T2" s="1752"/>
      <c r="U2" s="1752"/>
      <c r="V2" s="1752"/>
    </row>
    <row r="3" spans="1:22" ht="14.25">
      <c r="A3" s="3840" t="s">
        <v>264</v>
      </c>
      <c r="B3" s="3841"/>
      <c r="C3" s="3841"/>
      <c r="D3" s="3841"/>
      <c r="E3" s="3841"/>
      <c r="F3" s="3841"/>
      <c r="G3" s="3841"/>
      <c r="H3" s="3841"/>
      <c r="I3" s="3841"/>
      <c r="J3" s="1753"/>
      <c r="K3" s="1752"/>
      <c r="L3" s="1752"/>
      <c r="M3" s="1752"/>
      <c r="N3" s="1752"/>
      <c r="O3" s="1752"/>
      <c r="P3" s="1752"/>
      <c r="Q3" s="1752"/>
      <c r="R3" s="1752"/>
      <c r="S3" s="1752"/>
      <c r="T3" s="1752"/>
      <c r="U3" s="1752"/>
      <c r="V3" s="1752"/>
    </row>
    <row r="4" spans="1:22" ht="14.25">
      <c r="A4" s="249" t="s">
        <v>265</v>
      </c>
      <c r="B4" s="250" t="s">
        <v>266</v>
      </c>
      <c r="C4" s="251" t="s">
        <v>3385</v>
      </c>
      <c r="D4" s="251" t="s">
        <v>3386</v>
      </c>
      <c r="E4" s="3806" t="s">
        <v>267</v>
      </c>
      <c r="F4" s="3807"/>
      <c r="G4" s="3807"/>
      <c r="H4" s="3807"/>
      <c r="I4" s="3842"/>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5" t="s">
        <v>268</v>
      </c>
      <c r="B5" s="3834">
        <v>25</v>
      </c>
      <c r="C5" s="3832">
        <v>7</v>
      </c>
      <c r="D5" s="3836">
        <f>10-C5</f>
        <v>3</v>
      </c>
      <c r="E5" s="252" t="s">
        <v>269</v>
      </c>
      <c r="F5" s="253"/>
      <c r="G5" s="253"/>
      <c r="H5" s="253"/>
      <c r="I5" s="254"/>
      <c r="J5" s="1753"/>
      <c r="K5" s="1752"/>
      <c r="L5" s="1752"/>
      <c r="M5" s="1752"/>
      <c r="N5" s="1752"/>
      <c r="O5" s="1752"/>
      <c r="P5" s="1752"/>
      <c r="Q5" s="1752"/>
      <c r="R5" s="1752"/>
      <c r="S5" s="1752"/>
      <c r="T5" s="1752"/>
      <c r="U5" s="1752"/>
      <c r="V5" s="1752"/>
    </row>
    <row r="6" spans="1:22" ht="14.25">
      <c r="A6" s="3805"/>
      <c r="B6" s="3834"/>
      <c r="C6" s="3835"/>
      <c r="D6" s="3836"/>
      <c r="E6" s="252" t="s">
        <v>270</v>
      </c>
      <c r="F6" s="253"/>
      <c r="G6" s="253"/>
      <c r="H6" s="253"/>
      <c r="I6" s="254"/>
      <c r="J6" s="1753"/>
      <c r="K6" s="1752"/>
      <c r="L6" s="1752"/>
      <c r="M6" s="1752"/>
      <c r="N6" s="1752"/>
      <c r="O6" s="1752"/>
      <c r="P6" s="1752"/>
      <c r="Q6" s="1752"/>
      <c r="R6" s="1752"/>
      <c r="S6" s="1752"/>
      <c r="T6" s="1752"/>
      <c r="U6" s="1752"/>
      <c r="V6" s="1752"/>
    </row>
    <row r="7" spans="1:22" ht="14.25">
      <c r="A7" s="3805"/>
      <c r="B7" s="3834"/>
      <c r="C7" s="3833"/>
      <c r="D7" s="3836"/>
      <c r="E7" s="252" t="s">
        <v>271</v>
      </c>
      <c r="F7" s="253"/>
      <c r="G7" s="253"/>
      <c r="H7" s="253"/>
      <c r="I7" s="254"/>
      <c r="J7" s="1753"/>
      <c r="K7" s="1752"/>
      <c r="L7" s="1752"/>
      <c r="M7" s="1752"/>
      <c r="N7" s="1752"/>
      <c r="O7" s="1752"/>
      <c r="P7" s="1752"/>
      <c r="Q7" s="1752"/>
      <c r="R7" s="1752"/>
      <c r="S7" s="1752"/>
      <c r="T7" s="1752"/>
      <c r="U7" s="1752"/>
      <c r="V7" s="1752"/>
    </row>
    <row r="8" spans="1:22" ht="14.25">
      <c r="A8" s="3805" t="s">
        <v>272</v>
      </c>
      <c r="B8" s="3834">
        <v>15</v>
      </c>
      <c r="C8" s="3832"/>
      <c r="D8" s="3836"/>
      <c r="E8" s="252" t="s">
        <v>273</v>
      </c>
      <c r="F8" s="253"/>
      <c r="G8" s="253"/>
      <c r="H8" s="253"/>
      <c r="I8" s="254"/>
      <c r="J8" s="1753"/>
      <c r="K8" s="1752"/>
      <c r="L8" s="1752"/>
      <c r="M8" s="1752"/>
      <c r="N8" s="1752"/>
      <c r="O8" s="1752"/>
      <c r="P8" s="1752"/>
      <c r="Q8" s="1752"/>
      <c r="R8" s="1752"/>
      <c r="S8" s="1752"/>
      <c r="T8" s="1752"/>
      <c r="U8" s="1752"/>
      <c r="V8" s="1752"/>
    </row>
    <row r="9" spans="1:22" ht="14.25">
      <c r="A9" s="3805"/>
      <c r="B9" s="3834"/>
      <c r="C9" s="3833"/>
      <c r="D9" s="3836"/>
      <c r="E9" s="252" t="s">
        <v>274</v>
      </c>
      <c r="F9" s="253"/>
      <c r="G9" s="253"/>
      <c r="H9" s="253"/>
      <c r="I9" s="254"/>
      <c r="J9" s="1753"/>
      <c r="K9" s="1752"/>
      <c r="L9" s="1752"/>
      <c r="M9" s="1752"/>
      <c r="N9" s="1752"/>
      <c r="O9" s="1752"/>
      <c r="P9" s="1752"/>
      <c r="Q9" s="1752"/>
      <c r="R9" s="1752"/>
      <c r="S9" s="1752"/>
      <c r="T9" s="1752"/>
      <c r="U9" s="1752"/>
      <c r="V9" s="1752"/>
    </row>
    <row r="10" spans="1:22" ht="14.25">
      <c r="A10" s="3805" t="s">
        <v>275</v>
      </c>
      <c r="B10" s="3834">
        <v>15</v>
      </c>
      <c r="C10" s="3832"/>
      <c r="D10" s="3836"/>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5"/>
      <c r="B11" s="3834"/>
      <c r="C11" s="3833"/>
      <c r="D11" s="3836"/>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5" t="s">
        <v>278</v>
      </c>
      <c r="B12" s="3834">
        <v>15</v>
      </c>
      <c r="C12" s="3832"/>
      <c r="D12" s="3836"/>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5"/>
      <c r="B13" s="3834"/>
      <c r="C13" s="3833"/>
      <c r="D13" s="3836"/>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5" t="s">
        <v>281</v>
      </c>
      <c r="B14" s="3834">
        <v>30</v>
      </c>
      <c r="C14" s="3832"/>
      <c r="D14" s="3836"/>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5"/>
      <c r="B15" s="3834"/>
      <c r="C15" s="3835"/>
      <c r="D15" s="3836"/>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5"/>
      <c r="B16" s="3834"/>
      <c r="C16" s="3833"/>
      <c r="D16" s="383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37" t="s">
        <v>2252</v>
      </c>
      <c r="F18" s="3838"/>
      <c r="G18" s="3838"/>
      <c r="H18" s="3838"/>
      <c r="I18" s="383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8261</v>
      </c>
      <c r="D19" s="262">
        <f ca="1">SUMIF(INDIRECT("'"&amp;D4&amp;"'"&amp;"!A:A"),结果表!B19,INDIRECT("'"&amp;D4&amp;"'"&amp;"!B:B"))</f>
        <v>11763.6078</v>
      </c>
      <c r="E19" s="259" t="s">
        <v>289</v>
      </c>
      <c r="F19" s="260" t="s">
        <v>288</v>
      </c>
      <c r="G19" s="263">
        <f ca="1">ROUND(C19*$C$18+D19*$D$18,0)</f>
        <v>9312</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7693</v>
      </c>
      <c r="D20" s="268">
        <f ca="1">SUMIF(INDIRECT("'"&amp;D4&amp;"'"&amp;"!A:A"),结果表!B20,INDIRECT("'"&amp;D4&amp;"'"&amp;"!B:B"))</f>
        <v>10954</v>
      </c>
      <c r="E20" s="265"/>
      <c r="F20" s="266" t="s">
        <v>291</v>
      </c>
      <c r="G20" s="269">
        <f ca="1">ROUND(C20*$C$18+D20*$D$18,0)</f>
        <v>8671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7693</v>
      </c>
      <c r="D21" s="144">
        <f ca="1">SUMIF(INDIRECT("'"&amp;D4&amp;"'"&amp;"!A:A"),结果表!B21,INDIRECT("'"&amp;D4&amp;"'"&amp;"!B:B"))</f>
        <v>10954</v>
      </c>
      <c r="E21" s="265"/>
      <c r="F21" s="271" t="s">
        <v>293</v>
      </c>
      <c r="G21" s="273">
        <f ca="1">ROUND(C21*$C$18+D21*$D$18,0)</f>
        <v>8671</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0.42399319694952187</v>
      </c>
      <c r="E22" s="275"/>
      <c r="F22" s="276"/>
      <c r="G22" s="277">
        <f ca="1">ROUND(G19/('数据-汇总表'!D3/666.67),0)</f>
        <v>578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12"/>
      <c r="B25" s="1190" t="s">
        <v>297</v>
      </c>
      <c r="C25" s="281">
        <f>IF(B30=0,0,C30)</f>
        <v>0</v>
      </c>
      <c r="D25" s="282"/>
      <c r="E25" s="302"/>
      <c r="F25" s="302"/>
      <c r="G25" s="302"/>
      <c r="H25" s="302"/>
      <c r="I25" s="302"/>
      <c r="J25" s="1752"/>
      <c r="K25" s="1124" t="str">
        <f ca="1">项目基本情况!A17&amp;"国有建设用地使用权价格："&amp;O38&amp;"万元"</f>
        <v>划拨国有建设用地使用权价格：9312万元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大写金额：人民币玖仟叁佰壹拾贰万元整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单位面积地价：8671元/平方米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楼面地价：8671元/平方米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9" t="s">
        <v>2254</v>
      </c>
      <c r="B31" s="3839"/>
      <c r="C31" s="3839"/>
      <c r="D31" s="3839"/>
      <c r="E31" s="3839"/>
      <c r="F31" s="3839"/>
      <c r="G31" s="3839"/>
      <c r="H31" s="3839"/>
      <c r="I31" s="383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6" t="s">
        <v>1221</v>
      </c>
      <c r="C32" s="257">
        <f ca="1">G19-C24</f>
        <v>9312</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8671</v>
      </c>
      <c r="D33" s="1240" t="s">
        <v>1224</v>
      </c>
      <c r="E33" s="381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8671</v>
      </c>
      <c r="D34" s="1242" t="s">
        <v>1224</v>
      </c>
      <c r="E34" s="385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578</v>
      </c>
      <c r="D35" s="1245" t="s">
        <v>1226</v>
      </c>
      <c r="E35" s="3856"/>
      <c r="F35" s="292" t="s">
        <v>308</v>
      </c>
      <c r="G35" s="944"/>
      <c r="H35" s="943" t="s">
        <v>309</v>
      </c>
      <c r="I35" s="302"/>
      <c r="J35" s="1752"/>
      <c r="K35" s="3829" t="s">
        <v>316</v>
      </c>
      <c r="L35" s="3829" t="s">
        <v>317</v>
      </c>
      <c r="M35" s="1133" t="s">
        <v>318</v>
      </c>
      <c r="N35" s="3829" t="s">
        <v>319</v>
      </c>
      <c r="O35" s="3829" t="s">
        <v>320</v>
      </c>
      <c r="P35" s="1752"/>
      <c r="V35" s="1752"/>
    </row>
    <row r="36" spans="1:26" ht="16.5" customHeight="1">
      <c r="A36" s="294" t="s">
        <v>310</v>
      </c>
      <c r="B36" s="295" t="s">
        <v>299</v>
      </c>
      <c r="C36" s="296" t="s">
        <v>311</v>
      </c>
      <c r="D36" s="296" t="s">
        <v>312</v>
      </c>
      <c r="E36" s="297" t="s">
        <v>313</v>
      </c>
      <c r="F36" s="302"/>
      <c r="G36" s="302"/>
      <c r="H36" s="302"/>
      <c r="I36" s="302"/>
      <c r="J36" s="1754"/>
      <c r="K36" s="3830"/>
      <c r="L36" s="3830"/>
      <c r="M36" s="1135" t="s">
        <v>321</v>
      </c>
      <c r="N36" s="3830"/>
      <c r="O36" s="3830"/>
      <c r="P36" s="1752"/>
      <c r="V36" s="1752"/>
    </row>
    <row r="37" spans="1:26" ht="16.5" customHeight="1" thickBot="1">
      <c r="A37" s="1129" t="s">
        <v>314</v>
      </c>
      <c r="B37" s="298"/>
      <c r="C37" s="285"/>
      <c r="D37" s="285"/>
      <c r="E37" s="286"/>
      <c r="F37" s="302"/>
      <c r="G37" s="302"/>
      <c r="H37" s="302"/>
      <c r="I37" s="302"/>
      <c r="J37" s="1754"/>
      <c r="K37" s="3831"/>
      <c r="L37" s="3831"/>
      <c r="M37" s="1136"/>
      <c r="N37" s="3831"/>
      <c r="O37" s="3831"/>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8671</v>
      </c>
      <c r="N38" s="1138">
        <f ca="1">C33</f>
        <v>8671</v>
      </c>
      <c r="O38" s="1139">
        <f ca="1">C32</f>
        <v>9312</v>
      </c>
      <c r="P38" s="1752"/>
      <c r="V38" s="1752"/>
    </row>
    <row r="39" spans="1:26" ht="16.5" customHeight="1" thickBot="1">
      <c r="A39" s="1134"/>
      <c r="B39" s="299"/>
      <c r="C39" s="300"/>
      <c r="D39" s="300"/>
      <c r="E39" s="301"/>
      <c r="F39" s="302"/>
      <c r="G39" s="302"/>
      <c r="H39" s="302"/>
      <c r="I39" s="302"/>
      <c r="J39" s="1754"/>
      <c r="K39" s="3869" t="str">
        <f>MID(A44,3,LEN(A44)-2)</f>
        <v/>
      </c>
      <c r="L39" s="3870"/>
      <c r="M39" s="3870"/>
      <c r="N39" s="3871"/>
      <c r="O39" s="1247" t="str">
        <f>C44</f>
        <v>——</v>
      </c>
      <c r="P39" s="1752"/>
      <c r="V39" s="1752"/>
    </row>
    <row r="40" spans="1:26" ht="19.5" thickBot="1">
      <c r="A40" s="100" t="s">
        <v>810</v>
      </c>
      <c r="B40" s="302"/>
      <c r="C40" s="302"/>
      <c r="D40" s="302"/>
      <c r="E40" s="302"/>
      <c r="F40" s="302"/>
      <c r="G40" s="302"/>
      <c r="H40" s="302"/>
      <c r="I40" s="302"/>
      <c r="J40" s="1754"/>
      <c r="K40" s="3869" t="str">
        <f>MID(A45,3,LEN(A45)-2)</f>
        <v/>
      </c>
      <c r="L40" s="3870"/>
      <c r="M40" s="3870"/>
      <c r="N40" s="387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69" t="str">
        <f>MID(A46,3,LEN(A46)-2)</f>
        <v/>
      </c>
      <c r="L41" s="3870"/>
      <c r="M41" s="3870"/>
      <c r="N41" s="3871"/>
      <c r="O41" s="1247" t="str">
        <f>C46</f>
        <v>——</v>
      </c>
      <c r="P41" s="1752"/>
      <c r="V41" s="1752"/>
    </row>
    <row r="42" spans="1:26" ht="29.25">
      <c r="A42" s="3813" t="s">
        <v>1585</v>
      </c>
      <c r="B42" s="3814"/>
      <c r="C42" s="255">
        <f ca="1">C32</f>
        <v>9312</v>
      </c>
      <c r="D42" s="308">
        <f ca="1">C33</f>
        <v>8671</v>
      </c>
      <c r="E42" s="308">
        <f ca="1">C34</f>
        <v>8671</v>
      </c>
      <c r="F42" s="309">
        <f ca="1">C35</f>
        <v>578</v>
      </c>
      <c r="G42" s="302"/>
      <c r="H42" s="302"/>
      <c r="I42" s="310"/>
      <c r="J42" s="1754"/>
      <c r="K42" s="1140" t="s">
        <v>327</v>
      </c>
      <c r="L42" s="1771" t="s">
        <v>328</v>
      </c>
      <c r="M42" s="1141" t="s">
        <v>329</v>
      </c>
      <c r="N42" s="1772" t="s">
        <v>330</v>
      </c>
      <c r="O42" s="1773" t="s">
        <v>331</v>
      </c>
      <c r="P42" s="1752"/>
      <c r="V42" s="1752"/>
    </row>
    <row r="43" spans="1:26" ht="18">
      <c r="A43" s="3824" t="s">
        <v>2012</v>
      </c>
      <c r="B43" s="3825"/>
      <c r="C43" s="255">
        <f>IF(H33="正常操作",G33+G34+G35,G34+G35)</f>
        <v>0</v>
      </c>
      <c r="D43" s="308" t="s">
        <v>17</v>
      </c>
      <c r="E43" s="308" t="s">
        <v>18</v>
      </c>
      <c r="F43" s="309" t="s">
        <v>18</v>
      </c>
      <c r="G43" s="2345" t="s">
        <v>877</v>
      </c>
      <c r="H43" s="302"/>
      <c r="I43" s="310"/>
      <c r="J43" s="1754"/>
      <c r="K43" s="1142" t="str">
        <f>C4</f>
        <v>比较法-工业</v>
      </c>
      <c r="L43" s="1143">
        <f ca="1">IF(L42="估价结果/万元",C19,C20)</f>
        <v>8261</v>
      </c>
      <c r="M43" s="1144">
        <f>C18</f>
        <v>0.7</v>
      </c>
      <c r="N43" s="1145">
        <f ca="1">IF(N42="测算结果/万元",G19,G20)</f>
        <v>9312</v>
      </c>
      <c r="O43" s="1146">
        <f ca="1">IF(O42="最终结果/万元",C32,C33)</f>
        <v>9312</v>
      </c>
      <c r="P43" s="1752"/>
      <c r="V43" s="1752"/>
    </row>
    <row r="44" spans="1:26" ht="18.75" thickBot="1">
      <c r="A44" s="3813" t="str">
        <f>IF(OR(项目基本情况!E8="抵押价格",项目基本情况!E8="已注销及未注销"),"3.抵押价格","——")</f>
        <v>——</v>
      </c>
      <c r="B44" s="381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11763.6078</v>
      </c>
      <c r="M44" s="1149">
        <f>D18</f>
        <v>0.30000000000000004</v>
      </c>
      <c r="N44" s="1150"/>
      <c r="O44" s="1151"/>
      <c r="P44" s="1752"/>
      <c r="V44" s="1752"/>
    </row>
    <row r="45" spans="1:26" ht="15">
      <c r="A45" s="3819" t="str">
        <f>IF(项目基本情况!E8="已注销及未注销","4.抵押担保权已注销时的抵押价格",IF(项目基本情况!E8="已注销","3.抵押担保权已注销时的抵押价格","——"))</f>
        <v>——</v>
      </c>
      <c r="B45" s="382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15" t="str">
        <f>IF(项目基本情况!E9="抵押净值",IF(A45="——","4.抵押净值","5.抵押净值"),"——")</f>
        <v>——</v>
      </c>
      <c r="B46" s="381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3" t="s">
        <v>340</v>
      </c>
      <c r="B63" s="3864"/>
      <c r="C63" s="3865"/>
      <c r="D63" s="332">
        <f ca="1">ROUND(C42*F63,0)</f>
        <v>9312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1" t="s">
        <v>344</v>
      </c>
      <c r="B64" s="3822"/>
      <c r="C64" s="3822"/>
      <c r="D64" s="3822"/>
      <c r="E64" s="3822"/>
      <c r="F64" s="3822"/>
      <c r="G64" s="382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17" t="s">
        <v>352</v>
      </c>
      <c r="B66" s="3818"/>
      <c r="C66" s="381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78" t="s">
        <v>351</v>
      </c>
      <c r="M66" s="3879"/>
      <c r="N66" s="2110"/>
      <c r="O66" s="2111"/>
      <c r="P66" s="2112"/>
      <c r="Q66" s="1752"/>
      <c r="R66" s="1752"/>
      <c r="S66" s="1752"/>
      <c r="T66" s="1752"/>
      <c r="U66" s="1752"/>
      <c r="V66" s="1752"/>
    </row>
    <row r="67" spans="1:22" ht="25.5" customHeight="1">
      <c r="A67" s="343" t="s">
        <v>355</v>
      </c>
      <c r="B67" s="3808" t="s">
        <v>356</v>
      </c>
      <c r="C67" s="3808"/>
      <c r="D67" s="344">
        <v>0</v>
      </c>
      <c r="E67" s="39" t="s">
        <v>357</v>
      </c>
      <c r="F67" s="60" t="s">
        <v>15</v>
      </c>
      <c r="G67" s="3866"/>
      <c r="H67" s="2748" t="s">
        <v>2255</v>
      </c>
      <c r="I67" s="2750"/>
      <c r="J67" s="1759"/>
      <c r="K67" s="1731">
        <v>2</v>
      </c>
      <c r="L67" s="3872" t="s">
        <v>354</v>
      </c>
      <c r="M67" s="3872"/>
      <c r="N67" s="1194">
        <f>'数据-取费表'!B2</f>
        <v>45248</v>
      </c>
      <c r="O67" s="1194"/>
      <c r="P67" s="1194"/>
      <c r="Q67" s="1752"/>
      <c r="R67" s="1752"/>
      <c r="S67" s="1752"/>
      <c r="T67" s="1752"/>
      <c r="U67" s="1752"/>
      <c r="V67" s="1752"/>
    </row>
    <row r="68" spans="1:22" ht="25.5" customHeight="1">
      <c r="A68" s="345"/>
      <c r="B68" s="3808" t="s">
        <v>359</v>
      </c>
      <c r="C68" s="3808"/>
      <c r="D68" s="346"/>
      <c r="E68" s="75"/>
      <c r="F68" s="347"/>
      <c r="G68" s="3867"/>
      <c r="H68" s="2749" t="s">
        <v>2256</v>
      </c>
      <c r="I68" s="2750"/>
      <c r="J68" s="1759"/>
      <c r="K68" s="1731">
        <v>3</v>
      </c>
      <c r="L68" s="3872" t="s">
        <v>358</v>
      </c>
      <c r="M68" s="3872"/>
      <c r="N68" s="1162">
        <f ca="1">C42</f>
        <v>9312</v>
      </c>
      <c r="O68" s="1162"/>
      <c r="P68" s="1162"/>
      <c r="Q68" s="1752"/>
      <c r="R68" s="1752"/>
      <c r="S68" s="1752"/>
      <c r="T68" s="1752"/>
      <c r="U68" s="1752"/>
      <c r="V68" s="1752"/>
    </row>
    <row r="69" spans="1:22" ht="23.45" customHeight="1">
      <c r="A69" s="348"/>
      <c r="B69" s="3808" t="s">
        <v>360</v>
      </c>
      <c r="C69" s="3808"/>
      <c r="D69" s="349"/>
      <c r="E69" s="71"/>
      <c r="F69" s="347"/>
      <c r="G69" s="3868"/>
      <c r="H69" s="2749" t="s">
        <v>2257</v>
      </c>
      <c r="I69" s="2750"/>
      <c r="J69" s="1759"/>
      <c r="K69" s="1163">
        <v>4</v>
      </c>
      <c r="L69" s="3882" t="s">
        <v>2157</v>
      </c>
      <c r="M69" s="3883"/>
      <c r="N69" s="1164" t="str">
        <f>C44</f>
        <v>——</v>
      </c>
      <c r="O69" s="1164"/>
      <c r="P69" s="1164"/>
      <c r="Q69" s="1752"/>
      <c r="R69" s="1752"/>
      <c r="S69" s="1752"/>
      <c r="T69" s="1752"/>
      <c r="U69" s="1752"/>
      <c r="V69" s="1752"/>
    </row>
    <row r="70" spans="1:22" ht="24" customHeight="1">
      <c r="A70" s="350" t="s">
        <v>361</v>
      </c>
      <c r="B70" s="3808" t="s">
        <v>362</v>
      </c>
      <c r="C70" s="3808"/>
      <c r="D70" s="349">
        <f ca="1">ROUND(D63*'数据-取费表'!B41/(1+'数据-取费表'!C42),0)</f>
        <v>497</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09" t="s">
        <v>2284</v>
      </c>
      <c r="C71" s="3810"/>
      <c r="D71" s="349">
        <f ca="1">ROUND(D63*'数据-取费表'!B41/(1+'数据-取费表'!C42),0)</f>
        <v>497</v>
      </c>
      <c r="E71" s="15" t="s">
        <v>363</v>
      </c>
      <c r="F71" s="351">
        <f>'数据-取费表'!B41</f>
        <v>5.6000000000000001E-2</v>
      </c>
      <c r="G71" s="352"/>
      <c r="H71" s="302"/>
      <c r="I71" s="1161"/>
      <c r="J71" s="1759"/>
      <c r="K71" s="2520" t="s">
        <v>364</v>
      </c>
      <c r="L71" s="3884" t="s">
        <v>365</v>
      </c>
      <c r="M71" s="3884"/>
      <c r="N71" s="2520" t="s">
        <v>366</v>
      </c>
      <c r="O71" s="2520" t="s">
        <v>367</v>
      </c>
      <c r="P71" s="2520" t="s">
        <v>368</v>
      </c>
      <c r="Q71" s="1752"/>
      <c r="R71" s="1752"/>
      <c r="S71" s="1752"/>
      <c r="T71" s="1752"/>
      <c r="U71" s="1752"/>
      <c r="V71" s="1752"/>
    </row>
    <row r="72" spans="1:22" ht="12" customHeight="1">
      <c r="A72" s="350" t="s">
        <v>371</v>
      </c>
      <c r="B72" s="3809" t="s">
        <v>2285</v>
      </c>
      <c r="C72" s="3810"/>
      <c r="D72" s="349">
        <f ca="1">C86</f>
        <v>497</v>
      </c>
      <c r="E72" s="71" t="s">
        <v>372</v>
      </c>
      <c r="F72" s="351">
        <f>'数据-取费表'!B41</f>
        <v>5.6000000000000001E-2</v>
      </c>
      <c r="G72" s="352"/>
      <c r="H72" s="1167"/>
      <c r="I72" s="1161"/>
      <c r="J72" s="1759"/>
      <c r="K72" s="1731">
        <v>1</v>
      </c>
      <c r="L72" s="3859" t="s">
        <v>370</v>
      </c>
      <c r="M72" s="3859"/>
      <c r="N72" s="1165" t="b">
        <f>D66</f>
        <v>0</v>
      </c>
      <c r="O72" s="1636" t="str">
        <f>E66</f>
        <v>销售额×税（费）率</v>
      </c>
      <c r="P72" s="1166">
        <f>F66</f>
        <v>5.6000000000000001E-2</v>
      </c>
      <c r="Q72" s="1752"/>
      <c r="R72" s="1752"/>
      <c r="S72" s="1752"/>
      <c r="T72" s="1752"/>
      <c r="U72" s="1752"/>
      <c r="V72" s="1752"/>
    </row>
    <row r="73" spans="1:22" ht="24" customHeight="1">
      <c r="A73" s="3854" t="s">
        <v>374</v>
      </c>
      <c r="B73" s="3818"/>
      <c r="C73" s="3818"/>
      <c r="D73" s="353">
        <f ca="1">IF(H73="个人住宅",0,ROUND(D63*I73,0))</f>
        <v>5</v>
      </c>
      <c r="E73" s="15" t="s">
        <v>375</v>
      </c>
      <c r="F73" s="351" t="str">
        <f>IF(H73="正常",I73,"免征")</f>
        <v>免征</v>
      </c>
      <c r="G73" s="352"/>
      <c r="H73" s="184"/>
      <c r="I73" s="351">
        <f>'数据-取费表'!B49</f>
        <v>5.0000000000000001E-4</v>
      </c>
      <c r="J73" s="1759"/>
      <c r="K73" s="1731">
        <v>2</v>
      </c>
      <c r="L73" s="3859" t="s">
        <v>373</v>
      </c>
      <c r="M73" s="3859"/>
      <c r="N73" s="1165">
        <f t="shared" ref="N73:P74" ca="1" si="0">D73</f>
        <v>5</v>
      </c>
      <c r="O73" s="1636" t="str">
        <f t="shared" si="0"/>
        <v>销售额×税（费）率</v>
      </c>
      <c r="P73" s="1166" t="str">
        <f t="shared" si="0"/>
        <v>免征</v>
      </c>
      <c r="Q73" s="1752"/>
      <c r="R73" s="1752"/>
      <c r="S73" s="1752"/>
      <c r="T73" s="1752"/>
      <c r="U73" s="1752"/>
      <c r="V73" s="1752"/>
    </row>
    <row r="74" spans="1:22" ht="24.75">
      <c r="A74" s="3854" t="s">
        <v>377</v>
      </c>
      <c r="B74" s="3818"/>
      <c r="C74" s="3818"/>
      <c r="D74" s="353">
        <f ca="1">IF(H74="个人住宅",D75,D76)</f>
        <v>5271</v>
      </c>
      <c r="E74" s="15" t="s">
        <v>378</v>
      </c>
      <c r="F74" s="351" t="str">
        <f>IF(H74="正常",F76,"免征")</f>
        <v>免征</v>
      </c>
      <c r="G74" s="945" t="s">
        <v>379</v>
      </c>
      <c r="H74" s="354"/>
      <c r="I74" s="40"/>
      <c r="J74" s="1759"/>
      <c r="K74" s="1731">
        <v>3</v>
      </c>
      <c r="L74" s="3859" t="s">
        <v>376</v>
      </c>
      <c r="M74" s="3859"/>
      <c r="N74" s="1165">
        <f t="shared" ca="1" si="0"/>
        <v>5271</v>
      </c>
      <c r="O74" s="1636" t="str">
        <f t="shared" si="0"/>
        <v>增值额×税（费）率</v>
      </c>
      <c r="P74" s="1168" t="str">
        <f t="shared" si="0"/>
        <v>免征</v>
      </c>
      <c r="Q74" s="1752"/>
      <c r="R74" s="1752"/>
      <c r="S74" s="1752"/>
      <c r="T74" s="1752"/>
      <c r="U74" s="1752"/>
      <c r="V74" s="1752"/>
    </row>
    <row r="75" spans="1:22" ht="12.75">
      <c r="A75" s="350" t="s">
        <v>380</v>
      </c>
      <c r="B75" s="3806" t="s">
        <v>381</v>
      </c>
      <c r="C75" s="3842"/>
      <c r="D75" s="355">
        <v>0</v>
      </c>
      <c r="E75" s="39" t="s">
        <v>382</v>
      </c>
      <c r="F75" s="356"/>
      <c r="G75" s="352"/>
      <c r="H75" s="40"/>
      <c r="I75" s="40"/>
      <c r="J75" s="1759"/>
      <c r="K75" s="2514">
        <f>IF(H77="非个人房产","",4)</f>
        <v>4</v>
      </c>
      <c r="L75" s="3859" t="str">
        <f>IF(H77="非个人房产","——","个人所得税")</f>
        <v>个人所得税</v>
      </c>
      <c r="M75" s="3859"/>
      <c r="N75" s="1169">
        <f>D77</f>
        <v>0</v>
      </c>
      <c r="O75" s="1637" t="str">
        <f>E77</f>
        <v>差额计税</v>
      </c>
      <c r="P75" s="1170">
        <f>F77</f>
        <v>0.01</v>
      </c>
      <c r="Q75" s="1752"/>
      <c r="R75" s="1752"/>
      <c r="S75" s="1752"/>
      <c r="T75" s="1752"/>
      <c r="U75" s="1752"/>
      <c r="V75" s="1752"/>
    </row>
    <row r="76" spans="1:22" ht="24.75">
      <c r="A76" s="350" t="s">
        <v>361</v>
      </c>
      <c r="B76" s="3806" t="s">
        <v>384</v>
      </c>
      <c r="C76" s="3807"/>
      <c r="D76" s="353">
        <f ca="1">IF(H76="转让取得",C99,C115)</f>
        <v>5271</v>
      </c>
      <c r="E76" s="15" t="s">
        <v>385</v>
      </c>
      <c r="F76" s="51" t="s">
        <v>15</v>
      </c>
      <c r="G76" s="352"/>
      <c r="H76" s="354"/>
      <c r="I76" s="40"/>
      <c r="J76" s="1759"/>
      <c r="K76" s="2514" t="str">
        <f>IF(项目基本情况!K6="上海银行",IF(K75="",4,K75+1),"")</f>
        <v/>
      </c>
      <c r="L76" s="3874" t="str">
        <f>IF(项目基本情况!K6="上海银行","其他处置费用","")</f>
        <v/>
      </c>
      <c r="M76" s="3875"/>
      <c r="N76" s="1165" t="str">
        <f>IF(项目基本情况!K6="上海银行",N89,"")</f>
        <v/>
      </c>
      <c r="O76" s="3876" t="str">
        <f>IF(项目基本情况!K6="上海银行","包含处置中涉及的律师、诉讼、拍卖、评估等费用","")</f>
        <v/>
      </c>
      <c r="P76" s="3877"/>
      <c r="Q76" s="1752"/>
      <c r="R76" s="1752"/>
      <c r="S76" s="1752"/>
      <c r="T76" s="1752"/>
      <c r="U76" s="1752"/>
      <c r="V76" s="1752"/>
    </row>
    <row r="77" spans="1:22" ht="24.75" thickBot="1">
      <c r="A77" s="3861" t="s">
        <v>387</v>
      </c>
      <c r="B77" s="3862"/>
      <c r="C77" s="386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3860">
        <f>IF(AND(K75="",K76=""),4,IF(项目基本情况!K6="上海银行",K76+1,K75+1))</f>
        <v>5</v>
      </c>
      <c r="L77" s="3859" t="s">
        <v>2158</v>
      </c>
      <c r="M77" s="2519" t="s">
        <v>383</v>
      </c>
      <c r="N77" s="1171"/>
      <c r="O77" s="1172">
        <f ca="1">SUMIF(N72:N76,"&lt;9e307")</f>
        <v>5276</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60"/>
      <c r="L78" s="3859"/>
      <c r="M78" s="2519" t="s">
        <v>386</v>
      </c>
      <c r="N78" s="1171"/>
      <c r="O78" s="1172" t="str">
        <f ca="1">NUMBERSTRING(INT(O77*10000),2)&amp;"元整"</f>
        <v>伍仟贰佰柒拾陆万元整</v>
      </c>
      <c r="P78" s="1173"/>
      <c r="Q78" s="1752"/>
      <c r="R78" s="1752"/>
      <c r="S78" s="1752"/>
      <c r="T78" s="1752"/>
      <c r="U78" s="1752"/>
      <c r="V78" s="1752"/>
    </row>
    <row r="79" spans="1:22" ht="13.5" thickBot="1">
      <c r="A79" s="3826" t="s">
        <v>388</v>
      </c>
      <c r="B79" s="3826"/>
      <c r="C79" s="3826"/>
      <c r="D79" s="3826"/>
      <c r="E79" s="3826"/>
      <c r="F79" s="40"/>
      <c r="G79" s="40"/>
      <c r="H79" s="965"/>
      <c r="I79" s="302"/>
      <c r="J79" s="1759"/>
      <c r="K79" s="3880">
        <f>K77+1</f>
        <v>6</v>
      </c>
      <c r="L79" s="3859" t="s">
        <v>2159</v>
      </c>
      <c r="M79" s="2519" t="s">
        <v>383</v>
      </c>
      <c r="N79" s="1171"/>
      <c r="O79" s="1172" t="e">
        <f ca="1">N69-O77</f>
        <v>#VALUE!</v>
      </c>
      <c r="P79" s="1173"/>
      <c r="Q79" s="1752"/>
      <c r="R79" s="1752"/>
      <c r="S79" s="1752"/>
      <c r="T79" s="1752"/>
      <c r="U79" s="1752"/>
      <c r="V79" s="1752"/>
    </row>
    <row r="80" spans="1:22" ht="12.75">
      <c r="A80" s="3827" t="s">
        <v>389</v>
      </c>
      <c r="B80" s="3828"/>
      <c r="C80" s="956"/>
      <c r="D80" s="956" t="s">
        <v>390</v>
      </c>
      <c r="E80" s="357" t="s">
        <v>391</v>
      </c>
      <c r="F80" s="40"/>
      <c r="G80" s="40"/>
      <c r="H80" s="965"/>
      <c r="I80" s="302"/>
      <c r="J80" s="1752"/>
      <c r="K80" s="3881"/>
      <c r="L80" s="3859"/>
      <c r="M80" s="2519"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8869</v>
      </c>
      <c r="D81" s="360"/>
      <c r="E81" s="361"/>
      <c r="F81" s="40"/>
      <c r="G81" s="40"/>
      <c r="H81" s="965"/>
      <c r="I81" s="302"/>
      <c r="J81" s="1752"/>
      <c r="K81" s="2514">
        <f>K79+1</f>
        <v>7</v>
      </c>
      <c r="L81" s="3857" t="s">
        <v>2160</v>
      </c>
      <c r="M81" s="3858"/>
      <c r="N81" s="1175"/>
      <c r="O81" s="1176" t="e">
        <f ca="1">ROUND(O79*10000/'数据-汇总表'!E3,0)</f>
        <v>#VALUE!</v>
      </c>
      <c r="P81" s="1177"/>
      <c r="Q81" s="1752"/>
      <c r="R81" s="1752"/>
      <c r="S81" s="1752"/>
      <c r="T81" s="1752"/>
      <c r="U81" s="1752"/>
      <c r="V81" s="1752"/>
    </row>
    <row r="82" spans="1:26" ht="13.5" thickTop="1">
      <c r="A82" s="362" t="s">
        <v>1353</v>
      </c>
      <c r="B82" s="363" t="s">
        <v>393</v>
      </c>
      <c r="C82" s="364">
        <f ca="1">D63</f>
        <v>9312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3"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1355</v>
      </c>
      <c r="B84" s="369" t="s">
        <v>395</v>
      </c>
      <c r="C84" s="370"/>
      <c r="D84" s="371" t="s">
        <v>13</v>
      </c>
      <c r="E84" s="2541" t="s">
        <v>2201</v>
      </c>
      <c r="F84" s="40"/>
      <c r="G84" s="40"/>
      <c r="H84" s="965"/>
      <c r="I84" s="302"/>
      <c r="J84" s="1752"/>
      <c r="K84" s="3873"/>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8869</v>
      </c>
      <c r="D85" s="365" t="s">
        <v>13</v>
      </c>
      <c r="E85" s="366"/>
      <c r="F85" s="40"/>
      <c r="G85" s="40"/>
      <c r="H85" s="965"/>
      <c r="I85" s="302"/>
      <c r="J85" s="1752"/>
      <c r="K85" s="3873"/>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497</v>
      </c>
      <c r="D86" s="376">
        <f>'数据-取费表'!B41</f>
        <v>5.6000000000000001E-2</v>
      </c>
      <c r="E86" s="377"/>
      <c r="F86" s="40"/>
      <c r="G86" s="40"/>
      <c r="H86" s="965"/>
      <c r="I86" s="302"/>
      <c r="J86" s="1752"/>
      <c r="K86" s="3873"/>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3"/>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52" t="s">
        <v>398</v>
      </c>
      <c r="B88" s="3853"/>
      <c r="C88" s="3853"/>
      <c r="D88" s="3853"/>
      <c r="E88" s="3853"/>
      <c r="F88" s="3853"/>
      <c r="G88" s="3853"/>
      <c r="H88" s="3853"/>
      <c r="I88" s="1184"/>
      <c r="J88" s="1760"/>
      <c r="K88" s="3873"/>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827" t="s">
        <v>389</v>
      </c>
      <c r="B89" s="3828"/>
      <c r="C89" s="956"/>
      <c r="D89" s="956" t="s">
        <v>390</v>
      </c>
      <c r="E89" s="378" t="s">
        <v>399</v>
      </c>
      <c r="F89" s="379"/>
      <c r="G89" s="379"/>
      <c r="H89" s="380"/>
      <c r="I89" s="1185"/>
      <c r="J89" s="1762"/>
      <c r="K89" s="3873"/>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8869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9" t="s">
        <v>407</v>
      </c>
      <c r="F94" s="3808"/>
      <c r="G94" s="3808"/>
      <c r="H94" s="385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53</v>
      </c>
      <c r="D96" s="393">
        <f>'数据-取费表'!B43</f>
        <v>6.000000000000001E-3</v>
      </c>
      <c r="E96" s="3843" t="s">
        <v>1780</v>
      </c>
      <c r="F96" s="3844"/>
      <c r="G96" s="3844"/>
      <c r="H96" s="384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8816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166.33962264150944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5271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52" t="s">
        <v>414</v>
      </c>
      <c r="B101" s="3853"/>
      <c r="C101" s="3853"/>
      <c r="D101" s="3853"/>
      <c r="E101" s="3853"/>
      <c r="F101" s="3853"/>
      <c r="G101" s="3853"/>
      <c r="H101" s="385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27" t="s">
        <v>389</v>
      </c>
      <c r="B102" s="382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8869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03" t="s">
        <v>2250</v>
      </c>
      <c r="H108" s="3804"/>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46" t="s">
        <v>422</v>
      </c>
      <c r="F109" s="3844"/>
      <c r="G109" s="384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3846" t="s">
        <v>424</v>
      </c>
      <c r="F110" s="3844"/>
      <c r="G110" s="3844"/>
      <c r="H110" s="3845"/>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53</v>
      </c>
      <c r="D111" s="393">
        <f>'数据-取费表'!B43</f>
        <v>6.000000000000001E-3</v>
      </c>
      <c r="E111" s="3843" t="s">
        <v>1780</v>
      </c>
      <c r="F111" s="3844"/>
      <c r="G111" s="3844"/>
      <c r="H111" s="384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46" t="s">
        <v>1799</v>
      </c>
      <c r="F112" s="3844"/>
      <c r="G112" s="3844"/>
      <c r="H112" s="384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8816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166.33962264150944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5271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topLeftCell="C1" workbookViewId="0">
      <selection activeCell="G9" sqref="G9"/>
    </sheetView>
  </sheetViews>
  <sheetFormatPr defaultRowHeight="13.5"/>
  <cols>
    <col min="2" max="2" width="7" customWidth="1"/>
    <col min="3" max="3" width="36.25" customWidth="1"/>
    <col min="4" max="4" width="18.625" customWidth="1"/>
  </cols>
  <sheetData>
    <row r="2" spans="2:4">
      <c r="B2" s="3885" t="s">
        <v>3387</v>
      </c>
      <c r="C2" s="3885"/>
      <c r="D2" s="3885"/>
    </row>
    <row r="3" spans="2:4">
      <c r="B3" s="3708" t="s">
        <v>3267</v>
      </c>
      <c r="C3" s="3708" t="s">
        <v>2146</v>
      </c>
      <c r="D3" s="3708" t="s">
        <v>3388</v>
      </c>
    </row>
    <row r="4" spans="2:4">
      <c r="B4" s="3708">
        <v>1</v>
      </c>
      <c r="C4" s="3708" t="s">
        <v>3389</v>
      </c>
      <c r="D4" s="3709">
        <f ca="1">ROUND(结果表!G20*10738.85/10000,4)</f>
        <v>9311.6568000000007</v>
      </c>
    </row>
    <row r="5" spans="2:4">
      <c r="B5" s="3708">
        <v>2</v>
      </c>
      <c r="C5" s="3708" t="s">
        <v>3390</v>
      </c>
      <c r="D5" s="3709">
        <f>[2]双合盛!$B$30/10000</f>
        <v>46.840400000000002</v>
      </c>
    </row>
    <row r="6" spans="2:4">
      <c r="B6" s="3708">
        <v>3</v>
      </c>
      <c r="C6" s="3708" t="s">
        <v>3391</v>
      </c>
      <c r="D6" s="3709">
        <f>([3]双合盛!$G$4+[2]Sheet1!$G$27)/10000</f>
        <v>11.534599999999999</v>
      </c>
    </row>
    <row r="7" spans="2:4">
      <c r="B7" s="3708">
        <v>4</v>
      </c>
      <c r="C7" s="3708" t="s">
        <v>3392</v>
      </c>
      <c r="D7" s="3710">
        <v>0</v>
      </c>
    </row>
    <row r="8" spans="2:4">
      <c r="B8" s="3708">
        <v>5</v>
      </c>
      <c r="C8" s="3708" t="s">
        <v>3393</v>
      </c>
      <c r="D8" s="3710">
        <v>0</v>
      </c>
    </row>
    <row r="9" spans="2:4">
      <c r="B9" s="3708">
        <v>6</v>
      </c>
      <c r="C9" s="3708" t="s">
        <v>3394</v>
      </c>
      <c r="D9" s="3710">
        <v>0</v>
      </c>
    </row>
    <row r="10" spans="2:4">
      <c r="B10" s="3708">
        <v>7</v>
      </c>
      <c r="C10" s="3708" t="s">
        <v>3395</v>
      </c>
      <c r="D10" s="3709">
        <f>ROUND((349.6+204.4+123.9)*50/10000,4)</f>
        <v>3.3895</v>
      </c>
    </row>
    <row r="11" spans="2:4">
      <c r="B11" s="3886" t="s">
        <v>3396</v>
      </c>
      <c r="C11" s="3886"/>
      <c r="D11" s="3709">
        <f ca="1">ROUND(SUM(D4:D10),4)</f>
        <v>9373.4213</v>
      </c>
    </row>
    <row r="12" spans="2:4">
      <c r="B12" s="3886" t="s">
        <v>3397</v>
      </c>
      <c r="C12" s="3886"/>
      <c r="D12" s="3708">
        <f ca="1">ROUND(D11*10000/'数据-基础表'!A3,0)</f>
        <v>8729</v>
      </c>
    </row>
    <row r="13" spans="2:4">
      <c r="B13" s="3886" t="s">
        <v>3398</v>
      </c>
      <c r="C13" s="3886"/>
      <c r="D13" s="3708">
        <f ca="1">ROUND(D12/15,0)</f>
        <v>582</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5">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-123.27379999999999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2</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93.726200000000006</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93.726200000000006</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14</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14</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-94</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4" t="str">
        <f>项目基本情况!B1</f>
        <v>北京市划拨国有建设用地使用权市场价格预评估</v>
      </c>
      <c r="C37" s="3714"/>
      <c r="D37" s="3714"/>
      <c r="E37" s="3714"/>
      <c r="F37" s="3714"/>
      <c r="G37" s="3714"/>
      <c r="H37" s="3714"/>
      <c r="I37" s="371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5">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3887" t="s">
        <v>1394</v>
      </c>
      <c r="B24" s="3888"/>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3887" t="s">
        <v>2294</v>
      </c>
      <c r="B25" s="3888"/>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3887" t="s">
        <v>2295</v>
      </c>
      <c r="B26" s="3888"/>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89" t="s">
        <v>2293</v>
      </c>
      <c r="B27" s="3890"/>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8" t="s">
        <v>471</v>
      </c>
      <c r="D6" s="3899"/>
      <c r="E6" s="3898" t="s">
        <v>472</v>
      </c>
      <c r="F6" s="3899"/>
      <c r="G6" s="3898" t="s">
        <v>473</v>
      </c>
      <c r="H6" s="3899"/>
      <c r="I6" s="3898" t="s">
        <v>474</v>
      </c>
      <c r="J6" s="3899"/>
      <c r="K6" s="484" t="s">
        <v>475</v>
      </c>
      <c r="L6" s="1856"/>
      <c r="M6" s="1855"/>
      <c r="N6" s="1855"/>
      <c r="O6" s="1857"/>
      <c r="P6" s="3900" t="s">
        <v>476</v>
      </c>
      <c r="Q6" s="3901"/>
      <c r="R6" s="3906" t="s">
        <v>472</v>
      </c>
      <c r="S6" s="3907"/>
      <c r="T6" s="3906" t="s">
        <v>473</v>
      </c>
      <c r="U6" s="3907"/>
      <c r="V6" s="3893" t="s">
        <v>474</v>
      </c>
      <c r="W6" s="3893"/>
      <c r="X6" s="1380"/>
      <c r="Y6" s="3906" t="s">
        <v>476</v>
      </c>
      <c r="Z6" s="3907"/>
      <c r="AA6" s="3895" t="s">
        <v>472</v>
      </c>
      <c r="AB6" s="3896" t="s">
        <v>473</v>
      </c>
      <c r="AC6" s="3895" t="s">
        <v>474</v>
      </c>
    </row>
    <row r="7" spans="1:30" ht="20.25">
      <c r="A7" s="485"/>
      <c r="B7" s="486"/>
      <c r="C7" s="3914" t="s">
        <v>2190</v>
      </c>
      <c r="D7" s="3915"/>
      <c r="E7" s="3914" t="s">
        <v>2191</v>
      </c>
      <c r="F7" s="3915"/>
      <c r="G7" s="3914" t="s">
        <v>2192</v>
      </c>
      <c r="H7" s="3915"/>
      <c r="I7" s="3914" t="s">
        <v>2193</v>
      </c>
      <c r="J7" s="3915"/>
      <c r="K7" s="484"/>
      <c r="L7" s="1856"/>
      <c r="M7" s="1855"/>
      <c r="N7" s="1855"/>
      <c r="O7" s="1857"/>
      <c r="P7" s="3902"/>
      <c r="Q7" s="3903"/>
      <c r="R7" s="3908"/>
      <c r="S7" s="3909"/>
      <c r="T7" s="3908"/>
      <c r="U7" s="3909"/>
      <c r="V7" s="3893"/>
      <c r="W7" s="3893"/>
      <c r="X7" s="1380"/>
      <c r="Y7" s="3908"/>
      <c r="Z7" s="3909"/>
      <c r="AA7" s="3896"/>
      <c r="AB7" s="3896"/>
      <c r="AC7" s="3896"/>
    </row>
    <row r="8" spans="1:30" ht="21" thickBot="1">
      <c r="A8" s="485"/>
      <c r="B8" s="486"/>
      <c r="C8" s="3916" t="s">
        <v>2194</v>
      </c>
      <c r="D8" s="3917"/>
      <c r="E8" s="3916" t="s">
        <v>2194</v>
      </c>
      <c r="F8" s="3917"/>
      <c r="G8" s="3912" t="s">
        <v>2194</v>
      </c>
      <c r="H8" s="3913"/>
      <c r="I8" s="3912" t="s">
        <v>2194</v>
      </c>
      <c r="J8" s="3913"/>
      <c r="K8" s="484" t="s">
        <v>477</v>
      </c>
      <c r="L8" s="1856"/>
      <c r="M8" s="1855"/>
      <c r="N8" s="1855"/>
      <c r="O8" s="1857"/>
      <c r="P8" s="3904"/>
      <c r="Q8" s="3905"/>
      <c r="R8" s="3908"/>
      <c r="S8" s="3909"/>
      <c r="T8" s="3910"/>
      <c r="U8" s="3911"/>
      <c r="V8" s="3893"/>
      <c r="W8" s="3893"/>
      <c r="X8" s="1380"/>
      <c r="Y8" s="3910"/>
      <c r="Z8" s="3911"/>
      <c r="AA8" s="3897"/>
      <c r="AB8" s="3897"/>
      <c r="AC8" s="3897"/>
    </row>
    <row r="9" spans="1:30" s="1118" customFormat="1" ht="21" thickBot="1">
      <c r="A9" s="2391"/>
      <c r="B9" s="2398" t="s">
        <v>478</v>
      </c>
      <c r="C9" s="2390">
        <f>'数据-取费表'!B2</f>
        <v>45248</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22" t="s">
        <v>479</v>
      </c>
      <c r="Q9" s="3924"/>
      <c r="R9" s="1381" t="s">
        <v>5</v>
      </c>
      <c r="S9" s="1382">
        <f t="shared" ref="S9:S17" si="0">F9</f>
        <v>0</v>
      </c>
      <c r="T9" s="1381" t="s">
        <v>5</v>
      </c>
      <c r="U9" s="1382">
        <f t="shared" ref="U9:U17" si="1">H9</f>
        <v>0</v>
      </c>
      <c r="V9" s="1381" t="s">
        <v>5</v>
      </c>
      <c r="W9" s="1382">
        <f t="shared" ref="W9:W17" si="2">J9</f>
        <v>0</v>
      </c>
      <c r="X9" s="1383"/>
      <c r="Y9" s="3922" t="s">
        <v>479</v>
      </c>
      <c r="Z9" s="3923"/>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22" t="s">
        <v>482</v>
      </c>
      <c r="Q10" s="3923"/>
      <c r="R10" s="1381" t="s">
        <v>5</v>
      </c>
      <c r="S10" s="1382">
        <f t="shared" si="0"/>
        <v>0</v>
      </c>
      <c r="T10" s="1381" t="s">
        <v>5</v>
      </c>
      <c r="U10" s="1382">
        <f t="shared" si="1"/>
        <v>0</v>
      </c>
      <c r="V10" s="1381" t="s">
        <v>5</v>
      </c>
      <c r="W10" s="1382">
        <f t="shared" si="2"/>
        <v>0</v>
      </c>
      <c r="X10" s="1383"/>
      <c r="Y10" s="3922" t="s">
        <v>482</v>
      </c>
      <c r="Z10" s="3923"/>
      <c r="AA10" s="1384" t="e">
        <f t="shared" ref="AA10:AA47" si="3">D10/F10</f>
        <v>#DIV/0!</v>
      </c>
      <c r="AB10" s="1384" t="e">
        <f t="shared" ref="AB10:AB47" si="4">D10/H10</f>
        <v>#DIV/0!</v>
      </c>
      <c r="AC10" s="1384" t="e">
        <f t="shared" ref="AC10:AC47" si="5">D10/J10</f>
        <v>#DIV/0!</v>
      </c>
    </row>
    <row r="11" spans="1:30" s="1118" customFormat="1" ht="20.25">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2" t="s">
        <v>484</v>
      </c>
      <c r="Q11" s="1050" t="str">
        <f t="shared" ref="Q11:Q17" si="6">B11</f>
        <v>用途</v>
      </c>
      <c r="R11" s="1381" t="s">
        <v>5</v>
      </c>
      <c r="S11" s="1382">
        <f t="shared" si="0"/>
        <v>100</v>
      </c>
      <c r="T11" s="1381" t="s">
        <v>5</v>
      </c>
      <c r="U11" s="1382">
        <f t="shared" si="1"/>
        <v>100</v>
      </c>
      <c r="V11" s="1381" t="s">
        <v>5</v>
      </c>
      <c r="W11" s="1382">
        <f t="shared" si="2"/>
        <v>100</v>
      </c>
      <c r="X11" s="1383"/>
      <c r="Y11" s="3834" t="s">
        <v>485</v>
      </c>
      <c r="Z11" s="1049" t="str">
        <f t="shared" ref="Z11:Z17" si="7">Q11</f>
        <v>用途</v>
      </c>
      <c r="AA11" s="1384">
        <f t="shared" si="3"/>
        <v>1</v>
      </c>
      <c r="AB11" s="1384">
        <f t="shared" si="4"/>
        <v>1</v>
      </c>
      <c r="AC11" s="1384">
        <f t="shared" si="5"/>
        <v>1</v>
      </c>
    </row>
    <row r="12" spans="1:30" s="1199" customFormat="1" ht="27">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2"/>
      <c r="Q12" s="1050" t="str">
        <f t="shared" si="6"/>
        <v>土地使用年限（年）</v>
      </c>
      <c r="R12" s="1381" t="s">
        <v>5</v>
      </c>
      <c r="S12" s="1382">
        <f t="shared" si="0"/>
        <v>100</v>
      </c>
      <c r="T12" s="1381" t="s">
        <v>5</v>
      </c>
      <c r="U12" s="1382">
        <f t="shared" si="1"/>
        <v>100</v>
      </c>
      <c r="V12" s="1381" t="s">
        <v>5</v>
      </c>
      <c r="W12" s="1382">
        <f t="shared" si="2"/>
        <v>100</v>
      </c>
      <c r="X12" s="1383"/>
      <c r="Y12" s="3834"/>
      <c r="Z12" s="1049" t="str">
        <f t="shared" si="7"/>
        <v>土地使用年限（年）</v>
      </c>
      <c r="AA12" s="1384">
        <f t="shared" si="3"/>
        <v>1</v>
      </c>
      <c r="AB12" s="1384">
        <f t="shared" si="4"/>
        <v>1</v>
      </c>
      <c r="AC12" s="1384">
        <f t="shared" si="5"/>
        <v>1</v>
      </c>
    </row>
    <row r="13" spans="1:30" ht="20.25">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2"/>
      <c r="Q13" s="1050" t="str">
        <f t="shared" si="6"/>
        <v>容积率</v>
      </c>
      <c r="R13" s="1381" t="s">
        <v>5</v>
      </c>
      <c r="S13" s="1382" t="e">
        <f t="shared" si="0"/>
        <v>#N/A</v>
      </c>
      <c r="T13" s="1381" t="s">
        <v>5</v>
      </c>
      <c r="U13" s="1382" t="e">
        <f t="shared" si="1"/>
        <v>#N/A</v>
      </c>
      <c r="V13" s="1381" t="s">
        <v>5</v>
      </c>
      <c r="W13" s="1382" t="e">
        <f t="shared" si="2"/>
        <v>#N/A</v>
      </c>
      <c r="X13" s="1383"/>
      <c r="Y13" s="3834"/>
      <c r="Z13" s="1049" t="str">
        <f t="shared" si="7"/>
        <v>容积率</v>
      </c>
      <c r="AA13" s="1384" t="e">
        <f t="shared" si="3"/>
        <v>#N/A</v>
      </c>
      <c r="AB13" s="1384" t="e">
        <f t="shared" si="4"/>
        <v>#N/A</v>
      </c>
      <c r="AC13" s="1384" t="e">
        <f t="shared" si="5"/>
        <v>#N/A</v>
      </c>
    </row>
    <row r="14" spans="1:30" s="1118" customFormat="1" ht="20.25">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2"/>
      <c r="Q14" s="1050" t="str">
        <f t="shared" si="6"/>
        <v>配建</v>
      </c>
      <c r="R14" s="1381" t="s">
        <v>5</v>
      </c>
      <c r="S14" s="1382">
        <f t="shared" si="0"/>
        <v>100</v>
      </c>
      <c r="T14" s="1381" t="s">
        <v>5</v>
      </c>
      <c r="U14" s="1382">
        <f t="shared" si="1"/>
        <v>100</v>
      </c>
      <c r="V14" s="1381" t="s">
        <v>5</v>
      </c>
      <c r="W14" s="1382">
        <f t="shared" si="2"/>
        <v>100</v>
      </c>
      <c r="X14" s="1383"/>
      <c r="Y14" s="3834"/>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2"/>
      <c r="Q15" s="1050">
        <f t="shared" si="6"/>
        <v>111</v>
      </c>
      <c r="R15" s="1381" t="s">
        <v>5</v>
      </c>
      <c r="S15" s="1382">
        <f t="shared" si="0"/>
        <v>100</v>
      </c>
      <c r="T15" s="1381" t="s">
        <v>5</v>
      </c>
      <c r="U15" s="1382">
        <f t="shared" si="1"/>
        <v>100</v>
      </c>
      <c r="V15" s="1381" t="s">
        <v>5</v>
      </c>
      <c r="W15" s="1382">
        <f t="shared" si="2"/>
        <v>100</v>
      </c>
      <c r="X15" s="1383"/>
      <c r="Y15" s="3834"/>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2"/>
      <c r="Q16" s="1050">
        <f t="shared" si="6"/>
        <v>111</v>
      </c>
      <c r="R16" s="1381" t="s">
        <v>5</v>
      </c>
      <c r="S16" s="1382">
        <f t="shared" si="0"/>
        <v>100</v>
      </c>
      <c r="T16" s="1381" t="s">
        <v>5</v>
      </c>
      <c r="U16" s="1382">
        <f t="shared" si="1"/>
        <v>100</v>
      </c>
      <c r="V16" s="1381" t="s">
        <v>5</v>
      </c>
      <c r="W16" s="1382">
        <f t="shared" si="2"/>
        <v>100</v>
      </c>
      <c r="X16" s="1383"/>
      <c r="Y16" s="3834"/>
      <c r="Z16" s="1049">
        <f t="shared" si="7"/>
        <v>111</v>
      </c>
      <c r="AA16" s="1384">
        <f>D16/F16</f>
        <v>1</v>
      </c>
      <c r="AB16" s="1384">
        <f>D16/H16</f>
        <v>1</v>
      </c>
      <c r="AC16" s="1384">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5" t="s">
        <v>489</v>
      </c>
      <c r="Q17" s="1385" t="str">
        <f t="shared" si="6"/>
        <v>居住社区成熟度</v>
      </c>
      <c r="R17" s="1386" t="s">
        <v>5</v>
      </c>
      <c r="S17" s="1387">
        <f t="shared" si="0"/>
        <v>100</v>
      </c>
      <c r="T17" s="1386" t="s">
        <v>5</v>
      </c>
      <c r="U17" s="1387">
        <f t="shared" si="1"/>
        <v>100</v>
      </c>
      <c r="V17" s="1386" t="s">
        <v>5</v>
      </c>
      <c r="W17" s="1387">
        <f t="shared" si="2"/>
        <v>100</v>
      </c>
      <c r="X17" s="1380"/>
      <c r="Y17" s="3925"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26"/>
      <c r="Q18" s="1385"/>
      <c r="R18" s="1386"/>
      <c r="S18" s="1387"/>
      <c r="T18" s="1386"/>
      <c r="U18" s="1387"/>
      <c r="V18" s="1386"/>
      <c r="W18" s="1387"/>
      <c r="X18" s="1380"/>
      <c r="Y18" s="392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6"/>
      <c r="Q19" s="1385" t="str">
        <f>B19</f>
        <v>商业繁华度</v>
      </c>
      <c r="R19" s="1386" t="s">
        <v>5</v>
      </c>
      <c r="S19" s="1387">
        <f>F19</f>
        <v>100</v>
      </c>
      <c r="T19" s="1386" t="s">
        <v>5</v>
      </c>
      <c r="U19" s="1387">
        <f>H19</f>
        <v>100</v>
      </c>
      <c r="V19" s="1386" t="s">
        <v>5</v>
      </c>
      <c r="W19" s="1387">
        <f>J19</f>
        <v>100</v>
      </c>
      <c r="X19" s="1380"/>
      <c r="Y19" s="3926"/>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26"/>
      <c r="Q20" s="1385"/>
      <c r="R20" s="1386"/>
      <c r="S20" s="1387"/>
      <c r="T20" s="1386"/>
      <c r="U20" s="1387"/>
      <c r="V20" s="1386"/>
      <c r="W20" s="1387"/>
      <c r="X20" s="1380"/>
      <c r="Y20" s="392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6"/>
      <c r="Q21" s="1385" t="str">
        <f>B21</f>
        <v>办公集聚程度</v>
      </c>
      <c r="R21" s="1386" t="s">
        <v>5</v>
      </c>
      <c r="S21" s="1387">
        <f>F21</f>
        <v>100</v>
      </c>
      <c r="T21" s="1386" t="s">
        <v>5</v>
      </c>
      <c r="U21" s="1387">
        <f>H21</f>
        <v>100</v>
      </c>
      <c r="V21" s="1386" t="s">
        <v>5</v>
      </c>
      <c r="W21" s="1387">
        <f>J21</f>
        <v>100</v>
      </c>
      <c r="X21" s="1380"/>
      <c r="Y21" s="3926"/>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26"/>
      <c r="Q22" s="1385"/>
      <c r="R22" s="1386"/>
      <c r="S22" s="1387"/>
      <c r="T22" s="1386"/>
      <c r="U22" s="1387"/>
      <c r="V22" s="1386"/>
      <c r="W22" s="1387"/>
      <c r="X22" s="1380"/>
      <c r="Y22" s="392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6"/>
      <c r="Q23" s="1385" t="str">
        <f>B23</f>
        <v>交通便捷度</v>
      </c>
      <c r="R23" s="1386" t="s">
        <v>5</v>
      </c>
      <c r="S23" s="1387">
        <f>F23</f>
        <v>100</v>
      </c>
      <c r="T23" s="1386" t="s">
        <v>5</v>
      </c>
      <c r="U23" s="1387">
        <f>H23</f>
        <v>100</v>
      </c>
      <c r="V23" s="1386" t="s">
        <v>5</v>
      </c>
      <c r="W23" s="1387">
        <f>J23</f>
        <v>100</v>
      </c>
      <c r="X23" s="1380"/>
      <c r="Y23" s="3926"/>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26"/>
      <c r="Q24" s="1385"/>
      <c r="R24" s="1386"/>
      <c r="S24" s="1387"/>
      <c r="T24" s="1386"/>
      <c r="U24" s="1387"/>
      <c r="V24" s="1386"/>
      <c r="W24" s="1387"/>
      <c r="X24" s="1380"/>
      <c r="Y24" s="392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6"/>
      <c r="Q25" s="1385" t="str">
        <f t="shared" ref="Q25:Q39" si="8">B25</f>
        <v>区域土地利用方向</v>
      </c>
      <c r="R25" s="1386" t="s">
        <v>5</v>
      </c>
      <c r="S25" s="1387">
        <f>F25</f>
        <v>100</v>
      </c>
      <c r="T25" s="1386" t="s">
        <v>5</v>
      </c>
      <c r="U25" s="1387">
        <f>H25</f>
        <v>100</v>
      </c>
      <c r="V25" s="1386" t="s">
        <v>5</v>
      </c>
      <c r="W25" s="1387">
        <f>J25</f>
        <v>100</v>
      </c>
      <c r="X25" s="1380"/>
      <c r="Y25" s="392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26"/>
      <c r="Q26" s="1385"/>
      <c r="R26" s="1386"/>
      <c r="S26" s="1387"/>
      <c r="T26" s="1386"/>
      <c r="U26" s="1387"/>
      <c r="V26" s="1386"/>
      <c r="W26" s="1387"/>
      <c r="X26" s="1380"/>
      <c r="Y26" s="392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6"/>
      <c r="Q27" s="1385" t="str">
        <f t="shared" si="8"/>
        <v>自然及人文环境状况</v>
      </c>
      <c r="R27" s="1386" t="s">
        <v>5</v>
      </c>
      <c r="S27" s="1387">
        <f>F27</f>
        <v>100</v>
      </c>
      <c r="T27" s="1386" t="s">
        <v>5</v>
      </c>
      <c r="U27" s="1387">
        <f>H27</f>
        <v>100</v>
      </c>
      <c r="V27" s="1386" t="s">
        <v>5</v>
      </c>
      <c r="W27" s="1387">
        <f>J27</f>
        <v>100</v>
      </c>
      <c r="X27" s="1380"/>
      <c r="Y27" s="392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26"/>
      <c r="Q28" s="1385"/>
      <c r="R28" s="1386"/>
      <c r="S28" s="1387"/>
      <c r="T28" s="1386"/>
      <c r="U28" s="1387"/>
      <c r="V28" s="1386"/>
      <c r="W28" s="1387"/>
      <c r="X28" s="1380"/>
      <c r="Y28" s="3926"/>
      <c r="Z28" s="1388"/>
      <c r="AA28" s="1389">
        <v>1</v>
      </c>
      <c r="AB28" s="1389">
        <v>1</v>
      </c>
      <c r="AC28" s="1389">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6"/>
      <c r="Q29" s="1050" t="str">
        <f t="shared" si="8"/>
        <v>公共配套设施</v>
      </c>
      <c r="R29" s="1381" t="s">
        <v>5</v>
      </c>
      <c r="S29" s="1382">
        <f>F29</f>
        <v>100</v>
      </c>
      <c r="T29" s="1381" t="s">
        <v>5</v>
      </c>
      <c r="U29" s="1382">
        <f>H29</f>
        <v>100</v>
      </c>
      <c r="V29" s="1381" t="s">
        <v>5</v>
      </c>
      <c r="W29" s="1382">
        <f>J29</f>
        <v>100</v>
      </c>
      <c r="X29" s="1383"/>
      <c r="Y29" s="3926"/>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26"/>
      <c r="Q30" s="1050"/>
      <c r="R30" s="1381"/>
      <c r="S30" s="1382"/>
      <c r="T30" s="1381"/>
      <c r="U30" s="1382"/>
      <c r="V30" s="1381"/>
      <c r="W30" s="1382"/>
      <c r="X30" s="1383"/>
      <c r="Y30" s="3926"/>
      <c r="Z30" s="1049"/>
      <c r="AA30" s="1389">
        <v>1</v>
      </c>
      <c r="AB30" s="1389">
        <v>1</v>
      </c>
      <c r="AC30" s="1389">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6"/>
      <c r="Q31" s="2191" t="str">
        <f>B31</f>
        <v>基础设施水平</v>
      </c>
      <c r="R31" s="1381" t="s">
        <v>5</v>
      </c>
      <c r="S31" s="1382">
        <f>F31</f>
        <v>100</v>
      </c>
      <c r="T31" s="1381" t="s">
        <v>5</v>
      </c>
      <c r="U31" s="1382">
        <f>H31</f>
        <v>100</v>
      </c>
      <c r="V31" s="1381" t="s">
        <v>5</v>
      </c>
      <c r="W31" s="1382">
        <f>J31</f>
        <v>100</v>
      </c>
      <c r="X31" s="1383"/>
      <c r="Y31" s="3926"/>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8"/>
      <c r="M32" s="1855"/>
      <c r="N32" s="1855"/>
      <c r="O32" s="1860"/>
      <c r="P32" s="3926"/>
      <c r="Q32" s="2191"/>
      <c r="R32" s="1381"/>
      <c r="S32" s="1382"/>
      <c r="T32" s="1381"/>
      <c r="U32" s="1382"/>
      <c r="V32" s="1381"/>
      <c r="W32" s="1382"/>
      <c r="X32" s="1383"/>
      <c r="Y32" s="3926"/>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6"/>
      <c r="Q34" s="1385" t="str">
        <f t="shared" si="8"/>
        <v>毗邻道路的类型与等级</v>
      </c>
      <c r="R34" s="1386" t="s">
        <v>5</v>
      </c>
      <c r="S34" s="1387">
        <f t="shared" si="9"/>
        <v>100</v>
      </c>
      <c r="T34" s="1386" t="s">
        <v>5</v>
      </c>
      <c r="U34" s="1387">
        <f t="shared" si="10"/>
        <v>100</v>
      </c>
      <c r="V34" s="1386" t="s">
        <v>5</v>
      </c>
      <c r="W34" s="1387">
        <f t="shared" si="11"/>
        <v>100</v>
      </c>
      <c r="X34" s="1380"/>
      <c r="Y34" s="392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6"/>
      <c r="Q35" s="1385"/>
      <c r="R35" s="1386"/>
      <c r="S35" s="1387"/>
      <c r="T35" s="1386"/>
      <c r="U35" s="1387"/>
      <c r="V35" s="1386"/>
      <c r="W35" s="1387"/>
      <c r="X35" s="1380"/>
      <c r="Y35" s="392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6"/>
      <c r="Q36" s="1385" t="str">
        <f t="shared" si="8"/>
        <v>土地级别</v>
      </c>
      <c r="R36" s="1386" t="s">
        <v>5</v>
      </c>
      <c r="S36" s="1387">
        <f t="shared" si="9"/>
        <v>100</v>
      </c>
      <c r="T36" s="1386" t="s">
        <v>5</v>
      </c>
      <c r="U36" s="1387">
        <f t="shared" si="10"/>
        <v>100</v>
      </c>
      <c r="V36" s="1386" t="s">
        <v>5</v>
      </c>
      <c r="W36" s="1387">
        <f t="shared" si="11"/>
        <v>100</v>
      </c>
      <c r="X36" s="1380"/>
      <c r="Y36" s="392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6"/>
      <c r="Q37" s="1385">
        <f t="shared" si="8"/>
        <v>111</v>
      </c>
      <c r="R37" s="1386" t="s">
        <v>5</v>
      </c>
      <c r="S37" s="1387">
        <f t="shared" si="9"/>
        <v>100</v>
      </c>
      <c r="T37" s="1386" t="s">
        <v>5</v>
      </c>
      <c r="U37" s="1387">
        <f t="shared" si="10"/>
        <v>100</v>
      </c>
      <c r="V37" s="1386" t="s">
        <v>5</v>
      </c>
      <c r="W37" s="1387">
        <f t="shared" si="11"/>
        <v>100</v>
      </c>
      <c r="X37" s="1380"/>
      <c r="Y37" s="392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7" t="s">
        <v>499</v>
      </c>
      <c r="Q38" s="1385">
        <f t="shared" si="8"/>
        <v>111</v>
      </c>
      <c r="R38" s="1386" t="s">
        <v>5</v>
      </c>
      <c r="S38" s="1387">
        <f t="shared" si="9"/>
        <v>100</v>
      </c>
      <c r="T38" s="1386" t="s">
        <v>5</v>
      </c>
      <c r="U38" s="1387">
        <f t="shared" si="10"/>
        <v>100</v>
      </c>
      <c r="V38" s="1386" t="s">
        <v>5</v>
      </c>
      <c r="W38" s="1387">
        <f t="shared" si="11"/>
        <v>100</v>
      </c>
      <c r="X38" s="1380"/>
      <c r="Y38" s="392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8"/>
      <c r="Q39" s="1385">
        <f t="shared" si="8"/>
        <v>111</v>
      </c>
      <c r="R39" s="1390" t="s">
        <v>5</v>
      </c>
      <c r="S39" s="1391">
        <f t="shared" si="9"/>
        <v>100</v>
      </c>
      <c r="T39" s="1390" t="s">
        <v>5</v>
      </c>
      <c r="U39" s="1391">
        <f t="shared" si="10"/>
        <v>100</v>
      </c>
      <c r="V39" s="1390" t="s">
        <v>5</v>
      </c>
      <c r="W39" s="1391">
        <f t="shared" si="11"/>
        <v>100</v>
      </c>
      <c r="X39" s="1392"/>
      <c r="Y39" s="3928"/>
      <c r="Z39" s="1393">
        <f t="shared" si="12"/>
        <v>111</v>
      </c>
      <c r="AA39" s="1389">
        <f t="shared" si="3"/>
        <v>1</v>
      </c>
      <c r="AB39" s="1389">
        <f t="shared" si="4"/>
        <v>1</v>
      </c>
      <c r="AC39" s="1389">
        <f t="shared" si="5"/>
        <v>1</v>
      </c>
    </row>
    <row r="40" spans="1:29" ht="20.25">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8"/>
      <c r="Q40" s="1385" t="str">
        <f>B40</f>
        <v>宗地面积</v>
      </c>
      <c r="R40" s="1386" t="s">
        <v>5</v>
      </c>
      <c r="S40" s="1387" t="e">
        <f t="shared" si="9"/>
        <v>#N/A</v>
      </c>
      <c r="T40" s="1386" t="s">
        <v>5</v>
      </c>
      <c r="U40" s="1387" t="e">
        <f t="shared" si="10"/>
        <v>#N/A</v>
      </c>
      <c r="V40" s="1386" t="s">
        <v>5</v>
      </c>
      <c r="W40" s="1387" t="e">
        <f t="shared" si="11"/>
        <v>#N/A</v>
      </c>
      <c r="X40" s="1380"/>
      <c r="Y40" s="3928"/>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8"/>
      <c r="Q41" s="1385" t="str">
        <f t="shared" ref="Q41:Q47" si="13">B41</f>
        <v>宗地形状</v>
      </c>
      <c r="R41" s="1386" t="s">
        <v>5</v>
      </c>
      <c r="S41" s="1387">
        <f t="shared" si="9"/>
        <v>100</v>
      </c>
      <c r="T41" s="1386" t="s">
        <v>5</v>
      </c>
      <c r="U41" s="1387">
        <f t="shared" si="10"/>
        <v>100</v>
      </c>
      <c r="V41" s="1386" t="s">
        <v>5</v>
      </c>
      <c r="W41" s="1387">
        <f t="shared" si="11"/>
        <v>100</v>
      </c>
      <c r="X41" s="1380"/>
      <c r="Y41" s="392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8"/>
      <c r="Q42" s="1385" t="str">
        <f t="shared" si="13"/>
        <v>临街宽度及深度</v>
      </c>
      <c r="R42" s="1386" t="s">
        <v>5</v>
      </c>
      <c r="S42" s="1387">
        <f t="shared" si="9"/>
        <v>100</v>
      </c>
      <c r="T42" s="1386" t="s">
        <v>5</v>
      </c>
      <c r="U42" s="1387">
        <f t="shared" si="10"/>
        <v>100</v>
      </c>
      <c r="V42" s="1386" t="s">
        <v>5</v>
      </c>
      <c r="W42" s="1387">
        <f t="shared" si="11"/>
        <v>100</v>
      </c>
      <c r="X42" s="1380"/>
      <c r="Y42" s="3928"/>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8"/>
      <c r="Q43" s="1385" t="str">
        <f t="shared" si="13"/>
        <v>宗地开发程度</v>
      </c>
      <c r="R43" s="1381" t="s">
        <v>5</v>
      </c>
      <c r="S43" s="1382">
        <f t="shared" si="9"/>
        <v>100</v>
      </c>
      <c r="T43" s="1381" t="s">
        <v>5</v>
      </c>
      <c r="U43" s="1382">
        <f t="shared" si="10"/>
        <v>100</v>
      </c>
      <c r="V43" s="1381" t="s">
        <v>5</v>
      </c>
      <c r="W43" s="1382">
        <f t="shared" si="11"/>
        <v>100</v>
      </c>
      <c r="X43" s="1383"/>
      <c r="Y43" s="392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8" t="s">
        <v>499</v>
      </c>
      <c r="Q44" s="1385" t="str">
        <f t="shared" si="13"/>
        <v>工程地质条件</v>
      </c>
      <c r="R44" s="1386" t="s">
        <v>5</v>
      </c>
      <c r="S44" s="1387">
        <f t="shared" si="9"/>
        <v>100</v>
      </c>
      <c r="T44" s="1386" t="s">
        <v>5</v>
      </c>
      <c r="U44" s="1387">
        <f t="shared" si="10"/>
        <v>100</v>
      </c>
      <c r="V44" s="1386" t="s">
        <v>5</v>
      </c>
      <c r="W44" s="1387">
        <f t="shared" si="11"/>
        <v>100</v>
      </c>
      <c r="X44" s="1380"/>
      <c r="Y44" s="392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8"/>
      <c r="Q45" s="1385">
        <f t="shared" si="13"/>
        <v>111</v>
      </c>
      <c r="R45" s="1386" t="s">
        <v>5</v>
      </c>
      <c r="S45" s="1387">
        <f t="shared" si="9"/>
        <v>100</v>
      </c>
      <c r="T45" s="1386" t="s">
        <v>5</v>
      </c>
      <c r="U45" s="1387">
        <f t="shared" si="10"/>
        <v>100</v>
      </c>
      <c r="V45" s="1386" t="s">
        <v>5</v>
      </c>
      <c r="W45" s="1387">
        <f t="shared" si="11"/>
        <v>100</v>
      </c>
      <c r="X45" s="1380"/>
      <c r="Y45" s="392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8"/>
      <c r="Q46" s="1385">
        <f t="shared" si="13"/>
        <v>111</v>
      </c>
      <c r="R46" s="1386" t="s">
        <v>5</v>
      </c>
      <c r="S46" s="1387">
        <f t="shared" si="9"/>
        <v>100</v>
      </c>
      <c r="T46" s="1386" t="s">
        <v>5</v>
      </c>
      <c r="U46" s="1387">
        <f t="shared" si="10"/>
        <v>100</v>
      </c>
      <c r="V46" s="1386" t="s">
        <v>5</v>
      </c>
      <c r="W46" s="1387">
        <f t="shared" si="11"/>
        <v>100</v>
      </c>
      <c r="X46" s="1380"/>
      <c r="Y46" s="392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8"/>
      <c r="Q47" s="1385">
        <f t="shared" si="13"/>
        <v>111</v>
      </c>
      <c r="R47" s="1390" t="s">
        <v>5</v>
      </c>
      <c r="S47" s="1391">
        <f t="shared" si="9"/>
        <v>100</v>
      </c>
      <c r="T47" s="1390" t="s">
        <v>5</v>
      </c>
      <c r="U47" s="1391">
        <f t="shared" si="10"/>
        <v>100</v>
      </c>
      <c r="V47" s="1390" t="s">
        <v>5</v>
      </c>
      <c r="W47" s="1391">
        <f t="shared" si="11"/>
        <v>100</v>
      </c>
      <c r="X47" s="1392"/>
      <c r="Y47" s="3928"/>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892" t="str">
        <f>A48</f>
        <v>成交单价</v>
      </c>
      <c r="Q48" s="3892"/>
      <c r="R48" s="3893">
        <f>E48</f>
        <v>0</v>
      </c>
      <c r="S48" s="3893"/>
      <c r="T48" s="3893">
        <f>G48</f>
        <v>0</v>
      </c>
      <c r="U48" s="3893"/>
      <c r="V48" s="3893">
        <f>I48</f>
        <v>0</v>
      </c>
      <c r="W48" s="3893"/>
      <c r="X48" s="1375"/>
      <c r="Y48" s="1394"/>
      <c r="Z48" s="1375"/>
      <c r="AA48" s="1375"/>
      <c r="AB48" s="1375"/>
      <c r="AC48" s="1375"/>
    </row>
    <row r="49" spans="1:29" ht="21"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3892" t="str">
        <f>A49</f>
        <v>比较价格（元/平方米）</v>
      </c>
      <c r="Q49" s="3892"/>
      <c r="R49" s="3894" t="e">
        <f>ROUND(PRODUCT(R48,AA9:AA47),0)</f>
        <v>#DIV/0!</v>
      </c>
      <c r="S49" s="3894"/>
      <c r="T49" s="3894" t="e">
        <f>ROUND(PRODUCT(T48,AB9:AB47),0)</f>
        <v>#DIV/0!</v>
      </c>
      <c r="U49" s="3894"/>
      <c r="V49" s="3894" t="e">
        <f>ROUND(PRODUCT(V48,AC9:AC47),0)</f>
        <v>#DIV/0!</v>
      </c>
      <c r="W49" s="3894"/>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29" t="str">
        <f>A50</f>
        <v>估价对象XX用房的比较价格（楼面单价，元/平方米）</v>
      </c>
      <c r="Q50" s="3930"/>
      <c r="R50" s="3891" t="e">
        <f>ROUND(IF(D49="简单平均",AVERAGE(R49:W49),R49*F49+T49*H49+V49*J49),0)</f>
        <v>#DIV/0!</v>
      </c>
      <c r="S50" s="3891"/>
      <c r="T50" s="3891"/>
      <c r="U50" s="3891"/>
      <c r="V50" s="3891"/>
      <c r="W50" s="3891"/>
      <c r="X50" s="1375"/>
      <c r="Y50" s="1375"/>
      <c r="Z50" s="1375"/>
      <c r="AA50" s="1375"/>
      <c r="AB50" s="1375"/>
      <c r="AC50" s="1375"/>
    </row>
    <row r="51" spans="1:29" ht="20.25">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0.25">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8" t="s">
        <v>1639</v>
      </c>
      <c r="H57" s="391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10738.85</v>
      </c>
      <c r="F58" s="604" t="e">
        <f t="shared" ref="F58:F66" si="14">ROUND(B58*E58/10000,0)</f>
        <v>#DIV/0!</v>
      </c>
      <c r="G58" s="3920"/>
      <c r="H58" s="3921"/>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2023-11-1</v>
      </c>
      <c r="D69" s="2278">
        <f>EDATE(C69,-3)</f>
        <v>45139</v>
      </c>
      <c r="E69" s="2278">
        <f t="shared" ref="E69:N69" si="17">EDATE(D69,-3)</f>
        <v>45047</v>
      </c>
      <c r="F69" s="2278">
        <f t="shared" si="17"/>
        <v>44958</v>
      </c>
      <c r="G69" s="2278">
        <f t="shared" si="17"/>
        <v>44866</v>
      </c>
      <c r="H69" s="2278">
        <f t="shared" si="17"/>
        <v>44774</v>
      </c>
      <c r="I69" s="2278">
        <f t="shared" si="17"/>
        <v>44682</v>
      </c>
      <c r="J69" s="2278">
        <f t="shared" si="17"/>
        <v>44593</v>
      </c>
      <c r="K69" s="2278">
        <f t="shared" si="17"/>
        <v>44501</v>
      </c>
      <c r="L69" s="2278">
        <f t="shared" si="17"/>
        <v>44409</v>
      </c>
      <c r="M69" s="2278">
        <f t="shared" si="17"/>
        <v>44317</v>
      </c>
      <c r="N69" s="2278">
        <f t="shared" si="17"/>
        <v>44228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5" t="str">
        <f>YEAR(C69)&amp;"-"&amp;ROUNDUP(MONTH(C69)/3,0)</f>
        <v>2023-4</v>
      </c>
      <c r="D71" s="2280" t="str">
        <f>YEAR(D69)&amp;"-"&amp;ROUNDUP(MONTH(D69)/3,0)</f>
        <v>2023-3</v>
      </c>
      <c r="E71" s="2280" t="str">
        <f t="shared" ref="E71:N71" si="18">YEAR(E69)&amp;"-"&amp;ROUNDUP(MONTH(E69)/3,0)</f>
        <v>2023-2</v>
      </c>
      <c r="F71" s="2280" t="str">
        <f t="shared" si="18"/>
        <v>2023-1</v>
      </c>
      <c r="G71" s="2280" t="str">
        <f t="shared" si="18"/>
        <v>2022-4</v>
      </c>
      <c r="H71" s="2280" t="str">
        <f t="shared" si="18"/>
        <v>2022-3</v>
      </c>
      <c r="I71" s="2280" t="str">
        <f t="shared" si="18"/>
        <v>2022-2</v>
      </c>
      <c r="J71" s="2280" t="str">
        <f t="shared" si="18"/>
        <v>2022-1</v>
      </c>
      <c r="K71" s="2280" t="str">
        <f t="shared" si="18"/>
        <v>2021-4</v>
      </c>
      <c r="L71" s="2280" t="str">
        <f t="shared" si="18"/>
        <v>2021-3</v>
      </c>
      <c r="M71" s="2280" t="str">
        <f t="shared" si="18"/>
        <v>2021-2</v>
      </c>
      <c r="N71" s="2280" t="str">
        <f t="shared" si="18"/>
        <v>2021-1</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70" zoomScaleNormal="50" zoomScaleSheetLayoutView="70" workbookViewId="0">
      <selection activeCell="H19" sqref="H19"/>
    </sheetView>
  </sheetViews>
  <sheetFormatPr defaultColWidth="9" defaultRowHeight="14.25"/>
  <cols>
    <col min="1" max="1" width="13.375" style="1198" customWidth="1"/>
    <col min="2" max="2" width="15.75" style="1198" customWidth="1"/>
    <col min="3" max="3" width="17" style="1198" customWidth="1"/>
    <col min="4" max="4" width="12.25" style="1198" customWidth="1"/>
    <col min="5" max="5" width="14.375" style="1198" customWidth="1"/>
    <col min="6" max="6" width="12.25" style="1198" customWidth="1"/>
    <col min="7" max="7" width="14.5" style="1198" customWidth="1"/>
    <col min="8" max="8" width="12.25" style="1198" customWidth="1"/>
    <col min="9" max="9" width="17.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8261</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7693</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7693</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513</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898" t="s">
        <v>471</v>
      </c>
      <c r="D6" s="3899"/>
      <c r="E6" s="3933" t="s">
        <v>472</v>
      </c>
      <c r="F6" s="3934"/>
      <c r="G6" s="3898" t="s">
        <v>473</v>
      </c>
      <c r="H6" s="3899"/>
      <c r="I6" s="3898" t="s">
        <v>474</v>
      </c>
      <c r="J6" s="3899"/>
      <c r="K6" s="484" t="s">
        <v>475</v>
      </c>
      <c r="L6" s="1856"/>
      <c r="M6" s="1857"/>
      <c r="N6" s="1857"/>
      <c r="O6" s="1857"/>
      <c r="P6" s="3900" t="s">
        <v>476</v>
      </c>
      <c r="Q6" s="3901"/>
      <c r="R6" s="3906" t="s">
        <v>472</v>
      </c>
      <c r="S6" s="3907"/>
      <c r="T6" s="3906" t="s">
        <v>473</v>
      </c>
      <c r="U6" s="3907"/>
      <c r="V6" s="3893" t="s">
        <v>474</v>
      </c>
      <c r="W6" s="3893"/>
      <c r="X6" s="1380"/>
      <c r="Y6" s="3906" t="s">
        <v>476</v>
      </c>
      <c r="Z6" s="3907"/>
      <c r="AA6" s="3895" t="s">
        <v>472</v>
      </c>
      <c r="AB6" s="3896" t="s">
        <v>473</v>
      </c>
      <c r="AC6" s="3895" t="s">
        <v>474</v>
      </c>
    </row>
    <row r="7" spans="1:29" ht="15">
      <c r="A7" s="485"/>
      <c r="B7" s="486"/>
      <c r="C7" s="3914" t="s">
        <v>2190</v>
      </c>
      <c r="D7" s="3915"/>
      <c r="E7" s="3935" t="str">
        <f>'案例（企业）'!B3</f>
        <v>海淀区清河安宁庄东路1号</v>
      </c>
      <c r="F7" s="3936"/>
      <c r="G7" s="3914" t="str">
        <f>'案例（企业）'!B4</f>
        <v>丰台区南四环中路10号</v>
      </c>
      <c r="H7" s="3915"/>
      <c r="I7" s="3914" t="str">
        <f>'案例（企业）'!B5</f>
        <v>顺义区南法信地区刘家河村顺余东路1号</v>
      </c>
      <c r="J7" s="3915"/>
      <c r="K7" s="484"/>
      <c r="L7" s="1856"/>
      <c r="M7" s="1857"/>
      <c r="N7" s="1857"/>
      <c r="O7" s="1857"/>
      <c r="P7" s="3902"/>
      <c r="Q7" s="3903"/>
      <c r="R7" s="3908"/>
      <c r="S7" s="3909"/>
      <c r="T7" s="3908"/>
      <c r="U7" s="3909"/>
      <c r="V7" s="3893"/>
      <c r="W7" s="3893"/>
      <c r="X7" s="1380"/>
      <c r="Y7" s="3908"/>
      <c r="Z7" s="3909"/>
      <c r="AA7" s="3896"/>
      <c r="AB7" s="3896"/>
      <c r="AC7" s="3896"/>
    </row>
    <row r="8" spans="1:29" ht="15.75" thickBot="1">
      <c r="A8" s="487"/>
      <c r="B8" s="488"/>
      <c r="C8" s="3912" t="s">
        <v>2194</v>
      </c>
      <c r="D8" s="3913"/>
      <c r="E8" s="3931" t="s">
        <v>2194</v>
      </c>
      <c r="F8" s="3932"/>
      <c r="G8" s="3912" t="s">
        <v>2194</v>
      </c>
      <c r="H8" s="3913"/>
      <c r="I8" s="3912" t="s">
        <v>2194</v>
      </c>
      <c r="J8" s="3913"/>
      <c r="K8" s="484" t="s">
        <v>477</v>
      </c>
      <c r="L8" s="1856"/>
      <c r="M8" s="1857"/>
      <c r="N8" s="1857"/>
      <c r="O8" s="1857"/>
      <c r="P8" s="3904"/>
      <c r="Q8" s="3905"/>
      <c r="R8" s="3908"/>
      <c r="S8" s="3909"/>
      <c r="T8" s="3910"/>
      <c r="U8" s="3911"/>
      <c r="V8" s="3893"/>
      <c r="W8" s="3893"/>
      <c r="X8" s="1380"/>
      <c r="Y8" s="3910"/>
      <c r="Z8" s="3911"/>
      <c r="AA8" s="3897"/>
      <c r="AB8" s="3897"/>
      <c r="AC8" s="3897"/>
    </row>
    <row r="9" spans="1:29" s="1118" customFormat="1" ht="15.75" thickBot="1">
      <c r="A9" s="2391"/>
      <c r="B9" s="2398" t="s">
        <v>478</v>
      </c>
      <c r="C9" s="489">
        <f>'数据-取费表'!B2</f>
        <v>45248</v>
      </c>
      <c r="D9" s="490">
        <v>100</v>
      </c>
      <c r="E9" s="491">
        <f>'案例（企业）'!L3</f>
        <v>43410</v>
      </c>
      <c r="F9" s="492">
        <f>SUMIF(66:66,YEAR(E9)&amp;"-"&amp;INT((MONTH(E9)+2)/3),67:67)</f>
        <v>85.29</v>
      </c>
      <c r="G9" s="493">
        <f>'案例（企业）'!L4</f>
        <v>43349</v>
      </c>
      <c r="H9" s="490">
        <f>SUMIF(66:66,YEAR(G9)&amp;"-"&amp;INT((MONTH(G9)+2)/3),67:67)</f>
        <v>83.83</v>
      </c>
      <c r="I9" s="493">
        <f>'案例（企业）'!L6</f>
        <v>45247</v>
      </c>
      <c r="J9" s="490">
        <f>SUMIF(66:66,YEAR(I9)&amp;"-"&amp;INT((MONTH(I9)+2)/3),67:67)</f>
        <v>100</v>
      </c>
      <c r="K9" s="494"/>
      <c r="L9" s="1858"/>
      <c r="M9" s="1859"/>
      <c r="N9" s="1859"/>
      <c r="O9" s="1859"/>
      <c r="P9" s="3922" t="s">
        <v>479</v>
      </c>
      <c r="Q9" s="3924"/>
      <c r="R9" s="1381" t="s">
        <v>5</v>
      </c>
      <c r="S9" s="1382">
        <f t="shared" ref="S9:S17" si="0">F9</f>
        <v>85.29</v>
      </c>
      <c r="T9" s="1381" t="s">
        <v>5</v>
      </c>
      <c r="U9" s="1382">
        <f t="shared" ref="U9:U17" si="1">H9</f>
        <v>83.83</v>
      </c>
      <c r="V9" s="1381" t="s">
        <v>5</v>
      </c>
      <c r="W9" s="1382">
        <f t="shared" ref="W9:W17" si="2">J9</f>
        <v>100</v>
      </c>
      <c r="X9" s="1383"/>
      <c r="Y9" s="3922" t="s">
        <v>479</v>
      </c>
      <c r="Z9" s="3923"/>
      <c r="AA9" s="1384">
        <f>D9/F9</f>
        <v>1.172470395122523</v>
      </c>
      <c r="AB9" s="1384">
        <f>D9/H9</f>
        <v>1.192890373374687</v>
      </c>
      <c r="AC9" s="1384">
        <f>D9/J9</f>
        <v>1</v>
      </c>
    </row>
    <row r="10" spans="1:29" s="1118" customFormat="1" ht="15.7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3922" t="s">
        <v>482</v>
      </c>
      <c r="Q10" s="3923"/>
      <c r="R10" s="1381" t="s">
        <v>5</v>
      </c>
      <c r="S10" s="1382">
        <f t="shared" si="0"/>
        <v>100</v>
      </c>
      <c r="T10" s="1381" t="s">
        <v>5</v>
      </c>
      <c r="U10" s="1382">
        <f t="shared" si="1"/>
        <v>100</v>
      </c>
      <c r="V10" s="1381" t="s">
        <v>5</v>
      </c>
      <c r="W10" s="1382">
        <f t="shared" si="2"/>
        <v>100</v>
      </c>
      <c r="X10" s="1383"/>
      <c r="Y10" s="3922" t="s">
        <v>482</v>
      </c>
      <c r="Z10" s="3923"/>
      <c r="AA10" s="1384">
        <f t="shared" ref="AA10:AA42" si="3">D10/F10</f>
        <v>1</v>
      </c>
      <c r="AB10" s="1384">
        <f t="shared" ref="AB10:AB42" si="4">D10/H10</f>
        <v>1</v>
      </c>
      <c r="AC10" s="1384">
        <f t="shared" ref="AC10:AC42" si="5">D10/J10</f>
        <v>1</v>
      </c>
    </row>
    <row r="11" spans="1:29" s="1118" customFormat="1" ht="15">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892" t="s">
        <v>484</v>
      </c>
      <c r="Q11" s="1050" t="str">
        <f t="shared" ref="Q11:Q17" si="6">B11</f>
        <v>用途</v>
      </c>
      <c r="R11" s="1381" t="s">
        <v>5</v>
      </c>
      <c r="S11" s="1382">
        <f t="shared" si="0"/>
        <v>100</v>
      </c>
      <c r="T11" s="1381" t="s">
        <v>5</v>
      </c>
      <c r="U11" s="1382">
        <f t="shared" si="1"/>
        <v>100</v>
      </c>
      <c r="V11" s="1381" t="s">
        <v>5</v>
      </c>
      <c r="W11" s="1382">
        <f t="shared" si="2"/>
        <v>100</v>
      </c>
      <c r="X11" s="1383"/>
      <c r="Y11" s="3834" t="s">
        <v>485</v>
      </c>
      <c r="Z11" s="1049" t="str">
        <f t="shared" ref="Z11:Z17" si="7">Q11</f>
        <v>用途</v>
      </c>
      <c r="AA11" s="1384">
        <f t="shared" si="3"/>
        <v>1</v>
      </c>
      <c r="AB11" s="1384">
        <f t="shared" si="4"/>
        <v>1</v>
      </c>
      <c r="AC11" s="1384">
        <f t="shared" si="5"/>
        <v>1</v>
      </c>
    </row>
    <row r="12" spans="1:29" s="1199"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2"/>
      <c r="Q12" s="1050" t="str">
        <f t="shared" si="6"/>
        <v>土地使用年限（年）</v>
      </c>
      <c r="R12" s="1381" t="s">
        <v>5</v>
      </c>
      <c r="S12" s="1382">
        <f t="shared" si="0"/>
        <v>100</v>
      </c>
      <c r="T12" s="1381" t="s">
        <v>5</v>
      </c>
      <c r="U12" s="1382">
        <f t="shared" si="1"/>
        <v>100</v>
      </c>
      <c r="V12" s="1381" t="s">
        <v>5</v>
      </c>
      <c r="W12" s="1382">
        <f t="shared" si="2"/>
        <v>100</v>
      </c>
      <c r="X12" s="1383"/>
      <c r="Y12" s="3834"/>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2"/>
      <c r="Q13" s="1050" t="str">
        <f t="shared" si="6"/>
        <v>容积率</v>
      </c>
      <c r="R13" s="1381" t="s">
        <v>5</v>
      </c>
      <c r="S13" s="1382">
        <f t="shared" si="0"/>
        <v>100</v>
      </c>
      <c r="T13" s="1381" t="s">
        <v>5</v>
      </c>
      <c r="U13" s="1382">
        <f t="shared" si="1"/>
        <v>100</v>
      </c>
      <c r="V13" s="1381" t="s">
        <v>5</v>
      </c>
      <c r="W13" s="1382">
        <f t="shared" si="2"/>
        <v>100</v>
      </c>
      <c r="X13" s="1383"/>
      <c r="Y13" s="3834"/>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2"/>
      <c r="Q14" s="1050">
        <f t="shared" si="6"/>
        <v>111</v>
      </c>
      <c r="R14" s="1381" t="s">
        <v>5</v>
      </c>
      <c r="S14" s="1382">
        <f t="shared" si="0"/>
        <v>100</v>
      </c>
      <c r="T14" s="1381" t="s">
        <v>5</v>
      </c>
      <c r="U14" s="1382">
        <f t="shared" si="1"/>
        <v>100</v>
      </c>
      <c r="V14" s="1381" t="s">
        <v>5</v>
      </c>
      <c r="W14" s="1382">
        <f t="shared" si="2"/>
        <v>100</v>
      </c>
      <c r="X14" s="1383"/>
      <c r="Y14" s="3834"/>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2"/>
      <c r="Q15" s="1050">
        <f t="shared" si="6"/>
        <v>111</v>
      </c>
      <c r="R15" s="1381" t="s">
        <v>5</v>
      </c>
      <c r="S15" s="1382">
        <f t="shared" si="0"/>
        <v>100</v>
      </c>
      <c r="T15" s="1381" t="s">
        <v>5</v>
      </c>
      <c r="U15" s="1382">
        <f t="shared" si="1"/>
        <v>100</v>
      </c>
      <c r="V15" s="1381" t="s">
        <v>5</v>
      </c>
      <c r="W15" s="1382">
        <f t="shared" si="2"/>
        <v>100</v>
      </c>
      <c r="X15" s="1383"/>
      <c r="Y15" s="3834"/>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2"/>
      <c r="Q16" s="1050">
        <f t="shared" si="6"/>
        <v>111</v>
      </c>
      <c r="R16" s="1381" t="s">
        <v>5</v>
      </c>
      <c r="S16" s="1382">
        <f t="shared" si="0"/>
        <v>100</v>
      </c>
      <c r="T16" s="1381" t="s">
        <v>5</v>
      </c>
      <c r="U16" s="1382">
        <f t="shared" si="1"/>
        <v>100</v>
      </c>
      <c r="V16" s="1381" t="s">
        <v>5</v>
      </c>
      <c r="W16" s="1382">
        <f t="shared" si="2"/>
        <v>100</v>
      </c>
      <c r="X16" s="1383"/>
      <c r="Y16" s="3834"/>
      <c r="Z16" s="1049">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105</v>
      </c>
      <c r="G17" s="520"/>
      <c r="H17" s="519">
        <f>SUMIF(84:84,G18,85:85)-SUMIF(84:84,C18,85:85)+100</f>
        <v>105</v>
      </c>
      <c r="I17" s="3706"/>
      <c r="J17" s="519">
        <f>SUMIF(84:84,I18,85:85)-SUMIF(84:84,C18,85:85)+100</f>
        <v>105</v>
      </c>
      <c r="K17" s="505">
        <v>5</v>
      </c>
      <c r="L17" s="1865"/>
      <c r="M17" s="1857"/>
      <c r="N17" s="1857"/>
      <c r="O17" s="1864"/>
      <c r="P17" s="3925" t="s">
        <v>489</v>
      </c>
      <c r="Q17" s="1385" t="str">
        <f t="shared" si="6"/>
        <v>产业集聚程度</v>
      </c>
      <c r="R17" s="1386" t="s">
        <v>5</v>
      </c>
      <c r="S17" s="1387">
        <f t="shared" si="0"/>
        <v>105</v>
      </c>
      <c r="T17" s="1386" t="s">
        <v>5</v>
      </c>
      <c r="U17" s="1387">
        <f t="shared" si="1"/>
        <v>105</v>
      </c>
      <c r="V17" s="1386" t="s">
        <v>5</v>
      </c>
      <c r="W17" s="1387">
        <f t="shared" si="2"/>
        <v>105</v>
      </c>
      <c r="X17" s="1380"/>
      <c r="Y17" s="3925" t="s">
        <v>489</v>
      </c>
      <c r="Z17" s="1388" t="str">
        <f t="shared" si="7"/>
        <v>产业集聚程度</v>
      </c>
      <c r="AA17" s="1389">
        <f t="shared" si="3"/>
        <v>0.95238095238095233</v>
      </c>
      <c r="AB17" s="1389">
        <f t="shared" si="4"/>
        <v>0.95238095238095233</v>
      </c>
      <c r="AC17" s="1389">
        <f t="shared" si="5"/>
        <v>0.95238095238095233</v>
      </c>
    </row>
    <row r="18" spans="1:29" ht="15">
      <c r="A18" s="502"/>
      <c r="B18" s="832"/>
      <c r="C18" s="546" t="s">
        <v>3302</v>
      </c>
      <c r="D18" s="525"/>
      <c r="E18" s="524" t="s">
        <v>3303</v>
      </c>
      <c r="F18" s="525"/>
      <c r="G18" s="524" t="s">
        <v>3303</v>
      </c>
      <c r="H18" s="529"/>
      <c r="I18" s="524" t="s">
        <v>3303</v>
      </c>
      <c r="J18" s="525"/>
      <c r="K18" s="501"/>
      <c r="L18" s="1865"/>
      <c r="M18" s="1857"/>
      <c r="N18" s="1857"/>
      <c r="O18" s="1864"/>
      <c r="P18" s="3926"/>
      <c r="Q18" s="1385"/>
      <c r="R18" s="1386"/>
      <c r="S18" s="1387"/>
      <c r="T18" s="1386"/>
      <c r="U18" s="1387"/>
      <c r="V18" s="1386"/>
      <c r="W18" s="1387"/>
      <c r="X18" s="1380"/>
      <c r="Y18" s="3926"/>
      <c r="Z18" s="1388"/>
      <c r="AA18" s="1389">
        <v>1</v>
      </c>
      <c r="AB18" s="1389">
        <v>1</v>
      </c>
      <c r="AC18" s="1389">
        <v>1</v>
      </c>
    </row>
    <row r="19" spans="1:29" ht="140.25">
      <c r="A19" s="502"/>
      <c r="B19" s="834" t="s">
        <v>492</v>
      </c>
      <c r="C19" s="835" t="str">
        <f>估价对象房地状况!G16</f>
        <v>估价对象周边道路状况、公共交通通达情况、停车便捷程度，综合评价交通便捷度较好</v>
      </c>
      <c r="D19" s="529">
        <v>100</v>
      </c>
      <c r="E19" s="532"/>
      <c r="F19" s="535">
        <f>SUMIF(86:86,E20,87:87)-SUMIF(86:86,C20,87:87)+100</f>
        <v>97</v>
      </c>
      <c r="G19" s="532"/>
      <c r="H19" s="535">
        <f>SUMIF(86:86,G20,87:87)-SUMIF(86:86,C20,87:87)+100</f>
        <v>97</v>
      </c>
      <c r="I19" s="3707" t="s">
        <v>3370</v>
      </c>
      <c r="J19" s="529">
        <f>SUMIF(86:86,I20,87:87)-SUMIF(86:86,C20,87:87)+100</f>
        <v>100</v>
      </c>
      <c r="K19" s="505">
        <v>3</v>
      </c>
      <c r="L19" s="1865"/>
      <c r="M19" s="1857"/>
      <c r="N19" s="1857"/>
      <c r="O19" s="1864"/>
      <c r="P19" s="3926"/>
      <c r="Q19" s="1385" t="str">
        <f>B19</f>
        <v>交通便捷度</v>
      </c>
      <c r="R19" s="1386" t="s">
        <v>5</v>
      </c>
      <c r="S19" s="1387">
        <f>F19</f>
        <v>97</v>
      </c>
      <c r="T19" s="1386" t="s">
        <v>5</v>
      </c>
      <c r="U19" s="1387">
        <f>H19</f>
        <v>97</v>
      </c>
      <c r="V19" s="1386" t="s">
        <v>5</v>
      </c>
      <c r="W19" s="1387">
        <f>J19</f>
        <v>100</v>
      </c>
      <c r="X19" s="1380"/>
      <c r="Y19" s="3926"/>
      <c r="Z19" s="1388" t="str">
        <f>Q19</f>
        <v>交通便捷度</v>
      </c>
      <c r="AA19" s="1389">
        <f t="shared" si="3"/>
        <v>1.0309278350515463</v>
      </c>
      <c r="AB19" s="1389">
        <f t="shared" si="4"/>
        <v>1.0309278350515463</v>
      </c>
      <c r="AC19" s="1389">
        <f t="shared" si="5"/>
        <v>1</v>
      </c>
    </row>
    <row r="20" spans="1:29" ht="15">
      <c r="A20" s="502"/>
      <c r="B20" s="885"/>
      <c r="C20" s="546" t="s">
        <v>3303</v>
      </c>
      <c r="D20" s="525"/>
      <c r="E20" s="526" t="s">
        <v>3302</v>
      </c>
      <c r="F20" s="525"/>
      <c r="G20" s="526" t="s">
        <v>3302</v>
      </c>
      <c r="H20" s="525"/>
      <c r="I20" s="528" t="s">
        <v>3303</v>
      </c>
      <c r="J20" s="525"/>
      <c r="K20" s="501"/>
      <c r="L20" s="1865"/>
      <c r="M20" s="1857"/>
      <c r="N20" s="1857"/>
      <c r="O20" s="1864"/>
      <c r="P20" s="3926"/>
      <c r="Q20" s="1385"/>
      <c r="R20" s="1386"/>
      <c r="S20" s="1387"/>
      <c r="T20" s="1386"/>
      <c r="U20" s="1387"/>
      <c r="V20" s="1386"/>
      <c r="W20" s="1387"/>
      <c r="X20" s="1380"/>
      <c r="Y20" s="392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6"/>
      <c r="Q21" s="1385" t="str">
        <f t="shared" ref="Q21:Q35" si="8">B21</f>
        <v>区域土地利用方向</v>
      </c>
      <c r="R21" s="1386" t="s">
        <v>5</v>
      </c>
      <c r="S21" s="1387">
        <f>F21</f>
        <v>100</v>
      </c>
      <c r="T21" s="1386" t="s">
        <v>5</v>
      </c>
      <c r="U21" s="1387">
        <f>H21</f>
        <v>100</v>
      </c>
      <c r="V21" s="1386" t="s">
        <v>5</v>
      </c>
      <c r="W21" s="1387">
        <f>J21</f>
        <v>100</v>
      </c>
      <c r="X21" s="1380"/>
      <c r="Y21" s="3926"/>
      <c r="Z21" s="1388" t="str">
        <f>Q21</f>
        <v>区域土地利用方向</v>
      </c>
      <c r="AA21" s="1389">
        <f t="shared" si="3"/>
        <v>1</v>
      </c>
      <c r="AB21" s="1389">
        <f t="shared" si="4"/>
        <v>1</v>
      </c>
      <c r="AC21" s="1389">
        <f t="shared" si="5"/>
        <v>1</v>
      </c>
    </row>
    <row r="22" spans="1:29" ht="15">
      <c r="A22" s="485"/>
      <c r="B22" s="565"/>
      <c r="C22" s="546" t="s">
        <v>3302</v>
      </c>
      <c r="D22" s="525"/>
      <c r="E22" s="526" t="s">
        <v>3302</v>
      </c>
      <c r="F22" s="527"/>
      <c r="G22" s="528" t="s">
        <v>3302</v>
      </c>
      <c r="H22" s="527"/>
      <c r="I22" s="528" t="s">
        <v>3302</v>
      </c>
      <c r="J22" s="527"/>
      <c r="K22" s="1208"/>
      <c r="L22" s="1865"/>
      <c r="M22" s="1857"/>
      <c r="N22" s="1857"/>
      <c r="O22" s="1864"/>
      <c r="P22" s="3926"/>
      <c r="Q22" s="1385"/>
      <c r="R22" s="1386"/>
      <c r="S22" s="1387"/>
      <c r="T22" s="1386"/>
      <c r="U22" s="1387"/>
      <c r="V22" s="1386"/>
      <c r="W22" s="1387"/>
      <c r="X22" s="1380"/>
      <c r="Y22" s="3926"/>
      <c r="Z22" s="1388"/>
      <c r="AA22" s="1389"/>
      <c r="AB22" s="1389"/>
      <c r="AC22" s="1389"/>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3926"/>
      <c r="Q23" s="1385" t="str">
        <f t="shared" si="8"/>
        <v>环境状况</v>
      </c>
      <c r="R23" s="1386" t="s">
        <v>5</v>
      </c>
      <c r="S23" s="1387">
        <f>F23</f>
        <v>100</v>
      </c>
      <c r="T23" s="1386" t="s">
        <v>5</v>
      </c>
      <c r="U23" s="1387">
        <f>H23</f>
        <v>100</v>
      </c>
      <c r="V23" s="1386" t="s">
        <v>5</v>
      </c>
      <c r="W23" s="1387">
        <f>J23</f>
        <v>98</v>
      </c>
      <c r="X23" s="1380"/>
      <c r="Y23" s="3926"/>
      <c r="Z23" s="1388" t="str">
        <f>Q23</f>
        <v>环境状况</v>
      </c>
      <c r="AA23" s="1389">
        <f t="shared" si="3"/>
        <v>1</v>
      </c>
      <c r="AB23" s="1389">
        <f t="shared" si="4"/>
        <v>1</v>
      </c>
      <c r="AC23" s="1389">
        <f t="shared" si="5"/>
        <v>1.0204081632653061</v>
      </c>
    </row>
    <row r="24" spans="1:29" ht="15">
      <c r="A24" s="485"/>
      <c r="B24" s="565"/>
      <c r="C24" s="546" t="s">
        <v>3303</v>
      </c>
      <c r="D24" s="525"/>
      <c r="E24" s="524" t="s">
        <v>3303</v>
      </c>
      <c r="F24" s="525"/>
      <c r="G24" s="524" t="s">
        <v>3303</v>
      </c>
      <c r="H24" s="525"/>
      <c r="I24" s="546" t="s">
        <v>3302</v>
      </c>
      <c r="J24" s="525"/>
      <c r="K24" s="501"/>
      <c r="L24" s="1865"/>
      <c r="M24" s="1857"/>
      <c r="N24" s="1857"/>
      <c r="O24" s="1864"/>
      <c r="P24" s="3926"/>
      <c r="Q24" s="1385"/>
      <c r="R24" s="1386"/>
      <c r="S24" s="1387"/>
      <c r="T24" s="1386"/>
      <c r="U24" s="1387"/>
      <c r="V24" s="1386"/>
      <c r="W24" s="1387"/>
      <c r="X24" s="1380"/>
      <c r="Y24" s="3926"/>
      <c r="Z24" s="1388"/>
      <c r="AA24" s="1389">
        <v>1</v>
      </c>
      <c r="AB24" s="1389">
        <v>1</v>
      </c>
      <c r="AC24" s="1389">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3926"/>
      <c r="Q25" s="1050" t="str">
        <f t="shared" si="8"/>
        <v>公共配套设施</v>
      </c>
      <c r="R25" s="1381" t="s">
        <v>5</v>
      </c>
      <c r="S25" s="1382">
        <f>F25</f>
        <v>100</v>
      </c>
      <c r="T25" s="1381" t="s">
        <v>5</v>
      </c>
      <c r="U25" s="1382">
        <f>H25</f>
        <v>98</v>
      </c>
      <c r="V25" s="1381" t="s">
        <v>5</v>
      </c>
      <c r="W25" s="1382">
        <f>J25</f>
        <v>98</v>
      </c>
      <c r="X25" s="1383"/>
      <c r="Y25" s="3926"/>
      <c r="Z25" s="1049" t="str">
        <f>Q25</f>
        <v>公共配套设施</v>
      </c>
      <c r="AA25" s="1389">
        <f>D25/F25</f>
        <v>1</v>
      </c>
      <c r="AB25" s="1389">
        <f>D25/H25</f>
        <v>1.0204081632653061</v>
      </c>
      <c r="AC25" s="1389">
        <f>D25/J25</f>
        <v>1.0204081632653061</v>
      </c>
    </row>
    <row r="26" spans="1:29" s="1118" customFormat="1" ht="15">
      <c r="A26" s="547"/>
      <c r="B26" s="565"/>
      <c r="C26" s="2199" t="s">
        <v>3303</v>
      </c>
      <c r="D26" s="525"/>
      <c r="E26" s="524" t="s">
        <v>3303</v>
      </c>
      <c r="F26" s="525"/>
      <c r="G26" s="524" t="s">
        <v>3302</v>
      </c>
      <c r="H26" s="525"/>
      <c r="I26" s="546" t="s">
        <v>3302</v>
      </c>
      <c r="J26" s="525"/>
      <c r="K26" s="501"/>
      <c r="L26" s="1858"/>
      <c r="M26" s="1859"/>
      <c r="N26" s="1859"/>
      <c r="O26" s="1860"/>
      <c r="P26" s="3926"/>
      <c r="Q26" s="1050"/>
      <c r="R26" s="1381"/>
      <c r="S26" s="1382"/>
      <c r="T26" s="1381"/>
      <c r="U26" s="1382"/>
      <c r="V26" s="1381"/>
      <c r="W26" s="1382"/>
      <c r="X26" s="1383"/>
      <c r="Y26" s="3926"/>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6"/>
      <c r="Q27" s="2191" t="str">
        <f>B27</f>
        <v>基础设施水平</v>
      </c>
      <c r="R27" s="1381" t="s">
        <v>5</v>
      </c>
      <c r="S27" s="1382">
        <f>F27</f>
        <v>100</v>
      </c>
      <c r="T27" s="1381" t="s">
        <v>5</v>
      </c>
      <c r="U27" s="1382">
        <f>H27</f>
        <v>100</v>
      </c>
      <c r="V27" s="1381" t="s">
        <v>5</v>
      </c>
      <c r="W27" s="1382">
        <f>J27</f>
        <v>100</v>
      </c>
      <c r="X27" s="1383"/>
      <c r="Y27" s="3926"/>
      <c r="Z27" s="2190" t="str">
        <f>Q27</f>
        <v>基础设施水平</v>
      </c>
      <c r="AA27" s="1389">
        <f>D27/F27</f>
        <v>1</v>
      </c>
      <c r="AB27" s="1389">
        <f>D27/H27</f>
        <v>1</v>
      </c>
      <c r="AC27" s="1389">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3926"/>
      <c r="Q28" s="2191"/>
      <c r="R28" s="1381"/>
      <c r="S28" s="1382"/>
      <c r="T28" s="1381"/>
      <c r="U28" s="1382"/>
      <c r="V28" s="1381"/>
      <c r="W28" s="1382"/>
      <c r="X28" s="1383"/>
      <c r="Y28" s="3926"/>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6"/>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6"/>
      <c r="Q30" s="1385" t="str">
        <f t="shared" si="8"/>
        <v>毗邻道路的类型与等级</v>
      </c>
      <c r="R30" s="1386" t="s">
        <v>5</v>
      </c>
      <c r="S30" s="1387">
        <f t="shared" si="9"/>
        <v>100</v>
      </c>
      <c r="T30" s="1386" t="s">
        <v>5</v>
      </c>
      <c r="U30" s="1387">
        <f t="shared" si="10"/>
        <v>100</v>
      </c>
      <c r="V30" s="1386" t="s">
        <v>5</v>
      </c>
      <c r="W30" s="1387">
        <f t="shared" si="11"/>
        <v>100</v>
      </c>
      <c r="X30" s="1380"/>
      <c r="Y30" s="392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6"/>
      <c r="Q31" s="1385"/>
      <c r="R31" s="1386"/>
      <c r="S31" s="1387"/>
      <c r="T31" s="1386"/>
      <c r="U31" s="1387"/>
      <c r="V31" s="1386"/>
      <c r="W31" s="1387"/>
      <c r="X31" s="1380"/>
      <c r="Y31" s="3926"/>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100</v>
      </c>
      <c r="K32" s="554">
        <v>0</v>
      </c>
      <c r="L32" s="1865"/>
      <c r="M32" s="1857"/>
      <c r="N32" s="1857"/>
      <c r="O32" s="1864"/>
      <c r="P32" s="3926"/>
      <c r="Q32" s="1385" t="str">
        <f t="shared" si="8"/>
        <v>土地级别</v>
      </c>
      <c r="R32" s="1386" t="s">
        <v>5</v>
      </c>
      <c r="S32" s="1387">
        <f t="shared" si="9"/>
        <v>100</v>
      </c>
      <c r="T32" s="1386" t="s">
        <v>5</v>
      </c>
      <c r="U32" s="1387">
        <f t="shared" si="10"/>
        <v>100</v>
      </c>
      <c r="V32" s="1386" t="s">
        <v>5</v>
      </c>
      <c r="W32" s="1387">
        <f t="shared" si="11"/>
        <v>100</v>
      </c>
      <c r="X32" s="1380"/>
      <c r="Y32" s="392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6"/>
      <c r="Q33" s="1385">
        <f t="shared" si="8"/>
        <v>111</v>
      </c>
      <c r="R33" s="1386" t="s">
        <v>5</v>
      </c>
      <c r="S33" s="1387">
        <f t="shared" si="9"/>
        <v>100</v>
      </c>
      <c r="T33" s="1386" t="s">
        <v>5</v>
      </c>
      <c r="U33" s="1387">
        <f t="shared" si="10"/>
        <v>100</v>
      </c>
      <c r="V33" s="1386" t="s">
        <v>5</v>
      </c>
      <c r="W33" s="1387">
        <f t="shared" si="11"/>
        <v>100</v>
      </c>
      <c r="X33" s="1380"/>
      <c r="Y33" s="392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7" t="s">
        <v>499</v>
      </c>
      <c r="Q34" s="1385">
        <f t="shared" si="8"/>
        <v>111</v>
      </c>
      <c r="R34" s="1386" t="s">
        <v>5</v>
      </c>
      <c r="S34" s="1387">
        <f t="shared" si="9"/>
        <v>100</v>
      </c>
      <c r="T34" s="1386" t="s">
        <v>5</v>
      </c>
      <c r="U34" s="1387">
        <f t="shared" si="10"/>
        <v>100</v>
      </c>
      <c r="V34" s="1386" t="s">
        <v>5</v>
      </c>
      <c r="W34" s="1387">
        <f t="shared" si="11"/>
        <v>100</v>
      </c>
      <c r="X34" s="1380"/>
      <c r="Y34" s="3928"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8"/>
      <c r="Q35" s="1385">
        <f t="shared" si="8"/>
        <v>111</v>
      </c>
      <c r="R35" s="1390" t="s">
        <v>5</v>
      </c>
      <c r="S35" s="1391">
        <f t="shared" si="9"/>
        <v>100</v>
      </c>
      <c r="T35" s="1390" t="s">
        <v>5</v>
      </c>
      <c r="U35" s="1391">
        <f t="shared" si="10"/>
        <v>100</v>
      </c>
      <c r="V35" s="1390" t="s">
        <v>5</v>
      </c>
      <c r="W35" s="1391">
        <f t="shared" si="11"/>
        <v>100</v>
      </c>
      <c r="X35" s="1392"/>
      <c r="Y35" s="3928"/>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99</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928"/>
      <c r="Q36" s="1385" t="str">
        <f>B36</f>
        <v>宗地面积</v>
      </c>
      <c r="R36" s="1386" t="s">
        <v>5</v>
      </c>
      <c r="S36" s="1387">
        <f t="shared" si="9"/>
        <v>99</v>
      </c>
      <c r="T36" s="1386" t="s">
        <v>5</v>
      </c>
      <c r="U36" s="1387">
        <f t="shared" si="10"/>
        <v>100</v>
      </c>
      <c r="V36" s="1386" t="s">
        <v>5</v>
      </c>
      <c r="W36" s="1387">
        <f t="shared" si="11"/>
        <v>100</v>
      </c>
      <c r="X36" s="1380"/>
      <c r="Y36" s="3928"/>
      <c r="Z36" s="1388" t="str">
        <f t="shared" si="12"/>
        <v>宗地面积</v>
      </c>
      <c r="AA36" s="1389">
        <f t="shared" si="3"/>
        <v>1.0101010101010102</v>
      </c>
      <c r="AB36" s="1389">
        <f t="shared" si="4"/>
        <v>1</v>
      </c>
      <c r="AC36" s="1389">
        <f t="shared" si="5"/>
        <v>1</v>
      </c>
    </row>
    <row r="37" spans="1:29" ht="15">
      <c r="A37" s="564"/>
      <c r="B37" s="497" t="s">
        <v>502</v>
      </c>
      <c r="C37" s="569" t="s">
        <v>3376</v>
      </c>
      <c r="D37" s="510">
        <v>100</v>
      </c>
      <c r="E37" s="569" t="s">
        <v>3374</v>
      </c>
      <c r="F37" s="510">
        <f>SUMIF(111:111,E37,112:112)-SUMIF(111:111,C37,112:112)+100</f>
        <v>103</v>
      </c>
      <c r="G37" s="569" t="s">
        <v>3374</v>
      </c>
      <c r="H37" s="510">
        <f>SUMIF(111:111,G37,112:112)-SUMIF(111:111,C37,112:112)+100</f>
        <v>103</v>
      </c>
      <c r="I37" s="569" t="s">
        <v>3374</v>
      </c>
      <c r="J37" s="510">
        <f>SUMIF(111:111,I37,112:112)-SUMIF(111:111,C37,112:112)+100</f>
        <v>103</v>
      </c>
      <c r="K37" s="554">
        <v>3</v>
      </c>
      <c r="L37" s="1865"/>
      <c r="M37" s="1857"/>
      <c r="N37" s="1857"/>
      <c r="O37" s="1864"/>
      <c r="P37" s="3928"/>
      <c r="Q37" s="1385" t="str">
        <f t="shared" ref="Q37:Q42" si="13">B37</f>
        <v>宗地形状</v>
      </c>
      <c r="R37" s="1386" t="s">
        <v>5</v>
      </c>
      <c r="S37" s="1387">
        <f t="shared" si="9"/>
        <v>103</v>
      </c>
      <c r="T37" s="1386" t="s">
        <v>5</v>
      </c>
      <c r="U37" s="1387">
        <f t="shared" si="10"/>
        <v>103</v>
      </c>
      <c r="V37" s="1386" t="s">
        <v>5</v>
      </c>
      <c r="W37" s="1387">
        <f t="shared" si="11"/>
        <v>103</v>
      </c>
      <c r="X37" s="1380"/>
      <c r="Y37" s="3928"/>
      <c r="Z37" s="1388" t="str">
        <f t="shared" si="12"/>
        <v>宗地形状</v>
      </c>
      <c r="AA37" s="1389">
        <f t="shared" si="3"/>
        <v>0.970873786407767</v>
      </c>
      <c r="AB37" s="1389">
        <f t="shared" si="4"/>
        <v>0.970873786407767</v>
      </c>
      <c r="AC37" s="1389">
        <f t="shared" si="5"/>
        <v>0.970873786407767</v>
      </c>
    </row>
    <row r="38" spans="1:29" s="1118" customFormat="1" ht="15">
      <c r="A38" s="570"/>
      <c r="B38" s="1651" t="s">
        <v>1776</v>
      </c>
      <c r="C38" s="571" t="s">
        <v>3378</v>
      </c>
      <c r="D38" s="246">
        <v>100</v>
      </c>
      <c r="E38" s="571" t="s">
        <v>3378</v>
      </c>
      <c r="F38" s="510">
        <f>SUMIF(113:113,E38,114:114)-SUMIF(113:113,C38,114:114)+100</f>
        <v>100</v>
      </c>
      <c r="G38" s="571" t="s">
        <v>3378</v>
      </c>
      <c r="H38" s="510">
        <f>SUMIF(113:113,G38,114:114)-SUMIF(113:113,C38,114:114)+100</f>
        <v>100</v>
      </c>
      <c r="I38" s="571" t="s">
        <v>3381</v>
      </c>
      <c r="J38" s="510">
        <f>SUMIF(113:113,I38,114:114)-SUMIF(113:113,C38,114:114)+100</f>
        <v>90</v>
      </c>
      <c r="K38" s="554">
        <v>5</v>
      </c>
      <c r="L38" s="1858"/>
      <c r="M38" s="1859"/>
      <c r="N38" s="1859"/>
      <c r="O38" s="1860"/>
      <c r="P38" s="3928"/>
      <c r="Q38" s="1385" t="str">
        <f t="shared" si="13"/>
        <v>宗地开发程度</v>
      </c>
      <c r="R38" s="1381" t="s">
        <v>5</v>
      </c>
      <c r="S38" s="1382">
        <f t="shared" si="9"/>
        <v>100</v>
      </c>
      <c r="T38" s="1381" t="s">
        <v>5</v>
      </c>
      <c r="U38" s="1382">
        <f t="shared" si="10"/>
        <v>100</v>
      </c>
      <c r="V38" s="1381" t="s">
        <v>5</v>
      </c>
      <c r="W38" s="1382">
        <f t="shared" si="11"/>
        <v>90</v>
      </c>
      <c r="X38" s="1383"/>
      <c r="Y38" s="3928"/>
      <c r="Z38" s="1049" t="str">
        <f t="shared" si="12"/>
        <v>宗地开发程度</v>
      </c>
      <c r="AA38" s="1384">
        <f t="shared" si="3"/>
        <v>1</v>
      </c>
      <c r="AB38" s="1384">
        <f t="shared" si="4"/>
        <v>1</v>
      </c>
      <c r="AC38" s="1384">
        <f t="shared" si="5"/>
        <v>1.1111111111111112</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8" t="s">
        <v>549</v>
      </c>
      <c r="Q39" s="1385" t="str">
        <f t="shared" si="13"/>
        <v>工程地质条件</v>
      </c>
      <c r="R39" s="1386" t="s">
        <v>5</v>
      </c>
      <c r="S39" s="1387">
        <f t="shared" si="9"/>
        <v>100</v>
      </c>
      <c r="T39" s="1386" t="s">
        <v>5</v>
      </c>
      <c r="U39" s="1387">
        <f t="shared" si="10"/>
        <v>100</v>
      </c>
      <c r="V39" s="1386" t="s">
        <v>5</v>
      </c>
      <c r="W39" s="1387">
        <f t="shared" si="11"/>
        <v>100</v>
      </c>
      <c r="X39" s="1380"/>
      <c r="Y39" s="392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8"/>
      <c r="Q40" s="1385">
        <f t="shared" si="13"/>
        <v>111</v>
      </c>
      <c r="R40" s="1386" t="s">
        <v>5</v>
      </c>
      <c r="S40" s="1387">
        <f t="shared" si="9"/>
        <v>100</v>
      </c>
      <c r="T40" s="1386" t="s">
        <v>5</v>
      </c>
      <c r="U40" s="1387">
        <f t="shared" si="10"/>
        <v>100</v>
      </c>
      <c r="V40" s="1386" t="s">
        <v>5</v>
      </c>
      <c r="W40" s="1387">
        <f t="shared" si="11"/>
        <v>100</v>
      </c>
      <c r="X40" s="1380"/>
      <c r="Y40" s="392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8"/>
      <c r="Q41" s="1385">
        <f t="shared" si="13"/>
        <v>111</v>
      </c>
      <c r="R41" s="1386" t="s">
        <v>5</v>
      </c>
      <c r="S41" s="1387">
        <f t="shared" si="9"/>
        <v>100</v>
      </c>
      <c r="T41" s="1386" t="s">
        <v>5</v>
      </c>
      <c r="U41" s="1387">
        <f t="shared" si="10"/>
        <v>100</v>
      </c>
      <c r="V41" s="1386" t="s">
        <v>5</v>
      </c>
      <c r="W41" s="1387">
        <f t="shared" si="11"/>
        <v>100</v>
      </c>
      <c r="X41" s="1380"/>
      <c r="Y41" s="392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8"/>
      <c r="Q42" s="1385">
        <f t="shared" si="13"/>
        <v>111</v>
      </c>
      <c r="R42" s="1390" t="s">
        <v>5</v>
      </c>
      <c r="S42" s="1391">
        <f t="shared" si="9"/>
        <v>100</v>
      </c>
      <c r="T42" s="1390" t="s">
        <v>5</v>
      </c>
      <c r="U42" s="1391">
        <f t="shared" si="10"/>
        <v>100</v>
      </c>
      <c r="V42" s="1390" t="s">
        <v>5</v>
      </c>
      <c r="W42" s="1391">
        <f t="shared" si="11"/>
        <v>100</v>
      </c>
      <c r="X42" s="1392"/>
      <c r="Y42" s="3928"/>
      <c r="Z42" s="1393">
        <f t="shared" si="12"/>
        <v>111</v>
      </c>
      <c r="AA42" s="1389">
        <f t="shared" si="3"/>
        <v>1</v>
      </c>
      <c r="AB42" s="1389">
        <f t="shared" si="4"/>
        <v>1</v>
      </c>
      <c r="AC42" s="1389">
        <f t="shared" si="5"/>
        <v>1</v>
      </c>
    </row>
    <row r="43" spans="1:29" ht="15">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3892" t="str">
        <f>A43</f>
        <v>成交单价</v>
      </c>
      <c r="Q43" s="3892"/>
      <c r="R43" s="3893">
        <f>E43</f>
        <v>9355</v>
      </c>
      <c r="S43" s="3893"/>
      <c r="T43" s="3893">
        <f>G43</f>
        <v>6661</v>
      </c>
      <c r="U43" s="3893"/>
      <c r="V43" s="3893">
        <f>I43</f>
        <v>4477</v>
      </c>
      <c r="W43" s="3893"/>
      <c r="X43" s="1375"/>
      <c r="Y43" s="1394"/>
      <c r="Z43" s="1375"/>
      <c r="AA43" s="1375"/>
      <c r="AB43" s="1375"/>
      <c r="AC43" s="1375"/>
    </row>
    <row r="44" spans="1:29" ht="15.75" thickBot="1">
      <c r="A44" s="585" t="s">
        <v>1975</v>
      </c>
      <c r="B44" s="586"/>
      <c r="C44" s="587">
        <f>R45</f>
        <v>7693</v>
      </c>
      <c r="D44" s="2756" t="s">
        <v>2259</v>
      </c>
      <c r="E44" s="587">
        <f>R44</f>
        <v>10561</v>
      </c>
      <c r="F44" s="2757"/>
      <c r="G44" s="588">
        <f>T44</f>
        <v>7729</v>
      </c>
      <c r="H44" s="2757"/>
      <c r="I44" s="587">
        <f>V44</f>
        <v>4789</v>
      </c>
      <c r="J44" s="2757"/>
      <c r="K44" s="2758">
        <f>F44+H44+J44</f>
        <v>0</v>
      </c>
      <c r="L44" s="1867"/>
      <c r="M44" s="1857"/>
      <c r="N44" s="1857"/>
      <c r="O44" s="1868"/>
      <c r="P44" s="3892" t="str">
        <f>A44</f>
        <v>比较价格（元/平方米）</v>
      </c>
      <c r="Q44" s="3892"/>
      <c r="R44" s="3894">
        <f>ROUND(PRODUCT(R43,AA9:AA42),0)</f>
        <v>10561</v>
      </c>
      <c r="S44" s="3894"/>
      <c r="T44" s="3894">
        <f>ROUND(PRODUCT(T43,AB9:AB42),0)</f>
        <v>7729</v>
      </c>
      <c r="U44" s="3894"/>
      <c r="V44" s="3894">
        <f>ROUND(PRODUCT(V43,AC9:AC42),0)</f>
        <v>4789</v>
      </c>
      <c r="W44" s="3894"/>
      <c r="X44" s="1375"/>
      <c r="Y44" s="1375"/>
      <c r="Z44" s="1375"/>
      <c r="AA44" s="1375"/>
      <c r="AB44" s="1375"/>
      <c r="AC44" s="1375"/>
    </row>
    <row r="45" spans="1:29" ht="15.75" thickBot="1">
      <c r="A45" s="589" t="s">
        <v>2196</v>
      </c>
      <c r="B45" s="590"/>
      <c r="C45" s="591">
        <f>R45</f>
        <v>7693</v>
      </c>
      <c r="D45" s="591"/>
      <c r="E45" s="591"/>
      <c r="F45" s="591"/>
      <c r="G45" s="591"/>
      <c r="H45" s="591"/>
      <c r="I45" s="591"/>
      <c r="J45" s="591"/>
      <c r="K45" s="1202"/>
      <c r="L45" s="1867"/>
      <c r="M45" s="1857"/>
      <c r="N45" s="1857"/>
      <c r="O45" s="1868"/>
      <c r="P45" s="3929" t="str">
        <f>A45</f>
        <v>估价对象XX用房的比较价格（楼面单价，元/平方米）</v>
      </c>
      <c r="Q45" s="3930"/>
      <c r="R45" s="3941">
        <f>ROUND(IF(D44="简单平均",AVERAGE(R44:W44),R44*F44+T44*H44+V44*J44),0)</f>
        <v>7693</v>
      </c>
      <c r="S45" s="3941"/>
      <c r="T45" s="3941"/>
      <c r="U45" s="3941"/>
      <c r="V45" s="3941"/>
      <c r="W45" s="3941"/>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0.12891501870657396</v>
      </c>
      <c r="F48" s="595" t="str">
        <f>IF(OR(E48&gt;=0.3,E48&lt;=-0.3),"超过30%","")</f>
        <v/>
      </c>
      <c r="G48" s="594">
        <f>IF(G43&lt;G44,G44/G43-1,G43/G44-1)</f>
        <v>0.16033628584296644</v>
      </c>
      <c r="H48" s="595" t="str">
        <f>IF(OR(G48&gt;=0.3,G48&lt;=-0.3),"超过30%","")</f>
        <v/>
      </c>
      <c r="I48" s="594">
        <f>IF(I43&lt;I44,I44/I43-1,I43/I44-1)</f>
        <v>6.9689524234978872E-2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0.36641221374045796</v>
      </c>
      <c r="F49" s="595" t="str">
        <f>IF(OR(E49&gt;=0.2,E49&lt;=-0.2),"超过20%","")</f>
        <v>超过20%</v>
      </c>
      <c r="G49" s="594">
        <f>IF(G44&lt;I44,I44/G44-1,G44/I44-1)</f>
        <v>0.61390686991021082</v>
      </c>
      <c r="H49" s="595" t="str">
        <f>IF(OR(G49&gt;=0.2,G49&lt;=-0.2),"超过20%","")</f>
        <v>超过20%</v>
      </c>
      <c r="I49" s="594">
        <f>IF(I44&lt;E44,E44/I44-1,I44/E44-1)</f>
        <v>1.2052620588849448</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7" t="s">
        <v>1642</v>
      </c>
      <c r="H52" s="393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7693</v>
      </c>
      <c r="C53" s="603">
        <v>1</v>
      </c>
      <c r="D53" s="1947">
        <v>1</v>
      </c>
      <c r="E53" s="603">
        <f>'数据-汇总表'!E8+'数据-汇总表'!E9</f>
        <v>10738.85</v>
      </c>
      <c r="F53" s="1706">
        <f t="shared" ref="F53:F61" si="14">ROUND(B53*E53/10000,0)</f>
        <v>8261</v>
      </c>
      <c r="G53" s="3939"/>
      <c r="H53" s="3940"/>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10738.85</v>
      </c>
      <c r="F62" s="612">
        <f>IF(B43="楼面地价",SUM(F53:F61),ROUND(C45*E62/10000,0))</f>
        <v>8261</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2023-11-1</v>
      </c>
      <c r="D64" s="2278">
        <f>EDATE(C64,-3)</f>
        <v>45139</v>
      </c>
      <c r="E64" s="2278">
        <f t="shared" ref="E64:N64" si="17">EDATE(D64,-3)</f>
        <v>45047</v>
      </c>
      <c r="F64" s="2278">
        <f t="shared" si="17"/>
        <v>44958</v>
      </c>
      <c r="G64" s="2278">
        <f t="shared" si="17"/>
        <v>44866</v>
      </c>
      <c r="H64" s="2278">
        <f t="shared" si="17"/>
        <v>44774</v>
      </c>
      <c r="I64" s="2278">
        <f t="shared" si="17"/>
        <v>44682</v>
      </c>
      <c r="J64" s="2278">
        <f t="shared" si="17"/>
        <v>44593</v>
      </c>
      <c r="K64" s="2278">
        <f t="shared" si="17"/>
        <v>44501</v>
      </c>
      <c r="L64" s="2278">
        <f t="shared" si="17"/>
        <v>44409</v>
      </c>
      <c r="M64" s="2278">
        <f t="shared" si="17"/>
        <v>44317</v>
      </c>
      <c r="N64" s="2278">
        <f t="shared" si="17"/>
        <v>44228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5"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t="s">
        <v>3358</v>
      </c>
      <c r="P66" s="1882" t="s">
        <v>3359</v>
      </c>
      <c r="Q66" s="1881" t="s">
        <v>3360</v>
      </c>
      <c r="R66" s="1882" t="s">
        <v>3361</v>
      </c>
      <c r="S66" s="1883" t="s">
        <v>3362</v>
      </c>
      <c r="T66" s="1883" t="s">
        <v>3363</v>
      </c>
      <c r="U66" s="1883" t="s">
        <v>3364</v>
      </c>
      <c r="V66" s="1883" t="s">
        <v>3365</v>
      </c>
      <c r="W66" s="1883" t="s">
        <v>3366</v>
      </c>
      <c r="X66" s="1883" t="s">
        <v>3367</v>
      </c>
      <c r="Y66" s="1883" t="s">
        <v>3368</v>
      </c>
      <c r="Z66" s="1883" t="s">
        <v>3369</v>
      </c>
      <c r="AA66" s="1883"/>
      <c r="AB66" s="1883"/>
      <c r="AC66" s="1883"/>
    </row>
    <row r="67" spans="1:29" s="1118" customFormat="1" ht="27.75" customHeight="1" thickBot="1">
      <c r="A67" s="2277" t="s">
        <v>1931</v>
      </c>
      <c r="B67" s="465" t="str">
        <f>"北京市平均增长率"&amp;TEXT(基准地价!P28,"0.00%")</f>
        <v>北京市平均增长率0.00%</v>
      </c>
      <c r="C67" s="857">
        <v>100</v>
      </c>
      <c r="D67" s="698">
        <f>ROUND(C67/(1+D68/100)/(1+C68/100),2)</f>
        <v>99.15</v>
      </c>
      <c r="E67" s="698">
        <f>ROUND(D67/(1+E68/100),2)</f>
        <v>98.45</v>
      </c>
      <c r="F67" s="698">
        <f t="shared" ref="F67:X67" si="19">ROUND(E67/(1+F68/100),2)</f>
        <v>97.96</v>
      </c>
      <c r="G67" s="698">
        <f t="shared" si="19"/>
        <v>97.44</v>
      </c>
      <c r="H67" s="698">
        <f t="shared" si="19"/>
        <v>96.83</v>
      </c>
      <c r="I67" s="698">
        <f t="shared" si="19"/>
        <v>95.8</v>
      </c>
      <c r="J67" s="698">
        <f t="shared" si="19"/>
        <v>95.19</v>
      </c>
      <c r="K67" s="698">
        <f t="shared" si="19"/>
        <v>94.67</v>
      </c>
      <c r="L67" s="698">
        <f t="shared" si="19"/>
        <v>94.22</v>
      </c>
      <c r="M67" s="698">
        <f t="shared" si="19"/>
        <v>93.28</v>
      </c>
      <c r="N67" s="698">
        <f t="shared" si="19"/>
        <v>92.95</v>
      </c>
      <c r="O67" s="698">
        <f t="shared" si="19"/>
        <v>90.52</v>
      </c>
      <c r="P67" s="698">
        <f t="shared" si="19"/>
        <v>90.46</v>
      </c>
      <c r="Q67" s="698">
        <f t="shared" si="19"/>
        <v>90.04</v>
      </c>
      <c r="R67" s="698">
        <f t="shared" si="19"/>
        <v>89.8</v>
      </c>
      <c r="S67" s="698">
        <f t="shared" si="19"/>
        <v>89.37</v>
      </c>
      <c r="T67" s="698">
        <f t="shared" si="19"/>
        <v>88.46</v>
      </c>
      <c r="U67" s="698">
        <f t="shared" si="19"/>
        <v>87.37</v>
      </c>
      <c r="V67" s="698">
        <f t="shared" si="19"/>
        <v>86.39</v>
      </c>
      <c r="W67" s="698">
        <f t="shared" si="19"/>
        <v>85.29</v>
      </c>
      <c r="X67" s="698">
        <f t="shared" si="19"/>
        <v>83.83</v>
      </c>
      <c r="Y67" s="1746"/>
      <c r="Z67" s="1746"/>
      <c r="AA67" s="1746"/>
      <c r="AB67" s="1746"/>
      <c r="AC67" s="1746"/>
    </row>
    <row r="68" spans="1:29" s="1118" customFormat="1" ht="15.75" thickBot="1">
      <c r="A68" s="621" t="s">
        <v>523</v>
      </c>
      <c r="B68" s="622"/>
      <c r="C68" s="3705">
        <v>0.43</v>
      </c>
      <c r="D68" s="3704">
        <f>'地价-分区'!H8</f>
        <v>0.43</v>
      </c>
      <c r="E68" s="3704">
        <f>'地价-分区'!H9</f>
        <v>0.71</v>
      </c>
      <c r="F68" s="3704">
        <f>'地价-分区'!H10</f>
        <v>0.5</v>
      </c>
      <c r="G68" s="3704">
        <f>'地价-分区'!H11</f>
        <v>0.53</v>
      </c>
      <c r="H68" s="3704">
        <f>'地价-分区'!H12</f>
        <v>0.63</v>
      </c>
      <c r="I68" s="3704">
        <f>'地价-分区'!H13</f>
        <v>1.08</v>
      </c>
      <c r="J68" s="3704">
        <f>'地价-分区'!H14</f>
        <v>0.64</v>
      </c>
      <c r="K68" s="3704">
        <f>'地价-分区'!H15</f>
        <v>0.55000000000000004</v>
      </c>
      <c r="L68" s="3704">
        <f>'地价-分区'!H16</f>
        <v>0.48</v>
      </c>
      <c r="M68" s="3704">
        <f>'地价-分区'!H17</f>
        <v>1.01</v>
      </c>
      <c r="N68" s="3704">
        <f>'地价-分区'!H18</f>
        <v>0.36</v>
      </c>
      <c r="O68" s="3690">
        <v>2.69</v>
      </c>
      <c r="P68" s="3690">
        <v>7.0000000000000007E-2</v>
      </c>
      <c r="Q68" s="3690">
        <v>0.47</v>
      </c>
      <c r="R68" s="3690">
        <v>0.27</v>
      </c>
      <c r="S68" s="3690">
        <v>0.48</v>
      </c>
      <c r="T68" s="3690">
        <v>1.03</v>
      </c>
      <c r="U68" s="3703">
        <v>1.25</v>
      </c>
      <c r="V68" s="3690">
        <v>1.1299999999999999</v>
      </c>
      <c r="W68" s="3703">
        <v>1.29</v>
      </c>
      <c r="X68" s="3690">
        <v>1.74</v>
      </c>
      <c r="Y68" s="1746"/>
      <c r="Z68" s="1746"/>
      <c r="AA68" s="1746"/>
      <c r="AB68" s="1746"/>
      <c r="AC68" s="1746"/>
    </row>
    <row r="69" spans="1:29" s="1118" customFormat="1" ht="15">
      <c r="A69" s="627" t="s">
        <v>480</v>
      </c>
      <c r="B69" s="616"/>
      <c r="C69" s="628" t="s">
        <v>524</v>
      </c>
      <c r="D69" s="3701" t="s">
        <v>3356</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3702" t="s">
        <v>3357</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97</v>
      </c>
      <c r="E87" s="647">
        <f>D87-$K19</f>
        <v>94</v>
      </c>
      <c r="F87" s="647">
        <f>E87-$K19</f>
        <v>91</v>
      </c>
      <c r="G87" s="647">
        <f>F87-$K19</f>
        <v>88</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87" t="s">
        <v>3384</v>
      </c>
      <c r="D100" s="3687" t="s">
        <v>3371</v>
      </c>
      <c r="E100" s="3687" t="s">
        <v>3372</v>
      </c>
      <c r="F100" s="3687" t="s">
        <v>3373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0(含)-100000</v>
      </c>
      <c r="D108" s="672" t="str">
        <f t="shared" si="25"/>
        <v>100000(含)-150000</v>
      </c>
      <c r="E108" s="672" t="str">
        <f t="shared" si="25"/>
        <v>150000(含)-</v>
      </c>
      <c r="F108" s="672" t="str">
        <f t="shared" si="25"/>
        <v>(含)-</v>
      </c>
      <c r="G108" s="672" t="str">
        <f t="shared" si="25"/>
        <v>(含)-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3375</v>
      </c>
      <c r="D111" s="3687" t="s">
        <v>3377</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97</v>
      </c>
      <c r="E112" s="647">
        <f t="shared" si="26"/>
        <v>94</v>
      </c>
      <c r="F112" s="647">
        <f t="shared" si="26"/>
        <v>91</v>
      </c>
      <c r="G112" s="647">
        <f t="shared" si="26"/>
        <v>88</v>
      </c>
      <c r="H112" s="647">
        <f t="shared" si="26"/>
        <v>85</v>
      </c>
      <c r="I112" s="647">
        <f t="shared" si="26"/>
        <v>82</v>
      </c>
      <c r="J112" s="647">
        <f t="shared" si="26"/>
        <v>79</v>
      </c>
      <c r="K112" s="647">
        <f t="shared" si="26"/>
        <v>76</v>
      </c>
      <c r="L112" s="647">
        <f t="shared" si="26"/>
        <v>73</v>
      </c>
      <c r="M112" s="648">
        <f t="shared" si="26"/>
        <v>70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3379</v>
      </c>
      <c r="D113" s="1233" t="s">
        <v>3380</v>
      </c>
      <c r="E113" s="1233" t="s">
        <v>3382</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95</v>
      </c>
      <c r="E114" s="647">
        <f t="shared" si="27"/>
        <v>90</v>
      </c>
      <c r="F114" s="647">
        <f t="shared" si="27"/>
        <v>85</v>
      </c>
      <c r="G114" s="647">
        <f t="shared" si="27"/>
        <v>80</v>
      </c>
      <c r="H114" s="647">
        <f t="shared" si="27"/>
        <v>75</v>
      </c>
      <c r="I114" s="647">
        <f t="shared" si="27"/>
        <v>70</v>
      </c>
      <c r="J114" s="647">
        <f t="shared" si="27"/>
        <v>65</v>
      </c>
      <c r="K114" s="647">
        <f t="shared" si="27"/>
        <v>60</v>
      </c>
      <c r="L114" s="647">
        <f t="shared" si="27"/>
        <v>55</v>
      </c>
      <c r="M114" s="648">
        <f t="shared" si="27"/>
        <v>50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1" t="s">
        <v>3383</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
  <sheetViews>
    <sheetView workbookViewId="0">
      <selection activeCell="B5" sqref="B5"/>
    </sheetView>
  </sheetViews>
  <sheetFormatPr defaultRowHeight="13.5"/>
  <cols>
    <col min="1" max="1" width="7.375" customWidth="1"/>
    <col min="2" max="2" width="23" customWidth="1"/>
    <col min="3" max="3" width="28.625" customWidth="1"/>
    <col min="4" max="4" width="7.625" customWidth="1"/>
    <col min="8" max="9" width="0" hidden="1" customWidth="1"/>
    <col min="12" max="12" width="15.625" customWidth="1"/>
    <col min="14" max="14" width="11.25" customWidth="1"/>
  </cols>
  <sheetData>
    <row r="1" spans="1:18">
      <c r="A1" s="3699" t="s">
        <v>3267</v>
      </c>
      <c r="B1" s="3699" t="s">
        <v>3332</v>
      </c>
      <c r="C1" s="3699" t="s">
        <v>3333</v>
      </c>
      <c r="D1" s="3699" t="s">
        <v>3334</v>
      </c>
      <c r="E1" s="3699" t="s">
        <v>3335</v>
      </c>
      <c r="F1" s="3699" t="s">
        <v>3336</v>
      </c>
      <c r="G1" s="3699" t="s">
        <v>2211</v>
      </c>
      <c r="H1" s="3699" t="s">
        <v>3337</v>
      </c>
      <c r="I1" s="3699" t="s">
        <v>3338</v>
      </c>
      <c r="J1" s="3699" t="s">
        <v>3339</v>
      </c>
      <c r="K1" s="3699" t="s">
        <v>3340</v>
      </c>
      <c r="L1" s="3699" t="s">
        <v>3351</v>
      </c>
      <c r="M1" s="3699" t="s">
        <v>3341</v>
      </c>
      <c r="N1" s="3699" t="s">
        <v>3342</v>
      </c>
      <c r="O1" s="3699" t="s">
        <v>3343</v>
      </c>
      <c r="Q1" s="3699" t="s">
        <v>3344</v>
      </c>
    </row>
    <row r="2" spans="1:18">
      <c r="A2" s="3698">
        <v>1</v>
      </c>
      <c r="B2" s="3700" t="s">
        <v>3327</v>
      </c>
      <c r="C2" s="3700" t="s">
        <v>3328</v>
      </c>
      <c r="D2" s="3700" t="s">
        <v>3329</v>
      </c>
      <c r="E2" s="3700" t="s">
        <v>3330</v>
      </c>
      <c r="F2" s="3700" t="s">
        <v>2721</v>
      </c>
      <c r="G2" s="1581">
        <v>22881.07</v>
      </c>
      <c r="H2" s="1581"/>
      <c r="I2" s="1581"/>
      <c r="J2" s="1581">
        <v>18956.966499999999</v>
      </c>
      <c r="K2" s="3698">
        <f>ROUND(J2/G2*10000,0)</f>
        <v>8285</v>
      </c>
      <c r="L2" s="3711">
        <v>44887</v>
      </c>
      <c r="M2" s="3700" t="s">
        <v>3331</v>
      </c>
      <c r="N2" s="3700"/>
      <c r="O2" s="1581"/>
      <c r="P2" s="1581"/>
      <c r="Q2" s="1581"/>
      <c r="R2" s="1581"/>
    </row>
    <row r="3" spans="1:18">
      <c r="A3" s="3698">
        <v>2</v>
      </c>
      <c r="B3" s="3700" t="s">
        <v>3346</v>
      </c>
      <c r="C3" s="3700" t="s">
        <v>3345</v>
      </c>
      <c r="D3" s="3700" t="s">
        <v>3347</v>
      </c>
      <c r="E3" s="3700" t="s">
        <v>3348</v>
      </c>
      <c r="F3" s="3700" t="s">
        <v>2721</v>
      </c>
      <c r="G3" s="1581">
        <v>130380.53</v>
      </c>
      <c r="H3" s="1581"/>
      <c r="I3" s="1581"/>
      <c r="J3" s="1581">
        <v>121964.8</v>
      </c>
      <c r="K3" s="3698">
        <f>ROUND(J3/G3*10000,0)</f>
        <v>9355</v>
      </c>
      <c r="L3" s="3711">
        <v>43410</v>
      </c>
      <c r="M3" s="1581"/>
      <c r="N3" s="1581"/>
      <c r="O3" s="1581"/>
      <c r="P3" s="1581"/>
      <c r="Q3" s="1581"/>
      <c r="R3" s="1581"/>
    </row>
    <row r="4" spans="1:18" s="1581" customFormat="1">
      <c r="A4" s="3698">
        <v>3</v>
      </c>
      <c r="B4" s="3700" t="s">
        <v>3349</v>
      </c>
      <c r="C4" s="3700" t="s">
        <v>3350</v>
      </c>
      <c r="D4" s="3700" t="s">
        <v>3347</v>
      </c>
      <c r="E4" s="3700" t="s">
        <v>3348</v>
      </c>
      <c r="F4" s="3700" t="s">
        <v>2721</v>
      </c>
      <c r="G4" s="1581">
        <v>30040.799999999999</v>
      </c>
      <c r="J4" s="1581">
        <v>20011.27</v>
      </c>
      <c r="K4" s="3698">
        <f>ROUND(J4/G4*10000,0)</f>
        <v>6661</v>
      </c>
      <c r="L4" s="3711">
        <v>43349</v>
      </c>
    </row>
    <row r="5" spans="1:18">
      <c r="A5" s="3698">
        <v>4</v>
      </c>
      <c r="B5" s="3700" t="s">
        <v>3413</v>
      </c>
      <c r="C5" s="3700" t="s">
        <v>3352</v>
      </c>
      <c r="D5" s="3700" t="s">
        <v>3353</v>
      </c>
      <c r="E5" s="3700" t="s">
        <v>3354</v>
      </c>
      <c r="F5" s="3700" t="s">
        <v>3355</v>
      </c>
      <c r="G5" s="1581">
        <v>22121.8</v>
      </c>
      <c r="J5" s="1581">
        <v>9903.3107</v>
      </c>
      <c r="K5" s="3698">
        <f>ROUND(J5*10000/G5,0)</f>
        <v>4477</v>
      </c>
      <c r="L5" s="3711">
        <v>45244</v>
      </c>
    </row>
    <row r="6" spans="1:18">
      <c r="A6" s="3698">
        <v>5</v>
      </c>
      <c r="B6" s="3700" t="s">
        <v>3399</v>
      </c>
      <c r="C6" s="3700" t="s">
        <v>3403</v>
      </c>
      <c r="D6" s="3700" t="s">
        <v>3400</v>
      </c>
      <c r="E6" s="3700" t="s">
        <v>3404</v>
      </c>
      <c r="F6" s="3700" t="s">
        <v>3401</v>
      </c>
      <c r="G6" s="1581">
        <v>17556.580000000002</v>
      </c>
      <c r="J6" s="1581">
        <v>14294.5674</v>
      </c>
      <c r="K6" s="3698">
        <v>8142</v>
      </c>
      <c r="L6" s="3711">
        <v>45247</v>
      </c>
      <c r="M6" s="2986" t="s">
        <v>3402</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75"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3943" t="s">
        <v>2060</v>
      </c>
      <c r="X8" s="3944"/>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3942"/>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394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5"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15.75"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3" t="s">
        <v>1370</v>
      </c>
      <c r="B20" s="1278" t="s">
        <v>875</v>
      </c>
      <c r="C20" s="998" t="e">
        <f>ROUND(IF(F21="与级别开发程度一致",0,(G21-E21)/C21),0)</f>
        <v>#DIV/0!</v>
      </c>
      <c r="D20" s="3948" t="s">
        <v>879</v>
      </c>
      <c r="E20" s="3949"/>
      <c r="F20" s="3948" t="s">
        <v>876</v>
      </c>
      <c r="G20" s="3949"/>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54"/>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45248</v>
      </c>
      <c r="H23" s="1298" t="s">
        <v>2245</v>
      </c>
      <c r="I23" s="2265" t="str">
        <f>IF(H23="季度增幅（自定义）",SUMIF(N25:N28,E2,O25:O28),"")</f>
        <v/>
      </c>
      <c r="J23" s="3563"/>
      <c r="K23" s="2973"/>
      <c r="L23" s="2510" t="s">
        <v>2116</v>
      </c>
      <c r="M23" s="2511">
        <f>ROUND(SUMIF(地价!B2:F2,E2,地价!B41:F41),0)</f>
        <v>0</v>
      </c>
      <c r="N23" s="2267" t="s">
        <v>1211</v>
      </c>
      <c r="O23" s="2266">
        <f>ROUNDDOWN(DATEDIF(E23,G23,"M")/3,0)</f>
        <v>11</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3.5">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0"/>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50"/>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2.75">
      <c r="A38" s="3951"/>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1"/>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5" thickBot="1">
      <c r="A39" s="3951"/>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51"/>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5">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36">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36">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24">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24.75"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5">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36">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36">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24">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24.75"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5">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36">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36">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24">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24">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24">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24">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75"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5">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36">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36">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6.75">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24">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24.75"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3955" t="s">
        <v>1172</v>
      </c>
      <c r="B104" s="3955"/>
      <c r="C104" s="3955"/>
      <c r="D104" s="3955"/>
      <c r="E104" s="3955"/>
      <c r="F104" s="3955"/>
      <c r="G104" s="3955"/>
      <c r="H104" s="3955"/>
      <c r="I104" s="3955"/>
      <c r="J104" s="3955"/>
      <c r="K104" s="2103"/>
      <c r="L104" s="2103"/>
      <c r="M104" s="2103"/>
      <c r="N104" s="2103"/>
    </row>
    <row r="105" spans="1:36">
      <c r="A105" s="3956" t="s">
        <v>1161</v>
      </c>
      <c r="B105" s="3956" t="s">
        <v>1173</v>
      </c>
      <c r="C105" s="1041" t="s">
        <v>1174</v>
      </c>
      <c r="D105" s="1042"/>
      <c r="E105" s="1042"/>
      <c r="F105" s="1042"/>
      <c r="G105" s="1042"/>
      <c r="H105" s="1042"/>
      <c r="I105" s="1042"/>
      <c r="J105" s="1043"/>
      <c r="K105" s="1035"/>
      <c r="L105" s="1035"/>
      <c r="M105" s="1035"/>
      <c r="N105" s="1035"/>
    </row>
    <row r="106" spans="1:36">
      <c r="A106" s="3956"/>
      <c r="B106" s="395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6"/>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2" t="s">
        <v>1175</v>
      </c>
      <c r="B114" s="3952"/>
      <c r="C114" s="3952"/>
      <c r="D114" s="3952"/>
      <c r="E114" s="3952"/>
      <c r="F114" s="3952"/>
      <c r="G114" s="3952"/>
      <c r="H114" s="3952"/>
      <c r="I114" s="3952"/>
      <c r="J114" s="3952"/>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1" t="s">
        <v>2456</v>
      </c>
      <c r="B19" s="3253" t="s">
        <v>2457</v>
      </c>
      <c r="C19" s="3254" t="s">
        <v>2458</v>
      </c>
      <c r="D19" s="3255"/>
      <c r="E19" s="3249" t="s">
        <v>2459</v>
      </c>
      <c r="F19" s="1033"/>
      <c r="G19" s="1033"/>
    </row>
    <row r="20" spans="1:13" s="1408" customFormat="1">
      <c r="A20" s="3957" t="s">
        <v>2450</v>
      </c>
      <c r="B20" s="3960" t="s">
        <v>2460</v>
      </c>
      <c r="C20" s="3256" t="s">
        <v>2461</v>
      </c>
      <c r="D20" s="3257"/>
      <c r="E20" s="3258">
        <v>1</v>
      </c>
      <c r="F20" s="3259" t="s">
        <v>2462</v>
      </c>
      <c r="G20" s="1035"/>
      <c r="H20" s="1025"/>
      <c r="I20" s="1025"/>
    </row>
    <row r="21" spans="1:13" s="1408" customFormat="1">
      <c r="A21" s="3958"/>
      <c r="B21" s="3961"/>
      <c r="C21" s="3260" t="s">
        <v>2463</v>
      </c>
      <c r="D21" s="3261"/>
      <c r="E21" s="3262">
        <v>1</v>
      </c>
      <c r="F21" s="3259" t="s">
        <v>2464</v>
      </c>
      <c r="G21" s="1035"/>
      <c r="H21" s="1025"/>
      <c r="I21" s="1025"/>
    </row>
    <row r="22" spans="1:13" s="1408" customFormat="1">
      <c r="A22" s="3958"/>
      <c r="B22" s="3961"/>
      <c r="C22" s="3260" t="s">
        <v>2465</v>
      </c>
      <c r="D22" s="3261"/>
      <c r="E22" s="3262">
        <v>0.9</v>
      </c>
      <c r="F22" s="3259" t="s">
        <v>2466</v>
      </c>
      <c r="G22" s="1035"/>
      <c r="H22" s="1025"/>
      <c r="I22" s="1025"/>
    </row>
    <row r="23" spans="1:13" s="1408" customFormat="1">
      <c r="A23" s="3958"/>
      <c r="B23" s="3961"/>
      <c r="C23" s="3260" t="s">
        <v>2467</v>
      </c>
      <c r="D23" s="3261"/>
      <c r="E23" s="3262">
        <v>0.9</v>
      </c>
      <c r="F23" s="3259" t="s">
        <v>2468</v>
      </c>
      <c r="G23" s="1035"/>
      <c r="H23" s="1025"/>
      <c r="I23" s="1025"/>
    </row>
    <row r="24" spans="1:13" s="1408" customFormat="1">
      <c r="A24" s="3958"/>
      <c r="B24" s="3961"/>
      <c r="C24" s="3260" t="s">
        <v>2469</v>
      </c>
      <c r="D24" s="3261"/>
      <c r="E24" s="3262">
        <v>0.8</v>
      </c>
      <c r="F24" s="3259" t="s">
        <v>2470</v>
      </c>
      <c r="G24" s="1035"/>
      <c r="H24" s="1025"/>
      <c r="I24" s="1025"/>
    </row>
    <row r="25" spans="1:13" s="1408" customFormat="1" ht="14.25" thickBot="1">
      <c r="A25" s="3959"/>
      <c r="B25" s="3962"/>
      <c r="C25" s="3263" t="s">
        <v>2471</v>
      </c>
      <c r="D25" s="3264"/>
      <c r="E25" s="3265">
        <v>0.8</v>
      </c>
      <c r="F25" s="3259" t="s">
        <v>2472</v>
      </c>
      <c r="G25" s="1035"/>
      <c r="H25" s="1025"/>
      <c r="I25" s="1025"/>
    </row>
    <row r="26" spans="1:13" s="1408" customFormat="1" ht="14.25" thickBot="1">
      <c r="A26" s="3266" t="s">
        <v>2451</v>
      </c>
      <c r="B26" s="3267" t="s">
        <v>2460</v>
      </c>
      <c r="C26" s="3268" t="s">
        <v>2473</v>
      </c>
      <c r="D26" s="3269"/>
      <c r="E26" s="3270">
        <v>1</v>
      </c>
      <c r="F26" s="3259" t="s">
        <v>2474</v>
      </c>
      <c r="G26" s="1035"/>
      <c r="H26" s="1025"/>
      <c r="I26" s="1025"/>
    </row>
    <row r="27" spans="1:13" s="1408" customFormat="1">
      <c r="A27" s="3963" t="s">
        <v>2455</v>
      </c>
      <c r="B27" s="3960" t="s">
        <v>2455</v>
      </c>
      <c r="C27" s="3256" t="s">
        <v>2475</v>
      </c>
      <c r="D27" s="3257"/>
      <c r="E27" s="3258">
        <v>1</v>
      </c>
      <c r="F27" s="3259" t="s">
        <v>2476</v>
      </c>
      <c r="G27" s="1035"/>
      <c r="H27" s="1025"/>
      <c r="I27" s="1025"/>
    </row>
    <row r="28" spans="1:13" s="1408" customFormat="1">
      <c r="A28" s="3964"/>
      <c r="B28" s="3961"/>
      <c r="C28" s="3260" t="s">
        <v>2477</v>
      </c>
      <c r="D28" s="3261"/>
      <c r="E28" s="3262">
        <v>1</v>
      </c>
      <c r="F28" s="3259" t="s">
        <v>2478</v>
      </c>
      <c r="G28" s="1035"/>
      <c r="H28" s="1025"/>
      <c r="I28" s="1025"/>
    </row>
    <row r="29" spans="1:13" s="1408" customFormat="1">
      <c r="A29" s="3964"/>
      <c r="B29" s="3961"/>
      <c r="C29" s="3260" t="s">
        <v>2479</v>
      </c>
      <c r="D29" s="3261"/>
      <c r="E29" s="3262">
        <v>0.8</v>
      </c>
      <c r="F29" s="3259" t="s">
        <v>2480</v>
      </c>
      <c r="G29" s="1035"/>
      <c r="H29" s="1025"/>
      <c r="I29" s="1025"/>
    </row>
    <row r="30" spans="1:13" s="1408" customFormat="1">
      <c r="A30" s="3964"/>
      <c r="B30" s="3961"/>
      <c r="C30" s="3260" t="s">
        <v>2481</v>
      </c>
      <c r="D30" s="3261"/>
      <c r="E30" s="3262">
        <v>0.8</v>
      </c>
      <c r="F30" s="3259" t="s">
        <v>2482</v>
      </c>
      <c r="G30" s="1035"/>
      <c r="H30" s="1025"/>
      <c r="I30" s="1025"/>
    </row>
    <row r="31" spans="1:13" s="1408" customFormat="1">
      <c r="A31" s="3964"/>
      <c r="B31" s="3961"/>
      <c r="C31" s="3260" t="s">
        <v>2483</v>
      </c>
      <c r="D31" s="3261"/>
      <c r="E31" s="3262">
        <v>0.8</v>
      </c>
      <c r="F31" s="3259" t="s">
        <v>2484</v>
      </c>
      <c r="G31" s="1035"/>
      <c r="H31" s="1025"/>
      <c r="I31" s="1025"/>
    </row>
    <row r="32" spans="1:13" s="1408" customFormat="1">
      <c r="A32" s="3964"/>
      <c r="B32" s="3961"/>
      <c r="C32" s="3260" t="s">
        <v>2485</v>
      </c>
      <c r="D32" s="3261"/>
      <c r="E32" s="3262">
        <v>0.7</v>
      </c>
      <c r="F32" s="3259" t="s">
        <v>2486</v>
      </c>
      <c r="G32" s="1035"/>
      <c r="H32" s="1025"/>
      <c r="I32" s="1025"/>
    </row>
    <row r="33" spans="1:9" s="1408" customFormat="1">
      <c r="A33" s="3964"/>
      <c r="B33" s="3961"/>
      <c r="C33" s="3260" t="s">
        <v>2487</v>
      </c>
      <c r="D33" s="3261"/>
      <c r="E33" s="3262">
        <v>0.8</v>
      </c>
      <c r="F33" s="3259" t="s">
        <v>2488</v>
      </c>
      <c r="G33" s="1035"/>
      <c r="H33" s="1025"/>
      <c r="I33" s="1025"/>
    </row>
    <row r="34" spans="1:9" s="1408" customFormat="1">
      <c r="A34" s="3964"/>
      <c r="B34" s="3961"/>
      <c r="C34" s="3260" t="s">
        <v>2489</v>
      </c>
      <c r="D34" s="3261"/>
      <c r="E34" s="3262">
        <v>0.6</v>
      </c>
      <c r="F34" s="3259" t="s">
        <v>2490</v>
      </c>
      <c r="G34" s="1035"/>
      <c r="H34" s="1025"/>
      <c r="I34" s="1025"/>
    </row>
    <row r="35" spans="1:9" s="1408" customFormat="1">
      <c r="A35" s="3964"/>
      <c r="B35" s="3961"/>
      <c r="C35" s="3260" t="s">
        <v>2491</v>
      </c>
      <c r="D35" s="3261"/>
      <c r="E35" s="3262">
        <v>0.2</v>
      </c>
      <c r="F35" s="3259" t="s">
        <v>2492</v>
      </c>
      <c r="G35" s="1035"/>
      <c r="H35" s="1025"/>
      <c r="I35" s="1025"/>
    </row>
    <row r="36" spans="1:9" s="1408" customFormat="1">
      <c r="A36" s="3964"/>
      <c r="B36" s="3961"/>
      <c r="C36" s="3260" t="s">
        <v>2493</v>
      </c>
      <c r="D36" s="3261"/>
      <c r="E36" s="3262">
        <v>0.2</v>
      </c>
      <c r="F36" s="3259" t="s">
        <v>2494</v>
      </c>
      <c r="G36" s="1035"/>
      <c r="H36" s="1025"/>
      <c r="I36" s="1025"/>
    </row>
    <row r="37" spans="1:9" s="1408" customFormat="1">
      <c r="A37" s="3964"/>
      <c r="B37" s="3966" t="s">
        <v>2495</v>
      </c>
      <c r="C37" s="3260" t="s">
        <v>2496</v>
      </c>
      <c r="D37" s="3261"/>
      <c r="E37" s="3262">
        <v>0.6</v>
      </c>
      <c r="F37" s="3259" t="s">
        <v>2497</v>
      </c>
      <c r="G37" s="1035"/>
      <c r="H37" s="1025"/>
      <c r="I37" s="1025"/>
    </row>
    <row r="38" spans="1:9" s="1408" customFormat="1">
      <c r="A38" s="3964"/>
      <c r="B38" s="3961"/>
      <c r="C38" s="3260" t="s">
        <v>2498</v>
      </c>
      <c r="D38" s="3261"/>
      <c r="E38" s="3262">
        <v>0.6</v>
      </c>
      <c r="F38" s="3259" t="s">
        <v>2499</v>
      </c>
      <c r="G38" s="1035"/>
      <c r="H38" s="1025"/>
      <c r="I38" s="1025"/>
    </row>
    <row r="39" spans="1:9" s="1408" customFormat="1" ht="14.25" thickBot="1">
      <c r="A39" s="3965"/>
      <c r="B39" s="3962"/>
      <c r="C39" s="3263" t="s">
        <v>2500</v>
      </c>
      <c r="D39" s="3264"/>
      <c r="E39" s="3265">
        <v>0.6</v>
      </c>
      <c r="F39" s="3259" t="s">
        <v>2501</v>
      </c>
      <c r="G39" s="1035"/>
      <c r="H39" s="1025"/>
      <c r="I39" s="1025"/>
    </row>
    <row r="40" spans="1:9" s="1408" customFormat="1" ht="14.25" thickBot="1">
      <c r="A40" s="3266" t="s">
        <v>2452</v>
      </c>
      <c r="B40" s="3267" t="s">
        <v>2452</v>
      </c>
      <c r="C40" s="3268" t="s">
        <v>2502</v>
      </c>
      <c r="D40" s="3269"/>
      <c r="E40" s="3270">
        <v>1</v>
      </c>
      <c r="F40" s="3259" t="s">
        <v>2503</v>
      </c>
      <c r="G40" s="1035"/>
      <c r="H40" s="1025"/>
      <c r="I40" s="1025"/>
    </row>
    <row r="41" spans="1:9" s="1408" customFormat="1">
      <c r="A41" s="3957" t="s">
        <v>2453</v>
      </c>
      <c r="B41" s="3960" t="s">
        <v>2504</v>
      </c>
      <c r="C41" s="3256" t="s">
        <v>2505</v>
      </c>
      <c r="D41" s="3257"/>
      <c r="E41" s="3258">
        <v>1</v>
      </c>
      <c r="F41" s="3259" t="s">
        <v>2506</v>
      </c>
      <c r="G41" s="1035"/>
      <c r="H41" s="1025"/>
      <c r="I41" s="1025"/>
    </row>
    <row r="42" spans="1:9" s="1408" customFormat="1">
      <c r="A42" s="3958"/>
      <c r="B42" s="3961"/>
      <c r="C42" s="3260" t="s">
        <v>2507</v>
      </c>
      <c r="D42" s="3261"/>
      <c r="E42" s="3262">
        <v>1</v>
      </c>
      <c r="F42" s="3259" t="s">
        <v>2508</v>
      </c>
      <c r="G42" s="1035"/>
      <c r="H42" s="1025"/>
      <c r="I42" s="1025"/>
    </row>
    <row r="43" spans="1:9" s="1408" customFormat="1">
      <c r="A43" s="3958"/>
      <c r="B43" s="3967"/>
      <c r="C43" s="3260" t="s">
        <v>2509</v>
      </c>
      <c r="D43" s="3261"/>
      <c r="E43" s="3262">
        <v>1.5</v>
      </c>
      <c r="F43" s="3259" t="s">
        <v>2510</v>
      </c>
      <c r="G43" s="1035"/>
      <c r="H43" s="1025"/>
      <c r="I43" s="1025"/>
    </row>
    <row r="44" spans="1:9" s="1408" customFormat="1">
      <c r="A44" s="3958"/>
      <c r="B44" s="3271" t="s">
        <v>2455</v>
      </c>
      <c r="C44" s="3260" t="s">
        <v>2454</v>
      </c>
      <c r="D44" s="3261"/>
      <c r="E44" s="3262">
        <v>2</v>
      </c>
      <c r="F44" s="3259" t="s">
        <v>2511</v>
      </c>
      <c r="G44" s="1035"/>
      <c r="H44" s="1025"/>
      <c r="I44" s="1025"/>
    </row>
    <row r="45" spans="1:9" s="1408" customFormat="1">
      <c r="A45" s="3958"/>
      <c r="B45" s="3966" t="s">
        <v>2512</v>
      </c>
      <c r="C45" s="3260" t="s">
        <v>2513</v>
      </c>
      <c r="D45" s="3261"/>
      <c r="E45" s="3262">
        <v>1</v>
      </c>
      <c r="F45" s="3259" t="s">
        <v>2514</v>
      </c>
      <c r="G45" s="1035"/>
      <c r="H45" s="1025"/>
      <c r="I45" s="1025"/>
    </row>
    <row r="46" spans="1:9" s="1408" customFormat="1">
      <c r="A46" s="3958"/>
      <c r="B46" s="3961"/>
      <c r="C46" s="3260" t="s">
        <v>2515</v>
      </c>
      <c r="D46" s="3261"/>
      <c r="E46" s="3262">
        <v>1</v>
      </c>
      <c r="F46" s="3259" t="s">
        <v>2516</v>
      </c>
      <c r="G46" s="1035"/>
      <c r="H46" s="1025"/>
      <c r="I46" s="1025"/>
    </row>
    <row r="47" spans="1:9" s="1408" customFormat="1">
      <c r="A47" s="3958"/>
      <c r="B47" s="3961"/>
      <c r="C47" s="3260" t="s">
        <v>2517</v>
      </c>
      <c r="D47" s="3261"/>
      <c r="E47" s="3262">
        <v>1</v>
      </c>
      <c r="F47" s="3259" t="s">
        <v>2518</v>
      </c>
      <c r="G47" s="1035"/>
      <c r="H47" s="1025"/>
      <c r="I47" s="1025"/>
    </row>
    <row r="48" spans="1:9" s="1408" customFormat="1">
      <c r="A48" s="3958"/>
      <c r="B48" s="3961"/>
      <c r="C48" s="3260" t="s">
        <v>2519</v>
      </c>
      <c r="D48" s="3261"/>
      <c r="E48" s="3262">
        <v>1</v>
      </c>
      <c r="F48" s="3259" t="s">
        <v>2520</v>
      </c>
      <c r="G48" s="1035"/>
      <c r="H48" s="1025"/>
      <c r="I48" s="1025"/>
    </row>
    <row r="49" spans="1:9" s="1408" customFormat="1">
      <c r="A49" s="3958"/>
      <c r="B49" s="3961"/>
      <c r="C49" s="3260" t="s">
        <v>2521</v>
      </c>
      <c r="D49" s="3261"/>
      <c r="E49" s="3262">
        <v>1</v>
      </c>
      <c r="F49" s="3259" t="s">
        <v>2522</v>
      </c>
      <c r="G49" s="1035"/>
      <c r="H49" s="1025"/>
      <c r="I49" s="1025"/>
    </row>
    <row r="50" spans="1:9" s="1408" customFormat="1">
      <c r="A50" s="3958"/>
      <c r="B50" s="3961"/>
      <c r="C50" s="3260" t="s">
        <v>2523</v>
      </c>
      <c r="D50" s="3261"/>
      <c r="E50" s="3262">
        <v>1</v>
      </c>
      <c r="F50" s="3259" t="s">
        <v>2524</v>
      </c>
      <c r="G50" s="1035"/>
      <c r="H50" s="1025"/>
      <c r="I50" s="1025"/>
    </row>
    <row r="51" spans="1:9" s="1408" customFormat="1" ht="14.25" thickBot="1">
      <c r="A51" s="3959"/>
      <c r="B51" s="3962"/>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1">
        <v>1</v>
      </c>
      <c r="B73" s="3966" t="s">
        <v>2528</v>
      </c>
      <c r="C73" s="3249" t="s">
        <v>2529</v>
      </c>
      <c r="D73" s="3249" t="s">
        <v>2530</v>
      </c>
      <c r="E73" s="3272">
        <v>0.2</v>
      </c>
      <c r="F73" s="3271">
        <v>25</v>
      </c>
      <c r="H73" s="1025">
        <f>SUMIF(C71:C139,基准地价!C8,E71:E139)</f>
        <v>0</v>
      </c>
    </row>
    <row r="74" spans="1:8" s="1025" customFormat="1" ht="24">
      <c r="A74" s="3271">
        <v>2</v>
      </c>
      <c r="B74" s="3961"/>
      <c r="C74" s="3249" t="s">
        <v>2531</v>
      </c>
      <c r="D74" s="3249" t="s">
        <v>2532</v>
      </c>
      <c r="E74" s="3272">
        <v>0.2</v>
      </c>
      <c r="F74" s="3271">
        <v>25</v>
      </c>
    </row>
    <row r="75" spans="1:8" s="1025" customFormat="1" ht="24">
      <c r="A75" s="3271">
        <v>3</v>
      </c>
      <c r="B75" s="3961"/>
      <c r="C75" s="3249" t="s">
        <v>2533</v>
      </c>
      <c r="D75" s="3249" t="s">
        <v>2534</v>
      </c>
      <c r="E75" s="3272">
        <v>0.2</v>
      </c>
      <c r="F75" s="3271">
        <v>25</v>
      </c>
    </row>
    <row r="76" spans="1:8" s="1025" customFormat="1">
      <c r="A76" s="3271">
        <v>4</v>
      </c>
      <c r="B76" s="3961"/>
      <c r="C76" s="3249" t="s">
        <v>2535</v>
      </c>
      <c r="D76" s="3249" t="s">
        <v>2536</v>
      </c>
      <c r="E76" s="3272">
        <v>0.15</v>
      </c>
      <c r="F76" s="3271">
        <v>20</v>
      </c>
    </row>
    <row r="77" spans="1:8" s="1025" customFormat="1" ht="24">
      <c r="A77" s="3271">
        <v>5</v>
      </c>
      <c r="B77" s="3961"/>
      <c r="C77" s="3249" t="s">
        <v>2537</v>
      </c>
      <c r="D77" s="3249" t="s">
        <v>2538</v>
      </c>
      <c r="E77" s="3272">
        <v>0.15</v>
      </c>
      <c r="F77" s="3271">
        <v>20</v>
      </c>
    </row>
    <row r="78" spans="1:8" s="1025" customFormat="1" ht="24">
      <c r="A78" s="3271">
        <v>6</v>
      </c>
      <c r="B78" s="3961"/>
      <c r="C78" s="3249" t="s">
        <v>2539</v>
      </c>
      <c r="D78" s="3249" t="s">
        <v>2540</v>
      </c>
      <c r="E78" s="3272">
        <v>0.15</v>
      </c>
      <c r="F78" s="3271">
        <v>20</v>
      </c>
    </row>
    <row r="79" spans="1:8" s="1025" customFormat="1" ht="24">
      <c r="A79" s="3271">
        <v>7</v>
      </c>
      <c r="B79" s="3961"/>
      <c r="C79" s="3249" t="s">
        <v>2541</v>
      </c>
      <c r="D79" s="3249" t="s">
        <v>2542</v>
      </c>
      <c r="E79" s="3272">
        <v>0.15</v>
      </c>
      <c r="F79" s="3271">
        <v>20</v>
      </c>
    </row>
    <row r="80" spans="1:8" s="1025" customFormat="1" ht="24">
      <c r="A80" s="3271">
        <v>8</v>
      </c>
      <c r="B80" s="3961"/>
      <c r="C80" s="3249" t="s">
        <v>2543</v>
      </c>
      <c r="D80" s="3249" t="s">
        <v>2544</v>
      </c>
      <c r="E80" s="3272">
        <v>0.1</v>
      </c>
      <c r="F80" s="3271">
        <v>15</v>
      </c>
    </row>
    <row r="81" spans="1:6" s="1025" customFormat="1" ht="24">
      <c r="A81" s="3271">
        <v>9</v>
      </c>
      <c r="B81" s="3961"/>
      <c r="C81" s="3249" t="s">
        <v>2545</v>
      </c>
      <c r="D81" s="3249" t="s">
        <v>2546</v>
      </c>
      <c r="E81" s="3272">
        <v>0.1</v>
      </c>
      <c r="F81" s="3271">
        <v>15</v>
      </c>
    </row>
    <row r="82" spans="1:6" s="1025" customFormat="1" ht="24">
      <c r="A82" s="3271">
        <v>10</v>
      </c>
      <c r="B82" s="3961"/>
      <c r="C82" s="3249" t="s">
        <v>2547</v>
      </c>
      <c r="D82" s="3249" t="s">
        <v>2548</v>
      </c>
      <c r="E82" s="3272">
        <v>0.1</v>
      </c>
      <c r="F82" s="3271">
        <v>15</v>
      </c>
    </row>
    <row r="83" spans="1:6" s="1025" customFormat="1" ht="24">
      <c r="A83" s="3271">
        <v>11</v>
      </c>
      <c r="B83" s="3961"/>
      <c r="C83" s="3249" t="s">
        <v>2549</v>
      </c>
      <c r="D83" s="3249" t="s">
        <v>2550</v>
      </c>
      <c r="E83" s="3272">
        <v>0.1</v>
      </c>
      <c r="F83" s="3271">
        <v>15</v>
      </c>
    </row>
    <row r="84" spans="1:6" s="1025" customFormat="1" ht="24">
      <c r="A84" s="3271">
        <v>12</v>
      </c>
      <c r="B84" s="3961"/>
      <c r="C84" s="3249" t="s">
        <v>2551</v>
      </c>
      <c r="D84" s="3249" t="s">
        <v>2552</v>
      </c>
      <c r="E84" s="3272">
        <v>0.1</v>
      </c>
      <c r="F84" s="3271">
        <v>15</v>
      </c>
    </row>
    <row r="85" spans="1:6" s="1025" customFormat="1">
      <c r="A85" s="3271">
        <v>13</v>
      </c>
      <c r="B85" s="3961"/>
      <c r="C85" s="3249" t="s">
        <v>2553</v>
      </c>
      <c r="D85" s="3249" t="s">
        <v>2554</v>
      </c>
      <c r="E85" s="3272">
        <v>0.1</v>
      </c>
      <c r="F85" s="3271">
        <v>15</v>
      </c>
    </row>
    <row r="86" spans="1:6" s="1025" customFormat="1">
      <c r="A86" s="3271">
        <v>14</v>
      </c>
      <c r="B86" s="3961"/>
      <c r="C86" s="3249" t="s">
        <v>2555</v>
      </c>
      <c r="D86" s="3249" t="s">
        <v>2556</v>
      </c>
      <c r="E86" s="3272">
        <v>0.1</v>
      </c>
      <c r="F86" s="3271">
        <v>15</v>
      </c>
    </row>
    <row r="87" spans="1:6" s="1025" customFormat="1">
      <c r="A87" s="3271">
        <v>15</v>
      </c>
      <c r="B87" s="3961"/>
      <c r="C87" s="3249" t="s">
        <v>2557</v>
      </c>
      <c r="D87" s="3249" t="s">
        <v>2558</v>
      </c>
      <c r="E87" s="3272">
        <v>0.1</v>
      </c>
      <c r="F87" s="3271">
        <v>15</v>
      </c>
    </row>
    <row r="88" spans="1:6" s="1025" customFormat="1" ht="24">
      <c r="A88" s="3271">
        <v>16</v>
      </c>
      <c r="B88" s="3961"/>
      <c r="C88" s="3249" t="s">
        <v>2559</v>
      </c>
      <c r="D88" s="3249" t="s">
        <v>2560</v>
      </c>
      <c r="E88" s="3272">
        <v>0.1</v>
      </c>
      <c r="F88" s="3271">
        <v>15</v>
      </c>
    </row>
    <row r="89" spans="1:6" s="1025" customFormat="1" ht="24">
      <c r="A89" s="3271">
        <v>17</v>
      </c>
      <c r="B89" s="3967"/>
      <c r="C89" s="3249" t="s">
        <v>2561</v>
      </c>
      <c r="D89" s="3249" t="s">
        <v>2562</v>
      </c>
      <c r="E89" s="3272">
        <v>0.1</v>
      </c>
      <c r="F89" s="3271">
        <v>15</v>
      </c>
    </row>
    <row r="90" spans="1:6" s="1025" customFormat="1">
      <c r="A90" s="3271">
        <v>18</v>
      </c>
      <c r="B90" s="3966" t="s">
        <v>2563</v>
      </c>
      <c r="C90" s="3249" t="s">
        <v>2564</v>
      </c>
      <c r="D90" s="3249" t="s">
        <v>2565</v>
      </c>
      <c r="E90" s="3272">
        <v>0.2</v>
      </c>
      <c r="F90" s="3271">
        <v>25</v>
      </c>
    </row>
    <row r="91" spans="1:6" s="1025" customFormat="1" ht="24">
      <c r="A91" s="3271">
        <v>19</v>
      </c>
      <c r="B91" s="3961"/>
      <c r="C91" s="3249" t="s">
        <v>2566</v>
      </c>
      <c r="D91" s="3249" t="s">
        <v>2567</v>
      </c>
      <c r="E91" s="3272">
        <v>0.2</v>
      </c>
      <c r="F91" s="3271">
        <v>25</v>
      </c>
    </row>
    <row r="92" spans="1:6" s="1025" customFormat="1">
      <c r="A92" s="3271">
        <v>20</v>
      </c>
      <c r="B92" s="3961"/>
      <c r="C92" s="3249" t="s">
        <v>2568</v>
      </c>
      <c r="D92" s="3249" t="s">
        <v>2569</v>
      </c>
      <c r="E92" s="3272">
        <v>0.15</v>
      </c>
      <c r="F92" s="3271">
        <v>20</v>
      </c>
    </row>
    <row r="93" spans="1:6" s="1025" customFormat="1" ht="24">
      <c r="A93" s="3271">
        <v>21</v>
      </c>
      <c r="B93" s="3961"/>
      <c r="C93" s="3249" t="s">
        <v>2570</v>
      </c>
      <c r="D93" s="3249" t="s">
        <v>2571</v>
      </c>
      <c r="E93" s="3272">
        <v>0.15</v>
      </c>
      <c r="F93" s="3271">
        <v>20</v>
      </c>
    </row>
    <row r="94" spans="1:6" s="1025" customFormat="1" ht="24">
      <c r="A94" s="3271">
        <v>22</v>
      </c>
      <c r="B94" s="3961"/>
      <c r="C94" s="3249" t="s">
        <v>2572</v>
      </c>
      <c r="D94" s="3249" t="s">
        <v>2573</v>
      </c>
      <c r="E94" s="3272">
        <v>0.15</v>
      </c>
      <c r="F94" s="3271">
        <v>20</v>
      </c>
    </row>
    <row r="95" spans="1:6" s="1025" customFormat="1" ht="36">
      <c r="A95" s="3271">
        <v>23</v>
      </c>
      <c r="B95" s="3961"/>
      <c r="C95" s="3249" t="s">
        <v>2574</v>
      </c>
      <c r="D95" s="3249" t="s">
        <v>2575</v>
      </c>
      <c r="E95" s="3272">
        <v>0.15</v>
      </c>
      <c r="F95" s="3271">
        <v>20</v>
      </c>
    </row>
    <row r="96" spans="1:6" s="1025" customFormat="1">
      <c r="A96" s="3271">
        <v>24</v>
      </c>
      <c r="B96" s="3961"/>
      <c r="C96" s="3249" t="s">
        <v>2576</v>
      </c>
      <c r="D96" s="3249" t="s">
        <v>2577</v>
      </c>
      <c r="E96" s="3272">
        <v>0.1</v>
      </c>
      <c r="F96" s="3271">
        <v>15</v>
      </c>
    </row>
    <row r="97" spans="1:6" s="1025" customFormat="1" ht="24">
      <c r="A97" s="3271">
        <v>25</v>
      </c>
      <c r="B97" s="3961"/>
      <c r="C97" s="3249" t="s">
        <v>2578</v>
      </c>
      <c r="D97" s="3249" t="s">
        <v>2579</v>
      </c>
      <c r="E97" s="3272">
        <v>0.1</v>
      </c>
      <c r="F97" s="3271">
        <v>15</v>
      </c>
    </row>
    <row r="98" spans="1:6" s="1025" customFormat="1" ht="24">
      <c r="A98" s="3271">
        <v>26</v>
      </c>
      <c r="B98" s="3961"/>
      <c r="C98" s="3249" t="s">
        <v>2580</v>
      </c>
      <c r="D98" s="3249" t="s">
        <v>2581</v>
      </c>
      <c r="E98" s="3272">
        <v>0.1</v>
      </c>
      <c r="F98" s="3271">
        <v>15</v>
      </c>
    </row>
    <row r="99" spans="1:6" s="1025" customFormat="1" ht="24">
      <c r="A99" s="3271">
        <v>27</v>
      </c>
      <c r="B99" s="3961"/>
      <c r="C99" s="3249" t="s">
        <v>2582</v>
      </c>
      <c r="D99" s="3249" t="s">
        <v>2583</v>
      </c>
      <c r="E99" s="3272">
        <v>0.1</v>
      </c>
      <c r="F99" s="3271">
        <v>15</v>
      </c>
    </row>
    <row r="100" spans="1:6" s="1025" customFormat="1" ht="24">
      <c r="A100" s="3271">
        <v>28</v>
      </c>
      <c r="B100" s="3961"/>
      <c r="C100" s="3249" t="s">
        <v>2584</v>
      </c>
      <c r="D100" s="3249" t="s">
        <v>2585</v>
      </c>
      <c r="E100" s="3272">
        <v>0.1</v>
      </c>
      <c r="F100" s="3271">
        <v>15</v>
      </c>
    </row>
    <row r="101" spans="1:6" s="1025" customFormat="1" ht="24">
      <c r="A101" s="3271">
        <v>29</v>
      </c>
      <c r="B101" s="3961"/>
      <c r="C101" s="3249" t="s">
        <v>2586</v>
      </c>
      <c r="D101" s="3249" t="s">
        <v>2587</v>
      </c>
      <c r="E101" s="3272">
        <v>0.1</v>
      </c>
      <c r="F101" s="3271">
        <v>15</v>
      </c>
    </row>
    <row r="102" spans="1:6" s="1025" customFormat="1" ht="24">
      <c r="A102" s="3271">
        <v>30</v>
      </c>
      <c r="B102" s="3961"/>
      <c r="C102" s="3249" t="s">
        <v>2588</v>
      </c>
      <c r="D102" s="3249" t="s">
        <v>2589</v>
      </c>
      <c r="E102" s="3272">
        <v>0.1</v>
      </c>
      <c r="F102" s="3271">
        <v>15</v>
      </c>
    </row>
    <row r="103" spans="1:6" s="1025" customFormat="1" ht="24">
      <c r="A103" s="3271">
        <v>31</v>
      </c>
      <c r="B103" s="3961"/>
      <c r="C103" s="3249" t="s">
        <v>2590</v>
      </c>
      <c r="D103" s="3249" t="s">
        <v>2591</v>
      </c>
      <c r="E103" s="3272">
        <v>0.1</v>
      </c>
      <c r="F103" s="3271">
        <v>15</v>
      </c>
    </row>
    <row r="104" spans="1:6" s="1025" customFormat="1" ht="24">
      <c r="A104" s="3271">
        <v>32</v>
      </c>
      <c r="B104" s="3961"/>
      <c r="C104" s="3249" t="s">
        <v>2592</v>
      </c>
      <c r="D104" s="3249" t="s">
        <v>2593</v>
      </c>
      <c r="E104" s="3272">
        <v>0.1</v>
      </c>
      <c r="F104" s="3271">
        <v>15</v>
      </c>
    </row>
    <row r="105" spans="1:6" s="1025" customFormat="1" ht="24">
      <c r="A105" s="3271">
        <v>33</v>
      </c>
      <c r="B105" s="3961"/>
      <c r="C105" s="3249" t="s">
        <v>2594</v>
      </c>
      <c r="D105" s="3249" t="s">
        <v>2595</v>
      </c>
      <c r="E105" s="3272">
        <v>0.1</v>
      </c>
      <c r="F105" s="3271">
        <v>15</v>
      </c>
    </row>
    <row r="106" spans="1:6" s="1025" customFormat="1" ht="24">
      <c r="A106" s="3271">
        <v>34</v>
      </c>
      <c r="B106" s="3967"/>
      <c r="C106" s="3249" t="s">
        <v>2596</v>
      </c>
      <c r="D106" s="3249" t="s">
        <v>2597</v>
      </c>
      <c r="E106" s="3272">
        <v>0.1</v>
      </c>
      <c r="F106" s="3271">
        <v>15</v>
      </c>
    </row>
    <row r="107" spans="1:6" s="1025" customFormat="1" ht="24">
      <c r="A107" s="3271">
        <v>35</v>
      </c>
      <c r="B107" s="3966" t="s">
        <v>2598</v>
      </c>
      <c r="C107" s="3271" t="s">
        <v>2599</v>
      </c>
      <c r="D107" s="3249" t="s">
        <v>2600</v>
      </c>
      <c r="E107" s="3272">
        <v>0.15</v>
      </c>
      <c r="F107" s="3271">
        <v>20</v>
      </c>
    </row>
    <row r="108" spans="1:6" s="1025" customFormat="1" ht="24">
      <c r="A108" s="3271">
        <v>36</v>
      </c>
      <c r="B108" s="3961"/>
      <c r="C108" s="3271" t="s">
        <v>2601</v>
      </c>
      <c r="D108" s="3249" t="s">
        <v>2602</v>
      </c>
      <c r="E108" s="3272">
        <v>0.15</v>
      </c>
      <c r="F108" s="3271">
        <v>20</v>
      </c>
    </row>
    <row r="109" spans="1:6" s="1025" customFormat="1" ht="24">
      <c r="A109" s="3271">
        <v>37</v>
      </c>
      <c r="B109" s="3961"/>
      <c r="C109" s="3271" t="s">
        <v>2603</v>
      </c>
      <c r="D109" s="3249" t="s">
        <v>2604</v>
      </c>
      <c r="E109" s="3272">
        <v>0.15</v>
      </c>
      <c r="F109" s="3271">
        <v>20</v>
      </c>
    </row>
    <row r="110" spans="1:6" s="1025" customFormat="1">
      <c r="A110" s="3271">
        <v>38</v>
      </c>
      <c r="B110" s="3961"/>
      <c r="C110" s="3271" t="s">
        <v>2605</v>
      </c>
      <c r="D110" s="3249" t="s">
        <v>2606</v>
      </c>
      <c r="E110" s="3272">
        <v>0.1</v>
      </c>
      <c r="F110" s="3271">
        <v>15</v>
      </c>
    </row>
    <row r="111" spans="1:6" s="1025" customFormat="1" ht="24">
      <c r="A111" s="3271">
        <v>39</v>
      </c>
      <c r="B111" s="3961"/>
      <c r="C111" s="3271" t="s">
        <v>2607</v>
      </c>
      <c r="D111" s="3249" t="s">
        <v>2608</v>
      </c>
      <c r="E111" s="3272">
        <v>0.1</v>
      </c>
      <c r="F111" s="3271">
        <v>15</v>
      </c>
    </row>
    <row r="112" spans="1:6" s="1025" customFormat="1" ht="24">
      <c r="A112" s="3271">
        <v>40</v>
      </c>
      <c r="B112" s="3967"/>
      <c r="C112" s="3271" t="s">
        <v>2609</v>
      </c>
      <c r="D112" s="3249" t="s">
        <v>2610</v>
      </c>
      <c r="E112" s="3272">
        <v>0.1</v>
      </c>
      <c r="F112" s="3271">
        <v>15</v>
      </c>
    </row>
    <row r="113" spans="1:6" s="1025" customFormat="1" ht="24">
      <c r="A113" s="3271">
        <v>41</v>
      </c>
      <c r="B113" s="3968" t="s">
        <v>2611</v>
      </c>
      <c r="C113" s="3271" t="s">
        <v>2612</v>
      </c>
      <c r="D113" s="3249" t="s">
        <v>2613</v>
      </c>
      <c r="E113" s="3272">
        <v>0.1</v>
      </c>
      <c r="F113" s="3271">
        <v>15</v>
      </c>
    </row>
    <row r="114" spans="1:6" s="1025" customFormat="1">
      <c r="A114" s="3271">
        <v>42</v>
      </c>
      <c r="B114" s="3968"/>
      <c r="C114" s="3271" t="s">
        <v>2614</v>
      </c>
      <c r="D114" s="3249" t="s">
        <v>2615</v>
      </c>
      <c r="E114" s="3272">
        <v>0.1</v>
      </c>
      <c r="F114" s="3271">
        <v>15</v>
      </c>
    </row>
    <row r="115" spans="1:6" s="1025" customFormat="1" ht="24">
      <c r="A115" s="3271">
        <v>43</v>
      </c>
      <c r="B115" s="3968"/>
      <c r="C115" s="3271" t="s">
        <v>2616</v>
      </c>
      <c r="D115" s="3249" t="s">
        <v>2617</v>
      </c>
      <c r="E115" s="3272">
        <v>0.1</v>
      </c>
      <c r="F115" s="3271">
        <v>15</v>
      </c>
    </row>
    <row r="116" spans="1:6" s="1025" customFormat="1" ht="24">
      <c r="A116" s="3271">
        <v>44</v>
      </c>
      <c r="B116" s="3966" t="s">
        <v>2618</v>
      </c>
      <c r="C116" s="3271" t="s">
        <v>2619</v>
      </c>
      <c r="D116" s="3249" t="s">
        <v>2620</v>
      </c>
      <c r="E116" s="3272">
        <v>0.1</v>
      </c>
      <c r="F116" s="3271">
        <v>15</v>
      </c>
    </row>
    <row r="117" spans="1:6" s="1025" customFormat="1" ht="24">
      <c r="A117" s="3271">
        <v>45</v>
      </c>
      <c r="B117" s="3967"/>
      <c r="C117" s="3249" t="s">
        <v>2621</v>
      </c>
      <c r="D117" s="3249" t="s">
        <v>2622</v>
      </c>
      <c r="E117" s="3272">
        <v>0.1</v>
      </c>
      <c r="F117" s="3271">
        <v>15</v>
      </c>
    </row>
    <row r="118" spans="1:6" s="1025" customFormat="1" ht="24">
      <c r="A118" s="3271">
        <v>46</v>
      </c>
      <c r="B118" s="3966" t="s">
        <v>2623</v>
      </c>
      <c r="C118" s="3271" t="s">
        <v>2624</v>
      </c>
      <c r="D118" s="3249" t="s">
        <v>2625</v>
      </c>
      <c r="E118" s="3272">
        <v>0.1</v>
      </c>
      <c r="F118" s="3271">
        <v>15</v>
      </c>
    </row>
    <row r="119" spans="1:6" s="1025" customFormat="1" ht="24">
      <c r="A119" s="3271">
        <v>47</v>
      </c>
      <c r="B119" s="3967"/>
      <c r="C119" s="3271" t="s">
        <v>2626</v>
      </c>
      <c r="D119" s="3249" t="s">
        <v>2627</v>
      </c>
      <c r="E119" s="3272">
        <v>0.1</v>
      </c>
      <c r="F119" s="3271">
        <v>15</v>
      </c>
    </row>
    <row r="120" spans="1:6" s="1025" customFormat="1" ht="24">
      <c r="A120" s="3271">
        <v>48</v>
      </c>
      <c r="B120" s="3966" t="s">
        <v>2628</v>
      </c>
      <c r="C120" s="3271" t="s">
        <v>2629</v>
      </c>
      <c r="D120" s="3249" t="s">
        <v>2630</v>
      </c>
      <c r="E120" s="3272">
        <v>0.1</v>
      </c>
      <c r="F120" s="3271">
        <v>15</v>
      </c>
    </row>
    <row r="121" spans="1:6" s="1025" customFormat="1">
      <c r="A121" s="3271">
        <v>49</v>
      </c>
      <c r="B121" s="3967"/>
      <c r="C121" s="3271" t="s">
        <v>2631</v>
      </c>
      <c r="D121" s="3249" t="s">
        <v>2632</v>
      </c>
      <c r="E121" s="3272">
        <v>0.1</v>
      </c>
      <c r="F121" s="3271">
        <v>15</v>
      </c>
    </row>
    <row r="122" spans="1:6" s="1025" customFormat="1" ht="24">
      <c r="A122" s="3271">
        <v>50</v>
      </c>
      <c r="B122" s="3968" t="s">
        <v>2633</v>
      </c>
      <c r="C122" s="3271" t="s">
        <v>2634</v>
      </c>
      <c r="D122" s="3249" t="s">
        <v>2635</v>
      </c>
      <c r="E122" s="3272">
        <v>0.1</v>
      </c>
      <c r="F122" s="3271">
        <v>15</v>
      </c>
    </row>
    <row r="123" spans="1:6" s="1025" customFormat="1" ht="24">
      <c r="A123" s="3271">
        <v>51</v>
      </c>
      <c r="B123" s="3968"/>
      <c r="C123" s="3271" t="s">
        <v>2636</v>
      </c>
      <c r="D123" s="3249" t="s">
        <v>2637</v>
      </c>
      <c r="E123" s="3272">
        <v>0.1</v>
      </c>
      <c r="F123" s="3271">
        <v>15</v>
      </c>
    </row>
    <row r="124" spans="1:6" s="1025" customFormat="1" ht="24">
      <c r="A124" s="3271">
        <v>52</v>
      </c>
      <c r="B124" s="3968" t="s">
        <v>2638</v>
      </c>
      <c r="C124" s="3271" t="s">
        <v>2639</v>
      </c>
      <c r="D124" s="3249" t="s">
        <v>2640</v>
      </c>
      <c r="E124" s="3272">
        <v>0.1</v>
      </c>
      <c r="F124" s="3271">
        <v>15</v>
      </c>
    </row>
    <row r="125" spans="1:6" s="1025" customFormat="1" ht="24">
      <c r="A125" s="3271">
        <v>53</v>
      </c>
      <c r="B125" s="3968"/>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c r="A127" s="3271">
        <v>55</v>
      </c>
      <c r="B127" s="3968" t="s">
        <v>2646</v>
      </c>
      <c r="C127" s="3271" t="s">
        <v>2647</v>
      </c>
      <c r="D127" s="3249" t="s">
        <v>2648</v>
      </c>
      <c r="E127" s="3272">
        <v>0.1</v>
      </c>
      <c r="F127" s="3271">
        <v>15</v>
      </c>
    </row>
    <row r="128" spans="1:6">
      <c r="A128" s="3271">
        <v>56</v>
      </c>
      <c r="B128" s="3968"/>
      <c r="C128" s="3271" t="s">
        <v>2649</v>
      </c>
      <c r="D128" s="3249" t="s">
        <v>2650</v>
      </c>
      <c r="E128" s="3272">
        <v>0.1</v>
      </c>
      <c r="F128" s="3271">
        <v>15</v>
      </c>
    </row>
    <row r="129" spans="1:14" ht="24">
      <c r="A129" s="3271">
        <v>57</v>
      </c>
      <c r="B129" s="3968"/>
      <c r="C129" s="3271" t="s">
        <v>2651</v>
      </c>
      <c r="D129" s="3249" t="s">
        <v>2652</v>
      </c>
      <c r="E129" s="3272">
        <v>0.1</v>
      </c>
      <c r="F129" s="3271">
        <v>15</v>
      </c>
    </row>
    <row r="130" spans="1:14" ht="24">
      <c r="A130" s="3271">
        <v>58</v>
      </c>
      <c r="B130" s="3968" t="s">
        <v>2653</v>
      </c>
      <c r="C130" s="3271" t="s">
        <v>2654</v>
      </c>
      <c r="D130" s="3249" t="s">
        <v>2655</v>
      </c>
      <c r="E130" s="3272">
        <v>0.1</v>
      </c>
      <c r="F130" s="3271">
        <v>15</v>
      </c>
    </row>
    <row r="131" spans="1:14" ht="24">
      <c r="A131" s="3271">
        <v>59</v>
      </c>
      <c r="B131" s="3968"/>
      <c r="C131" s="3271" t="s">
        <v>2656</v>
      </c>
      <c r="D131" s="3249" t="s">
        <v>2657</v>
      </c>
      <c r="E131" s="3272">
        <v>0.1</v>
      </c>
      <c r="F131" s="3271">
        <v>15</v>
      </c>
    </row>
    <row r="132" spans="1:14" ht="24">
      <c r="A132" s="3271">
        <v>60</v>
      </c>
      <c r="B132" s="3966" t="s">
        <v>2658</v>
      </c>
      <c r="C132" s="3271" t="s">
        <v>2659</v>
      </c>
      <c r="D132" s="3249" t="s">
        <v>2660</v>
      </c>
      <c r="E132" s="3272">
        <v>0.1</v>
      </c>
      <c r="F132" s="3271">
        <v>15</v>
      </c>
    </row>
    <row r="133" spans="1:14" ht="24">
      <c r="A133" s="3271">
        <v>61</v>
      </c>
      <c r="B133" s="3967"/>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3968" t="s">
        <v>2666</v>
      </c>
      <c r="C135" s="3271" t="s">
        <v>2667</v>
      </c>
      <c r="D135" s="3249" t="s">
        <v>2668</v>
      </c>
      <c r="E135" s="3272">
        <v>0.1</v>
      </c>
      <c r="F135" s="3271">
        <v>15</v>
      </c>
    </row>
    <row r="136" spans="1:14">
      <c r="A136" s="3271">
        <v>64</v>
      </c>
      <c r="B136" s="3968"/>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1"/>
    <col min="9" max="9" width="9" style="1008"/>
    <col min="10" max="10" width="17.375" style="3456" customWidth="1"/>
    <col min="11" max="21" width="17.375" style="3430" customWidth="1"/>
    <col min="22" max="16384" width="9" style="1008"/>
  </cols>
  <sheetData>
    <row r="1" spans="1:21">
      <c r="A1" s="3969" t="s">
        <v>2814</v>
      </c>
      <c r="B1" s="3969"/>
      <c r="C1" s="3969"/>
      <c r="D1" s="3969"/>
      <c r="E1" s="3969"/>
      <c r="F1" s="3969"/>
      <c r="G1" s="3970"/>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3971"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3972"/>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4.2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4.2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4.2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3" t="s">
        <v>3189</v>
      </c>
      <c r="B1" s="3973"/>
      <c r="C1" s="3973"/>
      <c r="D1" s="3973"/>
      <c r="E1" s="3973"/>
      <c r="F1" s="3974"/>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81"/>
  </cols>
  <sheetData>
    <row r="1" spans="1:7">
      <c r="A1" s="3975" t="s">
        <v>3027</v>
      </c>
      <c r="B1" s="3975"/>
    </row>
    <row r="2" spans="1:7" ht="14.25" thickBot="1">
      <c r="A2" s="3461"/>
      <c r="B2" s="3461"/>
    </row>
    <row r="3" spans="1:7" ht="14.25" thickBot="1">
      <c r="A3" s="3461"/>
      <c r="B3" s="3461"/>
      <c r="C3" s="3462" t="s">
        <v>3028</v>
      </c>
      <c r="D3" s="3462" t="s">
        <v>3029</v>
      </c>
      <c r="E3" s="3462" t="s">
        <v>3030</v>
      </c>
      <c r="F3" s="3462" t="s">
        <v>3031</v>
      </c>
      <c r="G3" s="3462" t="s">
        <v>3032</v>
      </c>
    </row>
    <row r="4" spans="1:7" ht="14.2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4.2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4.2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4.2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4.2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4.2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4.2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4.2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4.2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4.2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4.2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2023年11月18日（评估专业人员勘察现场之日）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3" t="s">
        <v>1858</v>
      </c>
      <c r="C1" s="3983"/>
      <c r="D1" s="3983"/>
      <c r="E1" s="3983"/>
      <c r="F1" s="3983"/>
      <c r="G1" s="3982" t="s">
        <v>1859</v>
      </c>
      <c r="H1" s="3982"/>
      <c r="I1" s="3982"/>
      <c r="J1" s="3982"/>
      <c r="K1" s="3982"/>
      <c r="L1" s="3982"/>
      <c r="N1" s="3982" t="s">
        <v>1860</v>
      </c>
      <c r="O1" s="3982"/>
      <c r="P1" s="3982"/>
      <c r="Q1" s="3982"/>
      <c r="S1" s="3982" t="s">
        <v>1861</v>
      </c>
      <c r="T1" s="3982"/>
      <c r="U1" s="3982"/>
      <c r="V1" s="3982"/>
      <c r="X1" s="3981" t="s">
        <v>1921</v>
      </c>
      <c r="Y1" s="3982"/>
      <c r="Z1" s="3982"/>
      <c r="AA1" s="3982"/>
      <c r="AB1" s="3982"/>
      <c r="AD1" s="3981" t="s">
        <v>1925</v>
      </c>
      <c r="AE1" s="3982"/>
      <c r="AF1" s="3982"/>
      <c r="AG1" s="3982"/>
      <c r="AH1" s="3982"/>
    </row>
    <row r="2" spans="1:34" s="2617" customFormat="1" ht="14.2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397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397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397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397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3976">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7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7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76">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79">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79">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8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8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8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79">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7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7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8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79">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7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8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79">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7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8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79">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7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8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79">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7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8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79">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7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8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79">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7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8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79">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7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8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79">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7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8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79">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77">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77">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80">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79">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77">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77">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8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Q16" sqref="Q16"/>
    </sheetView>
  </sheetViews>
  <sheetFormatPr defaultRowHeight="13.5"/>
  <sheetData/>
  <phoneticPr fontId="22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3.5"/>
  <cols>
    <col min="1" max="1" width="12.375" customWidth="1"/>
    <col min="11" max="17" width="0" hidden="1" customWidth="1"/>
    <col min="24" max="30" width="0" hidden="1" customWidth="1"/>
  </cols>
  <sheetData>
    <row r="1" spans="1:30">
      <c r="A1" s="3396">
        <f>基准地价!G23</f>
        <v>45248</v>
      </c>
      <c r="B1" s="3344" t="s">
        <v>2790</v>
      </c>
      <c r="C1" s="3345"/>
      <c r="D1" s="3345"/>
      <c r="E1" s="3345"/>
      <c r="F1" s="3345"/>
      <c r="G1" s="3345"/>
      <c r="H1" s="3345"/>
      <c r="I1" s="3345"/>
      <c r="J1" s="3346"/>
      <c r="K1" s="3345" t="s">
        <v>2791</v>
      </c>
      <c r="L1" s="3345"/>
      <c r="M1" s="3345"/>
      <c r="N1" s="3345"/>
      <c r="O1" s="3345"/>
      <c r="P1" s="3345"/>
      <c r="Q1" s="3346"/>
      <c r="R1" s="3987" t="s">
        <v>2800</v>
      </c>
      <c r="S1" s="3988"/>
      <c r="T1" s="3988"/>
      <c r="U1" s="3988"/>
      <c r="V1" s="3988"/>
      <c r="W1" s="3988"/>
      <c r="X1" s="3346"/>
      <c r="Y1" s="3987" t="s">
        <v>2811</v>
      </c>
      <c r="Z1" s="3988"/>
      <c r="AA1" s="3988"/>
      <c r="AB1" s="3988"/>
      <c r="AC1" s="3988"/>
      <c r="AD1" s="3988"/>
    </row>
    <row r="2" spans="1:30" ht="14.2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4.2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4.2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3987" t="s">
        <v>2807</v>
      </c>
      <c r="S23" s="3988"/>
      <c r="T23" s="3988"/>
      <c r="U23" s="3988"/>
      <c r="V23" s="3988"/>
      <c r="W23" s="3988"/>
      <c r="X23" s="3346"/>
      <c r="Y23" s="3987" t="s">
        <v>1925</v>
      </c>
      <c r="Z23" s="3988"/>
      <c r="AA23" s="3988"/>
      <c r="AB23" s="3988"/>
      <c r="AC23" s="3988"/>
      <c r="AD23" s="3988"/>
    </row>
    <row r="24" spans="1:30" ht="14.2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4.2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4.2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2209</v>
      </c>
      <c r="B1" s="2984"/>
      <c r="C1" s="2984"/>
      <c r="D1" s="2984"/>
      <c r="E1" s="2984"/>
      <c r="F1" s="2984"/>
      <c r="G1" s="2985"/>
      <c r="H1" s="2985"/>
      <c r="I1" s="2985"/>
      <c r="J1" s="2985"/>
      <c r="K1" s="2985"/>
      <c r="L1" s="2985"/>
      <c r="M1" s="2985"/>
      <c r="N1" s="2985"/>
    </row>
    <row r="2" spans="1:14" ht="14.25">
      <c r="A2" s="2990" t="s">
        <v>2204</v>
      </c>
      <c r="B2" s="2995">
        <f ca="1">SUMIF(B7:B14,"&lt;&gt;#ref!",B7:B14)</f>
        <v>0</v>
      </c>
      <c r="C2" s="2990" t="s">
        <v>2205</v>
      </c>
      <c r="D2" s="2987"/>
      <c r="E2" s="2987"/>
      <c r="F2" s="2987"/>
      <c r="G2" s="2985"/>
      <c r="H2" s="2985"/>
      <c r="I2" s="2985"/>
      <c r="J2" s="2985"/>
      <c r="K2" s="2985"/>
      <c r="L2" s="2985"/>
      <c r="M2" s="2985"/>
      <c r="N2" s="2985"/>
    </row>
    <row r="3" spans="1:14" ht="14.25">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4.25">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2210</v>
      </c>
      <c r="B6" s="2990" t="s">
        <v>2207</v>
      </c>
      <c r="C6" s="2544"/>
      <c r="D6" s="2987"/>
      <c r="E6" s="2990" t="s">
        <v>2208</v>
      </c>
      <c r="F6" s="2990" t="s">
        <v>2211</v>
      </c>
      <c r="G6" s="2985"/>
      <c r="H6" s="2985"/>
      <c r="I6" s="2985"/>
      <c r="J6" s="2985"/>
      <c r="K6" s="2985"/>
      <c r="L6" s="2985"/>
      <c r="M6" s="2985"/>
      <c r="N6" s="2985"/>
    </row>
    <row r="7" spans="1:14" ht="14.25">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0" t="s">
        <v>1807</v>
      </c>
      <c r="C8" s="1612">
        <f ca="1">ROUND(F8*F10*F9*(1-F11)/10000,0)</f>
        <v>0</v>
      </c>
      <c r="D8" s="1609" t="s">
        <v>1817</v>
      </c>
      <c r="E8" s="59" t="s">
        <v>585</v>
      </c>
      <c r="F8" s="751">
        <f ca="1">INDIRECT("'数据-取费表'!u"&amp;$G$1)</f>
        <v>0</v>
      </c>
      <c r="G8" s="1405"/>
      <c r="H8" s="2151" t="s">
        <v>1353</v>
      </c>
      <c r="I8" s="3990" t="s">
        <v>1807</v>
      </c>
      <c r="J8" s="749">
        <f ca="1">ROUND(M8*M10*M9*(1-M11)/10000,0)</f>
        <v>0</v>
      </c>
      <c r="K8" s="332" t="s">
        <v>1817</v>
      </c>
      <c r="L8" s="750" t="s">
        <v>1267</v>
      </c>
      <c r="M8" s="751">
        <f ca="1">INDIRECT("'数据-取费表'!z"&amp;$G$1)</f>
        <v>0</v>
      </c>
    </row>
    <row r="9" spans="1:25" ht="18" customHeight="1">
      <c r="A9" s="2147"/>
      <c r="B9" s="3991"/>
      <c r="C9" s="1613"/>
      <c r="D9" s="1610"/>
      <c r="E9" s="59" t="s">
        <v>586</v>
      </c>
      <c r="F9" s="751">
        <f ca="1">IF(INDIRECT("'数据-取费表'!ah"&amp;$G$1)="",INDIRECT("'数据-取费表'!k"&amp;$G$1),INDIRECT("'数据-取费表'!ah"&amp;$G$1))</f>
        <v>0</v>
      </c>
      <c r="G9" s="1405"/>
      <c r="H9" s="2136"/>
      <c r="I9" s="3991"/>
      <c r="J9" s="754"/>
      <c r="K9" s="755"/>
      <c r="L9" s="750" t="s">
        <v>1268</v>
      </c>
      <c r="M9" s="751">
        <f ca="1">F9</f>
        <v>0</v>
      </c>
    </row>
    <row r="10" spans="1:25" ht="18" customHeight="1">
      <c r="A10" s="2140"/>
      <c r="B10" s="3992"/>
      <c r="C10" s="1613"/>
      <c r="D10" s="1610"/>
      <c r="E10" s="59" t="s">
        <v>587</v>
      </c>
      <c r="F10" s="751">
        <f ca="1">INDIRECT("'数据-取费表'!ai"&amp;$G$1)</f>
        <v>0</v>
      </c>
      <c r="G10" s="1405"/>
      <c r="H10" s="2136"/>
      <c r="I10" s="3992"/>
      <c r="J10" s="754"/>
      <c r="K10" s="755"/>
      <c r="L10" s="750" t="s">
        <v>1269</v>
      </c>
      <c r="M10" s="751">
        <f ca="1">INDIRECT("'数据-取费表'!ai"&amp;$G$1)</f>
        <v>0</v>
      </c>
    </row>
    <row r="11" spans="1:25" ht="18" customHeight="1">
      <c r="A11" s="752"/>
      <c r="B11" s="3993"/>
      <c r="C11" s="1613"/>
      <c r="D11" s="1610"/>
      <c r="E11" s="59" t="s">
        <v>588</v>
      </c>
      <c r="F11" s="760">
        <f ca="1">INDIRECT("'数据-取费表'!w"&amp;$G$1)</f>
        <v>0</v>
      </c>
      <c r="G11" s="1405"/>
      <c r="H11" s="2152"/>
      <c r="I11" s="3992"/>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89"/>
      <c r="J36" s="1803"/>
      <c r="K36" s="1804"/>
      <c r="L36" s="1803"/>
      <c r="M36" s="1803"/>
    </row>
    <row r="37" spans="1:18" ht="18" customHeight="1">
      <c r="A37" s="780"/>
      <c r="B37" s="759"/>
      <c r="C37" s="67"/>
      <c r="D37" s="781"/>
      <c r="E37" s="750" t="s">
        <v>621</v>
      </c>
      <c r="F37" s="751">
        <f ca="1">INDIRECT("'数据-取费表'!r"&amp;$G$1)</f>
        <v>0</v>
      </c>
      <c r="G37" s="1786"/>
      <c r="H37" s="1789"/>
      <c r="I37" s="3989"/>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2234</v>
      </c>
      <c r="J54" s="2610">
        <f ca="1">IF(M48="住宅",MAX(J52,L49-'数据-取费表'!B20),MIN(J52,L49-'数据-取费表'!B20))</f>
        <v>-0.5</v>
      </c>
      <c r="K54" s="3994"/>
      <c r="L54" s="3995"/>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0" t="s">
        <v>1807</v>
      </c>
      <c r="C6" s="749" t="e">
        <f ca="1">ROUND(F6*F8*F7*(1-F9)/10000,0)</f>
        <v>#N/A</v>
      </c>
      <c r="D6" s="2144" t="s">
        <v>1806</v>
      </c>
      <c r="E6" s="750" t="s">
        <v>1267</v>
      </c>
      <c r="F6" s="751" t="e">
        <f ca="1">INDIRECT("'数据-取费表'!u"&amp;$G$1)</f>
        <v>#N/A</v>
      </c>
      <c r="G6" s="1786"/>
      <c r="H6" s="2151" t="s">
        <v>1812</v>
      </c>
      <c r="I6" s="3990" t="s">
        <v>1807</v>
      </c>
      <c r="J6" s="749" t="e">
        <f ca="1">ROUND(M6*M8*M7*(1-M9)/10000,0)</f>
        <v>#N/A</v>
      </c>
      <c r="K6" s="332" t="s">
        <v>1266</v>
      </c>
      <c r="L6" s="750" t="s">
        <v>1267</v>
      </c>
      <c r="M6" s="751" t="e">
        <f ca="1">INDIRECT("'数据-取费表'!z"&amp;$G$1)</f>
        <v>#N/A</v>
      </c>
    </row>
    <row r="7" spans="1:33" ht="18" customHeight="1">
      <c r="A7" s="2147"/>
      <c r="B7" s="3991"/>
      <c r="C7" s="754"/>
      <c r="D7" s="755"/>
      <c r="E7" s="750" t="s">
        <v>1268</v>
      </c>
      <c r="F7" s="751" t="e">
        <f ca="1">IF(INDIRECT("'数据-取费表'!ah"&amp;$G$1)="",INDIRECT("'数据-取费表'!k"&amp;$G$1),INDIRECT("'数据-取费表'!ah"&amp;$G$1))</f>
        <v>#N/A</v>
      </c>
      <c r="G7" s="1786"/>
      <c r="H7" s="2136"/>
      <c r="I7" s="3991"/>
      <c r="J7" s="754"/>
      <c r="K7" s="755"/>
      <c r="L7" s="750" t="s">
        <v>1268</v>
      </c>
      <c r="M7" s="751" t="e">
        <f ca="1">F7</f>
        <v>#N/A</v>
      </c>
    </row>
    <row r="8" spans="1:33" ht="18" customHeight="1">
      <c r="A8" s="2140"/>
      <c r="B8" s="3992"/>
      <c r="C8" s="754"/>
      <c r="D8" s="755"/>
      <c r="E8" s="750" t="s">
        <v>1269</v>
      </c>
      <c r="F8" s="751" t="e">
        <f ca="1">INDIRECT("'数据-取费表'!ai"&amp;$G$1)</f>
        <v>#N/A</v>
      </c>
      <c r="G8" s="1786"/>
      <c r="H8" s="2136"/>
      <c r="I8" s="3992"/>
      <c r="J8" s="754"/>
      <c r="K8" s="755"/>
      <c r="L8" s="750" t="s">
        <v>1269</v>
      </c>
      <c r="M8" s="751" t="e">
        <f ca="1">INDIRECT("'数据-取费表'!ai"&amp;$G$1)</f>
        <v>#N/A</v>
      </c>
    </row>
    <row r="9" spans="1:33" ht="18" customHeight="1">
      <c r="A9" s="752"/>
      <c r="B9" s="3993"/>
      <c r="C9" s="754"/>
      <c r="D9" s="755"/>
      <c r="E9" s="750" t="s">
        <v>1270</v>
      </c>
      <c r="F9" s="760" t="e">
        <f ca="1">INDIRECT("'数据-取费表'!w"&amp;$G$1)</f>
        <v>#N/A</v>
      </c>
      <c r="G9" s="1786"/>
      <c r="H9" s="2152"/>
      <c r="I9" s="3992"/>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3996" t="s">
        <v>2224</v>
      </c>
      <c r="L53" s="3997"/>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5"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15" customHeight="1">
      <c r="A2" s="3066" t="s">
        <v>2299</v>
      </c>
      <c r="B2" s="3067" t="e">
        <f>C40</f>
        <v>#DIV/0!</v>
      </c>
      <c r="C2" s="3068" t="s">
        <v>2300</v>
      </c>
      <c r="D2" s="3068"/>
      <c r="E2" s="3069"/>
      <c r="F2" s="3070"/>
      <c r="G2" s="3071"/>
      <c r="H2" s="3072"/>
      <c r="I2" s="3073"/>
      <c r="J2" s="3998" t="s">
        <v>2301</v>
      </c>
      <c r="K2" s="3999"/>
      <c r="L2" s="3074" t="s">
        <v>2302</v>
      </c>
      <c r="M2" s="3074" t="s">
        <v>2303</v>
      </c>
      <c r="N2" s="3074" t="s">
        <v>2304</v>
      </c>
      <c r="O2" s="3074" t="s">
        <v>2305</v>
      </c>
      <c r="P2" s="3074" t="s">
        <v>2306</v>
      </c>
      <c r="Q2" s="3075" t="s">
        <v>2307</v>
      </c>
      <c r="R2" s="3076" t="s">
        <v>2308</v>
      </c>
      <c r="S2" s="3064"/>
      <c r="T2" s="3064"/>
      <c r="U2" s="3064"/>
      <c r="V2" s="3073"/>
    </row>
    <row r="3" spans="1:22" s="3077" customFormat="1" ht="13.15" customHeight="1">
      <c r="A3" s="3078" t="s">
        <v>2309</v>
      </c>
      <c r="B3" s="3079" t="e">
        <f>ROUND(B2*10000/B4,0)</f>
        <v>#DIV/0!</v>
      </c>
      <c r="C3" s="3068" t="s">
        <v>2310</v>
      </c>
      <c r="D3" s="3068"/>
      <c r="E3" s="3069"/>
      <c r="F3" s="3070"/>
      <c r="G3" s="3071"/>
      <c r="H3" s="3072"/>
      <c r="I3" s="3073"/>
      <c r="J3" s="4000" t="s">
        <v>2311</v>
      </c>
      <c r="K3" s="4001"/>
      <c r="L3" s="3080"/>
      <c r="M3" s="3080"/>
      <c r="N3" s="3080"/>
      <c r="O3" s="3080"/>
      <c r="P3" s="3080"/>
      <c r="Q3" s="3081"/>
      <c r="R3" s="3082">
        <f>SUM(L3:Q3)</f>
        <v>0</v>
      </c>
      <c r="S3" s="3064"/>
      <c r="T3" s="3064"/>
      <c r="U3" s="3064"/>
      <c r="V3" s="3073"/>
    </row>
    <row r="4" spans="1:22" s="3077" customFormat="1" ht="13.15" customHeight="1">
      <c r="A4" s="3083" t="s">
        <v>2312</v>
      </c>
      <c r="B4" s="3084"/>
      <c r="C4" s="3068"/>
      <c r="D4" s="3068"/>
      <c r="E4" s="3069"/>
      <c r="F4" s="3070"/>
      <c r="G4" s="3071"/>
      <c r="H4" s="3072"/>
      <c r="I4" s="3073"/>
      <c r="J4" s="4000" t="s">
        <v>2313</v>
      </c>
      <c r="K4" s="4001"/>
      <c r="L4" s="3085"/>
      <c r="M4" s="3085"/>
      <c r="N4" s="3085"/>
      <c r="O4" s="3085"/>
      <c r="P4" s="3085"/>
      <c r="Q4" s="3086"/>
      <c r="R4" s="3087">
        <f>SUM(L4:Q4)</f>
        <v>0</v>
      </c>
      <c r="S4" s="3064"/>
      <c r="T4" s="3064"/>
      <c r="U4" s="3064"/>
      <c r="V4" s="3073"/>
    </row>
    <row r="5" spans="1:22" s="3077" customFormat="1" ht="13.15"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15" customHeight="1" thickBot="1">
      <c r="A6" s="4002" t="s">
        <v>2317</v>
      </c>
      <c r="B6" s="4003"/>
      <c r="C6" s="4004"/>
      <c r="D6" s="3094"/>
      <c r="E6" s="3095"/>
      <c r="F6" s="3096"/>
      <c r="G6" s="3097"/>
      <c r="H6" s="3072"/>
      <c r="I6" s="3073"/>
      <c r="J6" s="4005">
        <v>1</v>
      </c>
      <c r="K6" s="4006"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15" customHeight="1">
      <c r="A7" s="3100" t="s">
        <v>2327</v>
      </c>
      <c r="B7" s="3101"/>
      <c r="C7" s="3102"/>
      <c r="D7" s="3103">
        <f>SUM(D9,D10,D11,D17,0)</f>
        <v>0</v>
      </c>
      <c r="E7" s="3104" t="e">
        <f>E9+E10+E11+E17</f>
        <v>#DIV/0!</v>
      </c>
      <c r="F7" s="3105"/>
      <c r="G7" s="3106"/>
      <c r="H7" s="3072"/>
      <c r="I7" s="3073"/>
      <c r="J7" s="4005"/>
      <c r="K7" s="4007"/>
      <c r="L7" s="3107" t="s">
        <v>2328</v>
      </c>
      <c r="M7" s="3108"/>
      <c r="N7" s="3084"/>
      <c r="O7" s="3109"/>
      <c r="P7" s="3109"/>
      <c r="Q7" s="3110">
        <v>365</v>
      </c>
      <c r="R7" s="3111">
        <f>ROUND(M7*N7*O7*P7*Q7/10000,0)</f>
        <v>0</v>
      </c>
      <c r="S7" s="3064"/>
      <c r="T7" s="3064" t="s">
        <v>2329</v>
      </c>
      <c r="U7" s="3064"/>
      <c r="V7" s="3073"/>
    </row>
    <row r="8" spans="1:22" s="3077" customFormat="1" ht="13.15" customHeight="1">
      <c r="A8" s="3112" t="s">
        <v>2330</v>
      </c>
      <c r="B8" s="4009" t="s">
        <v>2331</v>
      </c>
      <c r="C8" s="4010"/>
      <c r="D8" s="3113" t="s">
        <v>2332</v>
      </c>
      <c r="E8" s="3114" t="s">
        <v>2333</v>
      </c>
      <c r="F8" s="3115" t="s">
        <v>2334</v>
      </c>
      <c r="G8" s="3116"/>
      <c r="H8" s="3072"/>
      <c r="I8" s="3073"/>
      <c r="J8" s="4005"/>
      <c r="K8" s="4007"/>
      <c r="L8" s="3107" t="s">
        <v>2335</v>
      </c>
      <c r="M8" s="3108"/>
      <c r="N8" s="3084"/>
      <c r="O8" s="3109"/>
      <c r="P8" s="3109"/>
      <c r="Q8" s="3110">
        <v>365</v>
      </c>
      <c r="R8" s="3111">
        <f t="shared" ref="R8:R13" si="0">ROUND(M8*N8*O8*P8*Q8/10000,0)</f>
        <v>0</v>
      </c>
      <c r="S8" s="3064"/>
      <c r="T8" s="3064" t="s">
        <v>2336</v>
      </c>
      <c r="U8" s="3064"/>
      <c r="V8" s="3073"/>
    </row>
    <row r="9" spans="1:22" s="3077" customFormat="1" ht="13.15" customHeight="1">
      <c r="A9" s="3112">
        <v>1</v>
      </c>
      <c r="B9" s="4009" t="s">
        <v>2337</v>
      </c>
      <c r="C9" s="4010"/>
      <c r="D9" s="3113">
        <f>ROUND(D6*E9,0)</f>
        <v>0</v>
      </c>
      <c r="E9" s="3117"/>
      <c r="F9" s="3118" t="s">
        <v>2338</v>
      </c>
      <c r="G9" s="3097"/>
      <c r="H9" s="3072"/>
      <c r="I9" s="3073"/>
      <c r="J9" s="4005"/>
      <c r="K9" s="4007"/>
      <c r="L9" s="3107" t="s">
        <v>2339</v>
      </c>
      <c r="M9" s="3108"/>
      <c r="N9" s="3084"/>
      <c r="O9" s="3109"/>
      <c r="P9" s="3109"/>
      <c r="Q9" s="3110">
        <v>365</v>
      </c>
      <c r="R9" s="3111">
        <f t="shared" si="0"/>
        <v>0</v>
      </c>
      <c r="S9" s="3064"/>
      <c r="T9" s="3064"/>
      <c r="U9" s="3064"/>
      <c r="V9" s="3073"/>
    </row>
    <row r="10" spans="1:22" s="3077" customFormat="1" ht="13.15" customHeight="1">
      <c r="A10" s="3112">
        <v>2</v>
      </c>
      <c r="B10" s="4009" t="s">
        <v>2340</v>
      </c>
      <c r="C10" s="4010"/>
      <c r="D10" s="3113">
        <f>ROUND(D6*E10,0)</f>
        <v>0</v>
      </c>
      <c r="E10" s="3117"/>
      <c r="F10" s="3118" t="s">
        <v>2341</v>
      </c>
      <c r="G10" s="3097"/>
      <c r="H10" s="3072"/>
      <c r="I10" s="3073"/>
      <c r="J10" s="4005"/>
      <c r="K10" s="4007"/>
      <c r="L10" s="3107" t="s">
        <v>2342</v>
      </c>
      <c r="M10" s="3108"/>
      <c r="N10" s="3084"/>
      <c r="O10" s="3109"/>
      <c r="P10" s="3109"/>
      <c r="Q10" s="3110">
        <v>365</v>
      </c>
      <c r="R10" s="3111">
        <f t="shared" si="0"/>
        <v>0</v>
      </c>
      <c r="S10" s="3064"/>
      <c r="T10" s="3064"/>
      <c r="U10" s="3064"/>
      <c r="V10" s="3073"/>
    </row>
    <row r="11" spans="1:22" s="3077" customFormat="1" ht="13.15" customHeight="1">
      <c r="A11" s="3112">
        <v>3</v>
      </c>
      <c r="B11" s="4009" t="s">
        <v>2343</v>
      </c>
      <c r="C11" s="4010"/>
      <c r="D11" s="3113">
        <f>D12+D14+D15+D16</f>
        <v>0</v>
      </c>
      <c r="E11" s="3119" t="e">
        <f>D11/D6</f>
        <v>#DIV/0!</v>
      </c>
      <c r="F11" s="3115"/>
      <c r="G11" s="3116"/>
      <c r="H11" s="3072"/>
      <c r="I11" s="3073"/>
      <c r="J11" s="4005"/>
      <c r="K11" s="4007"/>
      <c r="L11" s="3107" t="s">
        <v>2344</v>
      </c>
      <c r="M11" s="3108"/>
      <c r="N11" s="3084"/>
      <c r="O11" s="3109"/>
      <c r="P11" s="3109"/>
      <c r="Q11" s="3110">
        <v>365</v>
      </c>
      <c r="R11" s="3111">
        <f t="shared" si="0"/>
        <v>0</v>
      </c>
      <c r="S11" s="3064"/>
      <c r="T11" s="3064"/>
      <c r="U11" s="3064"/>
      <c r="V11" s="3073"/>
    </row>
    <row r="12" spans="1:22" s="3077" customFormat="1" ht="13.15" customHeight="1">
      <c r="A12" s="3120" t="s">
        <v>2345</v>
      </c>
      <c r="B12" s="4011" t="s">
        <v>2346</v>
      </c>
      <c r="C12" s="4012"/>
      <c r="D12" s="3121">
        <f>ROUND(D13*1.2%*(1-30%),0)</f>
        <v>0</v>
      </c>
      <c r="E12" s="3122">
        <v>1.2E-2</v>
      </c>
      <c r="F12" s="3115" t="s">
        <v>2347</v>
      </c>
      <c r="G12" s="3116"/>
      <c r="H12" s="3072"/>
      <c r="I12" s="3073"/>
      <c r="J12" s="4005"/>
      <c r="K12" s="4007"/>
      <c r="L12" s="3107" t="s">
        <v>2348</v>
      </c>
      <c r="M12" s="3108"/>
      <c r="N12" s="3084"/>
      <c r="O12" s="3109"/>
      <c r="P12" s="3109"/>
      <c r="Q12" s="3110">
        <v>365</v>
      </c>
      <c r="R12" s="3111">
        <f t="shared" si="0"/>
        <v>0</v>
      </c>
      <c r="S12" s="3064"/>
      <c r="T12" s="3064"/>
      <c r="U12" s="3064"/>
      <c r="V12" s="3073"/>
    </row>
    <row r="13" spans="1:22" s="3077" customFormat="1" ht="13.15" customHeight="1">
      <c r="A13" s="3120"/>
      <c r="B13" s="3123"/>
      <c r="C13" s="3124" t="s">
        <v>2349</v>
      </c>
      <c r="D13" s="3125"/>
      <c r="E13" s="3126"/>
      <c r="F13" s="3115"/>
      <c r="G13" s="3116"/>
      <c r="H13" s="3072"/>
      <c r="I13" s="3073"/>
      <c r="J13" s="4005"/>
      <c r="K13" s="4007"/>
      <c r="L13" s="3107" t="s">
        <v>2350</v>
      </c>
      <c r="M13" s="3108"/>
      <c r="N13" s="3084"/>
      <c r="O13" s="3109"/>
      <c r="P13" s="3109"/>
      <c r="Q13" s="3110">
        <v>365</v>
      </c>
      <c r="R13" s="3111">
        <f t="shared" si="0"/>
        <v>0</v>
      </c>
      <c r="S13" s="3064"/>
      <c r="T13" s="3064"/>
      <c r="U13" s="3064"/>
      <c r="V13" s="3073"/>
    </row>
    <row r="14" spans="1:22" s="3077" customFormat="1" ht="13.15" customHeight="1">
      <c r="A14" s="3120" t="s">
        <v>2351</v>
      </c>
      <c r="B14" s="4011" t="s">
        <v>2352</v>
      </c>
      <c r="C14" s="4012"/>
      <c r="D14" s="3121">
        <f>ROUND(E14*B5/10000,0)</f>
        <v>0</v>
      </c>
      <c r="E14" s="3110"/>
      <c r="F14" s="3115" t="s">
        <v>2353</v>
      </c>
      <c r="G14" s="3116"/>
      <c r="H14" s="3072"/>
      <c r="I14" s="3073"/>
      <c r="J14" s="4005"/>
      <c r="K14" s="4008"/>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2355</v>
      </c>
      <c r="B15" s="4011" t="s">
        <v>2356</v>
      </c>
      <c r="C15" s="4012"/>
      <c r="D15" s="3121">
        <f>ROUND(D6*E15,0)</f>
        <v>0</v>
      </c>
      <c r="E15" s="3122">
        <v>5.5E-2</v>
      </c>
      <c r="F15" s="3115" t="s">
        <v>2357</v>
      </c>
      <c r="G15" s="3097"/>
      <c r="H15" s="3072"/>
      <c r="I15" s="3073"/>
      <c r="J15" s="4005">
        <v>2</v>
      </c>
      <c r="K15" s="4006"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15" customHeight="1">
      <c r="A16" s="3120" t="s">
        <v>2366</v>
      </c>
      <c r="B16" s="4011" t="s">
        <v>2367</v>
      </c>
      <c r="C16" s="4012"/>
      <c r="D16" s="3132">
        <f>D6*E16</f>
        <v>0</v>
      </c>
      <c r="E16" s="3133"/>
      <c r="F16" s="3118" t="s">
        <v>2368</v>
      </c>
      <c r="G16" s="3097"/>
      <c r="H16" s="3072"/>
      <c r="I16" s="3073"/>
      <c r="J16" s="4005"/>
      <c r="K16" s="4007"/>
      <c r="L16" s="3107" t="s">
        <v>2369</v>
      </c>
      <c r="M16" s="3108"/>
      <c r="N16" s="3108"/>
      <c r="O16" s="3109"/>
      <c r="P16" s="3110">
        <v>365</v>
      </c>
      <c r="Q16" s="3084"/>
      <c r="R16" s="3131">
        <f>ROUND(M16*N16*O16*P16/10000,0)</f>
        <v>0</v>
      </c>
      <c r="S16" s="3064"/>
      <c r="T16" s="3064"/>
      <c r="U16" s="3064"/>
      <c r="V16" s="3073"/>
    </row>
    <row r="17" spans="1:22" s="3077" customFormat="1" ht="13.15" customHeight="1" thickBot="1">
      <c r="A17" s="3134">
        <v>4</v>
      </c>
      <c r="B17" s="4013" t="s">
        <v>2370</v>
      </c>
      <c r="C17" s="4014"/>
      <c r="D17" s="3135">
        <f>ROUND(D6*E17,0)</f>
        <v>0</v>
      </c>
      <c r="E17" s="3136"/>
      <c r="F17" s="3137" t="s">
        <v>2371</v>
      </c>
      <c r="G17" s="3097"/>
      <c r="H17" s="3072"/>
      <c r="I17" s="3073"/>
      <c r="J17" s="4005"/>
      <c r="K17" s="4007"/>
      <c r="L17" s="3107" t="s">
        <v>2372</v>
      </c>
      <c r="M17" s="3108"/>
      <c r="N17" s="3108"/>
      <c r="O17" s="3109"/>
      <c r="P17" s="3110">
        <v>365</v>
      </c>
      <c r="Q17" s="3084"/>
      <c r="R17" s="3131">
        <f>ROUND(M17*N17*O17*P17/10000,0)</f>
        <v>0</v>
      </c>
      <c r="S17" s="3064"/>
      <c r="T17" s="3064"/>
      <c r="U17" s="3064"/>
      <c r="V17" s="3073"/>
    </row>
    <row r="18" spans="1:22" s="3077" customFormat="1" ht="13.15" customHeight="1" thickBot="1">
      <c r="A18" s="3100" t="s">
        <v>2373</v>
      </c>
      <c r="B18" s="3101"/>
      <c r="C18" s="3101"/>
      <c r="D18" s="3138">
        <f>ROUND(D6*E18,0)</f>
        <v>0</v>
      </c>
      <c r="E18" s="3139"/>
      <c r="F18" s="3140" t="s">
        <v>2374</v>
      </c>
      <c r="G18" s="3097"/>
      <c r="H18" s="3072"/>
      <c r="I18" s="3073"/>
      <c r="J18" s="4005"/>
      <c r="K18" s="4007"/>
      <c r="L18" s="3107" t="s">
        <v>2375</v>
      </c>
      <c r="M18" s="3108"/>
      <c r="N18" s="3108"/>
      <c r="O18" s="3109"/>
      <c r="P18" s="3110">
        <v>365</v>
      </c>
      <c r="Q18" s="3084"/>
      <c r="R18" s="3131">
        <f>ROUND(M18*N18*O18*P18/10000,0)</f>
        <v>0</v>
      </c>
      <c r="S18" s="3064"/>
      <c r="T18" s="3064"/>
      <c r="U18" s="3064"/>
      <c r="V18" s="3073"/>
    </row>
    <row r="19" spans="1:22" s="3077" customFormat="1" ht="13.15" customHeight="1" thickBot="1">
      <c r="A19" s="3141" t="s">
        <v>2376</v>
      </c>
      <c r="B19" s="3095"/>
      <c r="C19" s="3095"/>
      <c r="D19" s="3095"/>
      <c r="E19" s="3095"/>
      <c r="F19" s="3096"/>
      <c r="G19" s="3116"/>
      <c r="H19" s="3072"/>
      <c r="I19" s="3073"/>
      <c r="J19" s="4005"/>
      <c r="K19" s="4008"/>
      <c r="L19" s="3127" t="s">
        <v>2354</v>
      </c>
      <c r="M19" s="3128"/>
      <c r="N19" s="3128">
        <f>SUM(N16:N18)</f>
        <v>0</v>
      </c>
      <c r="O19" s="3129"/>
      <c r="P19" s="3142" t="s">
        <v>2442</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05">
        <v>3</v>
      </c>
      <c r="K20" s="4006"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15" customHeight="1">
      <c r="A21" s="3100"/>
      <c r="B21" s="3101"/>
      <c r="C21" s="3147" t="s">
        <v>2384</v>
      </c>
      <c r="D21" s="3148" t="s">
        <v>2385</v>
      </c>
      <c r="E21" s="3149" t="s">
        <v>2386</v>
      </c>
      <c r="F21" s="3144"/>
      <c r="G21" s="3116"/>
      <c r="H21" s="3072"/>
      <c r="I21" s="3073"/>
      <c r="J21" s="4005"/>
      <c r="K21" s="4007"/>
      <c r="L21" s="3107" t="s">
        <v>2387</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2388</v>
      </c>
      <c r="D22" s="3152" t="s">
        <v>2389</v>
      </c>
      <c r="E22" s="3153" t="s">
        <v>2390</v>
      </c>
      <c r="F22" s="3144"/>
      <c r="G22" s="3154"/>
      <c r="H22" s="3072"/>
      <c r="I22" s="3073"/>
      <c r="J22" s="4005"/>
      <c r="K22" s="4007"/>
      <c r="L22" s="3107" t="s">
        <v>2391</v>
      </c>
      <c r="M22" s="3108"/>
      <c r="N22" s="3108"/>
      <c r="O22" s="3109"/>
      <c r="P22" s="3110">
        <v>365</v>
      </c>
      <c r="Q22" s="3084"/>
      <c r="R22" s="3150">
        <f>ROUND(M22*N22*O22*P22/10000,0)</f>
        <v>0</v>
      </c>
      <c r="S22" s="3146"/>
      <c r="T22" s="3146"/>
      <c r="U22" s="3146"/>
      <c r="V22" s="3073"/>
    </row>
    <row r="23" spans="1:22" s="3077" customFormat="1" ht="13.15" customHeight="1">
      <c r="A23" s="3155">
        <v>1</v>
      </c>
      <c r="B23" s="3156" t="s">
        <v>2392</v>
      </c>
      <c r="C23" s="3157">
        <f>D6</f>
        <v>0</v>
      </c>
      <c r="D23" s="3158">
        <f>C23*(1+D24)</f>
        <v>0</v>
      </c>
      <c r="E23" s="3159">
        <f>D23*(1+E24)</f>
        <v>0</v>
      </c>
      <c r="F23" s="3160"/>
      <c r="G23" s="3161"/>
      <c r="H23" s="3072"/>
      <c r="I23" s="3073"/>
      <c r="J23" s="4005"/>
      <c r="K23" s="4007"/>
      <c r="L23" s="3107" t="s">
        <v>2393</v>
      </c>
      <c r="M23" s="3108"/>
      <c r="N23" s="3108"/>
      <c r="O23" s="3109"/>
      <c r="P23" s="3110">
        <v>365</v>
      </c>
      <c r="Q23" s="3084"/>
      <c r="R23" s="3150">
        <f>ROUND(M23*N23*O23*P23/10000,0)</f>
        <v>0</v>
      </c>
      <c r="S23" s="3064"/>
      <c r="T23" s="3064"/>
      <c r="U23" s="3064"/>
      <c r="V23" s="3073"/>
    </row>
    <row r="24" spans="1:22" s="3077" customFormat="1" ht="13.15" customHeight="1">
      <c r="A24" s="3162"/>
      <c r="B24" s="3163" t="s">
        <v>2394</v>
      </c>
      <c r="C24" s="3164"/>
      <c r="D24" s="3165"/>
      <c r="E24" s="3166"/>
      <c r="F24" s="3167"/>
      <c r="G24" s="3161"/>
      <c r="H24" s="3072"/>
      <c r="I24" s="3073"/>
      <c r="J24" s="4005"/>
      <c r="K24" s="4008"/>
      <c r="L24" s="3127" t="s">
        <v>2354</v>
      </c>
      <c r="M24" s="3128">
        <f>SUM(M21:M23)</f>
        <v>0</v>
      </c>
      <c r="N24" s="3128"/>
      <c r="O24" s="3129"/>
      <c r="P24" s="3142" t="s">
        <v>2442</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15" customHeight="1">
      <c r="A26" s="3155">
        <v>2</v>
      </c>
      <c r="B26" s="3156" t="s">
        <v>2396</v>
      </c>
      <c r="C26" s="3157">
        <f>D7</f>
        <v>0</v>
      </c>
      <c r="D26" s="3158">
        <f>D23*D27</f>
        <v>0</v>
      </c>
      <c r="E26" s="3159">
        <f>E23*E27</f>
        <v>0</v>
      </c>
      <c r="F26" s="3160"/>
      <c r="G26" s="3161"/>
      <c r="H26" s="3072"/>
      <c r="I26" s="3073"/>
      <c r="J26" s="4015">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15" customHeight="1">
      <c r="A27" s="3162"/>
      <c r="B27" s="3163" t="s">
        <v>2403</v>
      </c>
      <c r="C27" s="3181" t="e">
        <f>E7</f>
        <v>#DIV/0!</v>
      </c>
      <c r="D27" s="3165"/>
      <c r="E27" s="3166"/>
      <c r="F27" s="3167"/>
      <c r="G27" s="3161"/>
      <c r="H27" s="3182"/>
      <c r="I27" s="3173"/>
      <c r="J27" s="4016"/>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15"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15" customHeight="1">
      <c r="A32" s="3155">
        <v>4</v>
      </c>
      <c r="B32" s="3156" t="s">
        <v>2412</v>
      </c>
      <c r="C32" s="3157">
        <f>C23-C26-C29</f>
        <v>0</v>
      </c>
      <c r="D32" s="3158">
        <f>D23-D26-D29</f>
        <v>0</v>
      </c>
      <c r="E32" s="3159">
        <f>E23-E26-E29</f>
        <v>0</v>
      </c>
      <c r="F32" s="3160"/>
      <c r="G32" s="3154"/>
      <c r="H32" s="3072"/>
      <c r="I32" s="3073"/>
      <c r="J32" s="3998" t="s">
        <v>2413</v>
      </c>
      <c r="K32" s="3999"/>
      <c r="L32" s="3074" t="s">
        <v>2414</v>
      </c>
      <c r="M32" s="3074" t="s">
        <v>2303</v>
      </c>
      <c r="N32" s="3074" t="s">
        <v>2304</v>
      </c>
      <c r="O32" s="3074" t="s">
        <v>2305</v>
      </c>
      <c r="P32" s="3074" t="s">
        <v>2306</v>
      </c>
      <c r="Q32" s="3075" t="s">
        <v>2415</v>
      </c>
      <c r="R32" s="3197" t="s">
        <v>2416</v>
      </c>
      <c r="S32" s="3146"/>
      <c r="T32" s="3064"/>
      <c r="U32" s="3064"/>
      <c r="V32" s="3173"/>
    </row>
    <row r="33" spans="1:23" s="3077" customFormat="1" ht="13.15" customHeight="1">
      <c r="A33" s="3155"/>
      <c r="B33" s="3156"/>
      <c r="C33" s="3157"/>
      <c r="D33" s="3198"/>
      <c r="E33" s="3199"/>
      <c r="F33" s="3160"/>
      <c r="G33" s="3154"/>
      <c r="H33" s="3182"/>
      <c r="I33" s="3173"/>
      <c r="J33" s="4000" t="s">
        <v>2417</v>
      </c>
      <c r="K33" s="4001"/>
      <c r="L33" s="3080"/>
      <c r="M33" s="3080"/>
      <c r="N33" s="3080"/>
      <c r="O33" s="3080"/>
      <c r="P33" s="3080"/>
      <c r="Q33" s="3081"/>
      <c r="R33" s="3200">
        <f>SUM(L33:Q33)</f>
        <v>0</v>
      </c>
      <c r="S33" s="3146"/>
      <c r="T33" s="3064"/>
      <c r="U33" s="3064"/>
      <c r="V33" s="3073"/>
    </row>
    <row r="34" spans="1:23" s="3077" customFormat="1" ht="13.15" customHeight="1">
      <c r="A34" s="3155">
        <v>5</v>
      </c>
      <c r="B34" s="3156" t="s">
        <v>2418</v>
      </c>
      <c r="C34" s="3201"/>
      <c r="D34" s="3202"/>
      <c r="E34" s="3203"/>
      <c r="F34" s="3160"/>
      <c r="G34" s="3154"/>
      <c r="H34" s="3182"/>
      <c r="I34" s="3173"/>
      <c r="J34" s="4000" t="s">
        <v>2419</v>
      </c>
      <c r="K34" s="4001"/>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15" customHeight="1" thickBot="1">
      <c r="A36" s="3155">
        <v>7</v>
      </c>
      <c r="B36" s="3210" t="s">
        <v>2423</v>
      </c>
      <c r="C36" s="3211"/>
      <c r="D36" s="3212"/>
      <c r="E36" s="3213"/>
      <c r="F36" s="3214">
        <f>C36+D36+E36</f>
        <v>0</v>
      </c>
      <c r="G36" s="3154"/>
      <c r="H36" s="3072"/>
      <c r="I36" s="3073"/>
      <c r="J36" s="4005">
        <v>1</v>
      </c>
      <c r="K36" s="4006" t="s">
        <v>2424</v>
      </c>
      <c r="L36" s="3098"/>
      <c r="M36" s="3099"/>
      <c r="N36" s="3099"/>
      <c r="O36" s="3099"/>
      <c r="P36" s="3099"/>
      <c r="Q36" s="3099"/>
      <c r="R36" s="3082" t="s">
        <v>2325</v>
      </c>
      <c r="S36" s="3146"/>
      <c r="T36" s="3064" t="s">
        <v>2326</v>
      </c>
      <c r="U36" s="3064"/>
      <c r="V36" s="3073"/>
    </row>
    <row r="37" spans="1:23" s="3077" customFormat="1" ht="13.15" customHeight="1">
      <c r="A37" s="3155"/>
      <c r="B37" s="3156"/>
      <c r="C37" s="3156"/>
      <c r="D37" s="3156"/>
      <c r="E37" s="3156"/>
      <c r="F37" s="3160"/>
      <c r="G37" s="3154"/>
      <c r="H37" s="3072"/>
      <c r="I37" s="3073"/>
      <c r="J37" s="4005"/>
      <c r="K37" s="4007"/>
      <c r="L37" s="3107"/>
      <c r="M37" s="3108"/>
      <c r="N37" s="3084"/>
      <c r="O37" s="3109"/>
      <c r="P37" s="3109"/>
      <c r="Q37" s="3110"/>
      <c r="R37" s="3111"/>
      <c r="S37" s="3146"/>
      <c r="T37" s="3064" t="s">
        <v>2329</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05"/>
      <c r="K38" s="4007"/>
      <c r="L38" s="3107"/>
      <c r="M38" s="3108"/>
      <c r="N38" s="3084"/>
      <c r="O38" s="3109"/>
      <c r="P38" s="3109"/>
      <c r="Q38" s="3110"/>
      <c r="R38" s="3111"/>
      <c r="S38" s="3146"/>
      <c r="T38" s="3064" t="s">
        <v>2336</v>
      </c>
      <c r="U38" s="3064"/>
      <c r="V38" s="3073"/>
    </row>
    <row r="39" spans="1:23" s="3077" customFormat="1" ht="13.15" customHeight="1">
      <c r="A39" s="3155">
        <v>9</v>
      </c>
      <c r="B39" s="3156" t="s">
        <v>2425</v>
      </c>
      <c r="C39" s="3121" t="e">
        <f>C38</f>
        <v>#DIV/0!</v>
      </c>
      <c r="D39" s="3156">
        <f>D38/(1+D34)^C36</f>
        <v>0</v>
      </c>
      <c r="E39" s="3156">
        <f>E38/(1+E34)^(C36+D36)</f>
        <v>0</v>
      </c>
      <c r="F39" s="3160"/>
      <c r="G39" s="3215"/>
      <c r="H39" s="3072"/>
      <c r="I39" s="3073"/>
      <c r="J39" s="4005"/>
      <c r="K39" s="4007"/>
      <c r="L39" s="3107"/>
      <c r="M39" s="3108"/>
      <c r="N39" s="3084"/>
      <c r="O39" s="3109"/>
      <c r="P39" s="3109"/>
      <c r="Q39" s="3110"/>
      <c r="R39" s="3111"/>
      <c r="S39" s="3146"/>
      <c r="T39" s="3064"/>
      <c r="U39" s="3064"/>
      <c r="V39" s="3073"/>
    </row>
    <row r="40" spans="1:23" s="3077" customFormat="1" ht="13.15" customHeight="1">
      <c r="A40" s="3216">
        <v>10</v>
      </c>
      <c r="B40" s="3156" t="s">
        <v>2426</v>
      </c>
      <c r="C40" s="3217" t="e">
        <f>C39+D39+E39</f>
        <v>#DIV/0!</v>
      </c>
      <c r="D40" s="3218"/>
      <c r="E40" s="3218"/>
      <c r="F40" s="3219"/>
      <c r="G40" s="3154"/>
      <c r="H40" s="3072"/>
      <c r="I40" s="3073"/>
      <c r="J40" s="4005"/>
      <c r="K40" s="4008"/>
      <c r="L40" s="3127" t="s">
        <v>2427</v>
      </c>
      <c r="M40" s="3128"/>
      <c r="N40" s="3128"/>
      <c r="O40" s="3129"/>
      <c r="P40" s="3129"/>
      <c r="Q40" s="3130"/>
      <c r="R40" s="3076">
        <f>SUM(R37:R39)</f>
        <v>0</v>
      </c>
      <c r="S40" s="3146"/>
      <c r="T40" s="3064"/>
      <c r="U40" s="3064"/>
      <c r="V40" s="3073"/>
    </row>
    <row r="41" spans="1:23" s="3077" customFormat="1" ht="13.15"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15" customHeight="1">
      <c r="G42" s="3224"/>
      <c r="H42" s="3072"/>
      <c r="I42" s="3073"/>
      <c r="J42" s="4015">
        <v>3</v>
      </c>
      <c r="K42" s="3175" t="s">
        <v>2430</v>
      </c>
      <c r="L42" s="3176"/>
      <c r="M42" s="3177"/>
      <c r="N42" s="3178" t="s">
        <v>2431</v>
      </c>
      <c r="O42" s="3178" t="s">
        <v>2432</v>
      </c>
      <c r="P42" s="3179" t="s">
        <v>2433</v>
      </c>
      <c r="Q42" s="3179" t="s">
        <v>2434</v>
      </c>
      <c r="R42" s="3082" t="s">
        <v>2435</v>
      </c>
      <c r="S42" s="3180"/>
      <c r="T42" s="3180"/>
      <c r="U42" s="3064"/>
      <c r="V42" s="3073"/>
    </row>
    <row r="43" spans="1:23" ht="13.15" customHeight="1">
      <c r="A43" s="3077"/>
      <c r="B43" s="3077"/>
      <c r="C43" s="3077"/>
      <c r="D43" s="3077"/>
      <c r="E43" s="3077"/>
      <c r="F43" s="3077"/>
      <c r="I43" s="3059"/>
      <c r="J43" s="4016"/>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4" sqref="E14"/>
    </sheetView>
  </sheetViews>
  <sheetFormatPr defaultColWidth="8.375" defaultRowHeight="12.75"/>
  <cols>
    <col min="1" max="1" width="9.375" style="1907" customWidth="1"/>
    <col min="2" max="2" width="26.625" style="1908" customWidth="1"/>
    <col min="3" max="3" width="12.87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11763.6078</v>
      </c>
      <c r="C2" s="3006"/>
      <c r="D2" s="3006"/>
      <c r="E2" s="3006"/>
      <c r="F2" s="3006"/>
      <c r="G2" s="3006"/>
    </row>
    <row r="3" spans="1:25" s="1783" customFormat="1" ht="18" customHeight="1">
      <c r="A3" s="1237" t="s">
        <v>1218</v>
      </c>
      <c r="B3" s="412">
        <f>ROUND(B2*10000/'数据-汇总表'!E3,0)</f>
        <v>10954</v>
      </c>
      <c r="C3" s="3006"/>
      <c r="D3" s="3006"/>
      <c r="E3" s="3006"/>
      <c r="F3" s="3006"/>
      <c r="G3" s="3006"/>
    </row>
    <row r="4" spans="1:25" s="1783" customFormat="1" ht="18" customHeight="1">
      <c r="A4" s="413" t="s">
        <v>428</v>
      </c>
      <c r="B4" s="414">
        <f>ROUND(B2*10000/'数据-汇总表'!D3,0)</f>
        <v>10954</v>
      </c>
      <c r="C4" s="2960"/>
      <c r="D4" s="3006"/>
      <c r="E4" s="3006"/>
      <c r="F4" s="3006"/>
      <c r="G4" s="3006"/>
    </row>
    <row r="5" spans="1:25" s="1783" customFormat="1" ht="18" customHeight="1" thickBot="1">
      <c r="A5" s="416"/>
      <c r="B5" s="417">
        <f>ROUND(B2/('数据-汇总表'!D3/666.67),0)</f>
        <v>730</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9524.2860999999994</v>
      </c>
      <c r="D7" s="716"/>
      <c r="E7" s="717"/>
      <c r="F7" s="717"/>
      <c r="G7" s="2128"/>
    </row>
    <row r="8" spans="1:25" s="1905" customFormat="1" ht="13.5" customHeight="1">
      <c r="A8" s="2119" t="s">
        <v>1786</v>
      </c>
      <c r="B8" s="2122" t="s">
        <v>1788</v>
      </c>
      <c r="C8" s="3692">
        <f>ROUND(D8*E8/10000,4)</f>
        <v>9524.2860999999994</v>
      </c>
      <c r="D8" s="3691">
        <f>'数据-基础表'!A3</f>
        <v>10738.85</v>
      </c>
      <c r="E8" s="3010">
        <f>'比较法-成本'!C44</f>
        <v>8869</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6">
        <f>C11+C14+C15</f>
        <v>338.27379999999999</v>
      </c>
      <c r="D10" s="726"/>
      <c r="E10" s="716"/>
      <c r="F10" s="727"/>
      <c r="G10" s="725" t="s">
        <v>562</v>
      </c>
    </row>
    <row r="11" spans="1:25" s="1905" customFormat="1" ht="13.5" customHeight="1">
      <c r="A11" s="2119" t="s">
        <v>1786</v>
      </c>
      <c r="B11" s="719" t="s">
        <v>558</v>
      </c>
      <c r="C11" s="3694">
        <f>'数据-取费表'!B29</f>
        <v>338.27379999999999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3">
        <f>ROUND(D13*E13/10000,4)</f>
        <v>338.27379999999999</v>
      </c>
      <c r="D13" s="3009">
        <f>'数据-汇总表'!E6</f>
        <v>10738.85</v>
      </c>
      <c r="E13" s="3009">
        <v>315</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3695">
        <f>ROUND(IF('数据-取费表'!B19&lt;=1,((C7+C16)*'数据-取费表'!B19+C10*'数据-取费表'!B19/2)*F17,((C7+C16)*(POWER((1+F17),'数据-取费表'!B19)-1)+C10*(POWER((1+F17),'数据-取费表'!B19/2)-1))),4)</f>
        <v>421.66390000000001</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6">
        <f>ROUND((C7+C10+C16)*F18,4)</f>
        <v>1479.384</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6">
        <f>C7+C10+C16+C17+C18</f>
        <v>11763.6078</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6">
        <f>C19+C20</f>
        <v>11763.6078</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6">
        <f>ROUND(C21*F22,4)</f>
        <v>11763.6078</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3697">
        <f>C22</f>
        <v>11763.6078</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8" t="s">
        <v>471</v>
      </c>
      <c r="D4" s="3899"/>
      <c r="E4" s="3933" t="s">
        <v>472</v>
      </c>
      <c r="F4" s="3934"/>
      <c r="G4" s="3898" t="s">
        <v>473</v>
      </c>
      <c r="H4" s="3899"/>
      <c r="I4" s="3898" t="s">
        <v>474</v>
      </c>
      <c r="J4" s="3899"/>
      <c r="K4" s="818" t="s">
        <v>475</v>
      </c>
      <c r="L4" s="1856"/>
      <c r="M4" s="1857"/>
      <c r="N4" s="1857"/>
      <c r="O4" s="1857"/>
      <c r="P4" s="3900" t="s">
        <v>476</v>
      </c>
      <c r="Q4" s="3901"/>
      <c r="R4" s="3906" t="s">
        <v>472</v>
      </c>
      <c r="S4" s="3907"/>
      <c r="T4" s="3906" t="s">
        <v>473</v>
      </c>
      <c r="U4" s="3907"/>
      <c r="V4" s="3893" t="s">
        <v>474</v>
      </c>
      <c r="W4" s="3893"/>
      <c r="X4" s="1380"/>
      <c r="Y4" s="3906" t="s">
        <v>476</v>
      </c>
      <c r="Z4" s="3907"/>
      <c r="AA4" s="3895" t="s">
        <v>472</v>
      </c>
      <c r="AB4" s="3895" t="s">
        <v>473</v>
      </c>
      <c r="AC4" s="3895" t="s">
        <v>474</v>
      </c>
    </row>
    <row r="5" spans="1:29" ht="15">
      <c r="A5" s="485"/>
      <c r="B5" s="486"/>
      <c r="C5" s="3914" t="s">
        <v>2190</v>
      </c>
      <c r="D5" s="3915"/>
      <c r="E5" s="3935" t="s">
        <v>2191</v>
      </c>
      <c r="F5" s="3936"/>
      <c r="G5" s="3914" t="s">
        <v>2192</v>
      </c>
      <c r="H5" s="3915"/>
      <c r="I5" s="3914" t="s">
        <v>2193</v>
      </c>
      <c r="J5" s="3915"/>
      <c r="K5" s="819"/>
      <c r="L5" s="1856"/>
      <c r="M5" s="1857"/>
      <c r="N5" s="1857"/>
      <c r="O5" s="1857"/>
      <c r="P5" s="3902"/>
      <c r="Q5" s="3903"/>
      <c r="R5" s="3908"/>
      <c r="S5" s="3909"/>
      <c r="T5" s="3908"/>
      <c r="U5" s="3909"/>
      <c r="V5" s="3893"/>
      <c r="W5" s="3893"/>
      <c r="X5" s="1380"/>
      <c r="Y5" s="3908"/>
      <c r="Z5" s="3909"/>
      <c r="AA5" s="3896"/>
      <c r="AB5" s="3896"/>
      <c r="AC5" s="3896"/>
    </row>
    <row r="6" spans="1:29" ht="15.75" thickBot="1">
      <c r="A6" s="487"/>
      <c r="B6" s="488"/>
      <c r="C6" s="3912" t="s">
        <v>2194</v>
      </c>
      <c r="D6" s="3913"/>
      <c r="E6" s="3931" t="s">
        <v>2194</v>
      </c>
      <c r="F6" s="3932"/>
      <c r="G6" s="3912" t="s">
        <v>2194</v>
      </c>
      <c r="H6" s="3913"/>
      <c r="I6" s="3912" t="s">
        <v>2194</v>
      </c>
      <c r="J6" s="3913"/>
      <c r="K6" s="819" t="s">
        <v>477</v>
      </c>
      <c r="L6" s="1856"/>
      <c r="M6" s="1857"/>
      <c r="N6" s="1857"/>
      <c r="O6" s="1857"/>
      <c r="P6" s="3904"/>
      <c r="Q6" s="3905"/>
      <c r="R6" s="3908"/>
      <c r="S6" s="3909"/>
      <c r="T6" s="3910"/>
      <c r="U6" s="3911"/>
      <c r="V6" s="3893"/>
      <c r="W6" s="3893"/>
      <c r="X6" s="1380"/>
      <c r="Y6" s="3910"/>
      <c r="Z6" s="3911"/>
      <c r="AA6" s="3897"/>
      <c r="AB6" s="3897"/>
      <c r="AC6" s="3897"/>
    </row>
    <row r="7" spans="1:29" s="1118" customFormat="1" ht="15.75" thickBot="1">
      <c r="A7" s="2391"/>
      <c r="B7" s="2398" t="s">
        <v>478</v>
      </c>
      <c r="C7" s="489">
        <f>'数据-取费表'!B2</f>
        <v>45248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22" t="s">
        <v>479</v>
      </c>
      <c r="Q7" s="3924"/>
      <c r="R7" s="1381" t="s">
        <v>10</v>
      </c>
      <c r="S7" s="1382">
        <f t="shared" ref="S7:S15" si="0">F7</f>
        <v>0</v>
      </c>
      <c r="T7" s="1381" t="s">
        <v>10</v>
      </c>
      <c r="U7" s="1382">
        <f t="shared" ref="U7:U15" si="1">H7</f>
        <v>0</v>
      </c>
      <c r="V7" s="1381" t="s">
        <v>10</v>
      </c>
      <c r="W7" s="1382">
        <f t="shared" ref="W7:W15"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22" t="s">
        <v>482</v>
      </c>
      <c r="Q8" s="3923"/>
      <c r="R8" s="1381" t="s">
        <v>10</v>
      </c>
      <c r="S8" s="1382">
        <f t="shared" si="0"/>
        <v>0</v>
      </c>
      <c r="T8" s="1381" t="s">
        <v>10</v>
      </c>
      <c r="U8" s="1382">
        <f t="shared" si="1"/>
        <v>0</v>
      </c>
      <c r="V8" s="1381" t="s">
        <v>10</v>
      </c>
      <c r="W8" s="1382">
        <f t="shared" si="2"/>
        <v>0</v>
      </c>
      <c r="X8" s="1383"/>
      <c r="Y8" s="3922" t="s">
        <v>482</v>
      </c>
      <c r="Z8" s="3923"/>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2" t="s">
        <v>484</v>
      </c>
      <c r="Q9" s="1050" t="str">
        <f t="shared" ref="Q9:Q15" si="6">B9</f>
        <v>用途</v>
      </c>
      <c r="R9" s="1381" t="s">
        <v>5</v>
      </c>
      <c r="S9" s="1382">
        <f t="shared" si="0"/>
        <v>100</v>
      </c>
      <c r="T9" s="1381" t="s">
        <v>5</v>
      </c>
      <c r="U9" s="1382">
        <f t="shared" si="1"/>
        <v>100</v>
      </c>
      <c r="V9" s="1381" t="s">
        <v>5</v>
      </c>
      <c r="W9" s="1382">
        <f t="shared" si="2"/>
        <v>100</v>
      </c>
      <c r="X9" s="1383"/>
      <c r="Y9" s="3834"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2"/>
      <c r="Q11" s="1050" t="str">
        <f t="shared" si="6"/>
        <v>容积率</v>
      </c>
      <c r="R11" s="1381" t="s">
        <v>8</v>
      </c>
      <c r="S11" s="1382" t="e">
        <f t="shared" si="0"/>
        <v>#N/A</v>
      </c>
      <c r="T11" s="1381" t="s">
        <v>8</v>
      </c>
      <c r="U11" s="1382" t="e">
        <f t="shared" si="1"/>
        <v>#N/A</v>
      </c>
      <c r="V11" s="1381" t="s">
        <v>8</v>
      </c>
      <c r="W11" s="1382" t="e">
        <f t="shared" si="2"/>
        <v>#N/A</v>
      </c>
      <c r="X11" s="1383"/>
      <c r="Y11" s="383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2"/>
      <c r="Q12" s="1050">
        <f t="shared" si="6"/>
        <v>111</v>
      </c>
      <c r="R12" s="1381" t="s">
        <v>8</v>
      </c>
      <c r="S12" s="1382">
        <f t="shared" si="0"/>
        <v>100</v>
      </c>
      <c r="T12" s="1381" t="s">
        <v>8</v>
      </c>
      <c r="U12" s="1382">
        <f t="shared" si="1"/>
        <v>100</v>
      </c>
      <c r="V12" s="1381" t="s">
        <v>8</v>
      </c>
      <c r="W12" s="1382">
        <f t="shared" si="2"/>
        <v>100</v>
      </c>
      <c r="X12" s="1383"/>
      <c r="Y12" s="3834"/>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2"/>
      <c r="Q13" s="1050">
        <f t="shared" si="6"/>
        <v>111</v>
      </c>
      <c r="R13" s="1381" t="s">
        <v>8</v>
      </c>
      <c r="S13" s="1382">
        <f t="shared" si="0"/>
        <v>100</v>
      </c>
      <c r="T13" s="1381" t="s">
        <v>8</v>
      </c>
      <c r="U13" s="1382">
        <f t="shared" si="1"/>
        <v>100</v>
      </c>
      <c r="V13" s="1381" t="s">
        <v>8</v>
      </c>
      <c r="W13" s="1382">
        <f t="shared" si="2"/>
        <v>100</v>
      </c>
      <c r="X13" s="1383"/>
      <c r="Y13" s="3834"/>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2"/>
      <c r="Q14" s="1050">
        <f t="shared" si="6"/>
        <v>111</v>
      </c>
      <c r="R14" s="1381" t="s">
        <v>8</v>
      </c>
      <c r="S14" s="1382">
        <f t="shared" si="0"/>
        <v>100</v>
      </c>
      <c r="T14" s="1381" t="s">
        <v>8</v>
      </c>
      <c r="U14" s="1382">
        <f t="shared" si="1"/>
        <v>100</v>
      </c>
      <c r="V14" s="1381" t="s">
        <v>8</v>
      </c>
      <c r="W14" s="1382">
        <f t="shared" si="2"/>
        <v>100</v>
      </c>
      <c r="X14" s="1383"/>
      <c r="Y14" s="3834"/>
      <c r="Z14" s="1049">
        <f t="shared" si="7"/>
        <v>111</v>
      </c>
      <c r="AA14" s="1384">
        <f t="shared" si="3"/>
        <v>1</v>
      </c>
      <c r="AB14" s="1384">
        <f t="shared" si="4"/>
        <v>1</v>
      </c>
      <c r="AC14" s="1384">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5" t="s">
        <v>489</v>
      </c>
      <c r="Q15" s="1385" t="str">
        <f t="shared" si="6"/>
        <v>居住社区成熟度</v>
      </c>
      <c r="R15" s="1386" t="s">
        <v>8</v>
      </c>
      <c r="S15" s="1387">
        <f t="shared" si="0"/>
        <v>100</v>
      </c>
      <c r="T15" s="1386" t="s">
        <v>8</v>
      </c>
      <c r="U15" s="1387">
        <f t="shared" si="1"/>
        <v>100</v>
      </c>
      <c r="V15" s="1386" t="s">
        <v>8</v>
      </c>
      <c r="W15" s="1387">
        <f t="shared" si="2"/>
        <v>100</v>
      </c>
      <c r="X15" s="1380"/>
      <c r="Y15" s="392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6"/>
      <c r="Q16" s="1385"/>
      <c r="R16" s="1386"/>
      <c r="S16" s="1387"/>
      <c r="T16" s="1386"/>
      <c r="U16" s="1387"/>
      <c r="V16" s="1386"/>
      <c r="W16" s="1387"/>
      <c r="X16" s="1380"/>
      <c r="Y16" s="392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6"/>
      <c r="Q17" s="1385" t="str">
        <f>B17</f>
        <v>交通便捷度</v>
      </c>
      <c r="R17" s="1386" t="s">
        <v>8</v>
      </c>
      <c r="S17" s="1387">
        <f>F17</f>
        <v>100</v>
      </c>
      <c r="T17" s="1386" t="s">
        <v>8</v>
      </c>
      <c r="U17" s="1387">
        <f>H17</f>
        <v>100</v>
      </c>
      <c r="V17" s="1386" t="s">
        <v>8</v>
      </c>
      <c r="W17" s="1387">
        <f>J17</f>
        <v>100</v>
      </c>
      <c r="X17" s="1380"/>
      <c r="Y17" s="392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6"/>
      <c r="Q18" s="1385"/>
      <c r="R18" s="1386"/>
      <c r="S18" s="1387"/>
      <c r="T18" s="1386"/>
      <c r="U18" s="1387"/>
      <c r="V18" s="1386"/>
      <c r="W18" s="1387"/>
      <c r="X18" s="1380"/>
      <c r="Y18" s="3926"/>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6"/>
      <c r="Q19" s="1385" t="str">
        <f>B19</f>
        <v>公共配套设施</v>
      </c>
      <c r="R19" s="1386" t="s">
        <v>8</v>
      </c>
      <c r="S19" s="1387">
        <f>F19</f>
        <v>100</v>
      </c>
      <c r="T19" s="1386" t="s">
        <v>8</v>
      </c>
      <c r="U19" s="1387">
        <f>H19</f>
        <v>100</v>
      </c>
      <c r="V19" s="1386" t="s">
        <v>8</v>
      </c>
      <c r="W19" s="1387">
        <f>J19</f>
        <v>100</v>
      </c>
      <c r="X19" s="1380"/>
      <c r="Y19" s="392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6"/>
      <c r="Q20" s="1385"/>
      <c r="R20" s="1386"/>
      <c r="S20" s="1387"/>
      <c r="T20" s="1386"/>
      <c r="U20" s="1387"/>
      <c r="V20" s="1386"/>
      <c r="W20" s="1387"/>
      <c r="X20" s="1380"/>
      <c r="Y20" s="3926"/>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6"/>
      <c r="Q21" s="2192" t="str">
        <f>B21</f>
        <v>基础设施水平</v>
      </c>
      <c r="R21" s="1386" t="s">
        <v>8</v>
      </c>
      <c r="S21" s="1387">
        <f>F21</f>
        <v>100</v>
      </c>
      <c r="T21" s="1386" t="s">
        <v>8</v>
      </c>
      <c r="U21" s="1387">
        <f>H21</f>
        <v>100</v>
      </c>
      <c r="V21" s="1386" t="s">
        <v>8</v>
      </c>
      <c r="W21" s="1387">
        <f>J21</f>
        <v>100</v>
      </c>
      <c r="X21" s="2194"/>
      <c r="Y21" s="3926"/>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926"/>
      <c r="Q22" s="2192"/>
      <c r="R22" s="1386"/>
      <c r="S22" s="1387"/>
      <c r="T22" s="1386"/>
      <c r="U22" s="1387"/>
      <c r="V22" s="1386"/>
      <c r="W22" s="1387"/>
      <c r="X22" s="2194"/>
      <c r="Y22" s="3926"/>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6"/>
      <c r="Q23" s="1385" t="str">
        <f>B23</f>
        <v>自然及人文环境</v>
      </c>
      <c r="R23" s="1386" t="s">
        <v>8</v>
      </c>
      <c r="S23" s="1387">
        <f>F23</f>
        <v>100</v>
      </c>
      <c r="T23" s="1386" t="s">
        <v>8</v>
      </c>
      <c r="U23" s="1387">
        <f>H23</f>
        <v>100</v>
      </c>
      <c r="V23" s="1386" t="s">
        <v>8</v>
      </c>
      <c r="W23" s="1387">
        <f>J23</f>
        <v>100</v>
      </c>
      <c r="X23" s="1380"/>
      <c r="Y23" s="392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6"/>
      <c r="Q24" s="1385"/>
      <c r="R24" s="1386"/>
      <c r="S24" s="1387"/>
      <c r="T24" s="1386"/>
      <c r="U24" s="1387"/>
      <c r="V24" s="1386"/>
      <c r="W24" s="1387"/>
      <c r="X24" s="1380"/>
      <c r="Y24" s="392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6"/>
      <c r="Q25" s="1385" t="str">
        <f t="shared" ref="Q25:Q46" si="8">B25</f>
        <v>楼层-1</v>
      </c>
      <c r="R25" s="1386" t="s">
        <v>8</v>
      </c>
      <c r="S25" s="1387">
        <f>F25</f>
        <v>100</v>
      </c>
      <c r="T25" s="1386" t="s">
        <v>8</v>
      </c>
      <c r="U25" s="1387">
        <f>H25</f>
        <v>100</v>
      </c>
      <c r="V25" s="1386" t="s">
        <v>8</v>
      </c>
      <c r="W25" s="1387">
        <f>J25</f>
        <v>100</v>
      </c>
      <c r="X25" s="1380"/>
      <c r="Y25" s="392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6"/>
      <c r="Q26" s="1385" t="str">
        <f t="shared" si="8"/>
        <v>朝向</v>
      </c>
      <c r="R26" s="1386" t="s">
        <v>8</v>
      </c>
      <c r="S26" s="1387">
        <f>F26</f>
        <v>100</v>
      </c>
      <c r="T26" s="1386" t="s">
        <v>8</v>
      </c>
      <c r="U26" s="1387">
        <f>H26</f>
        <v>100</v>
      </c>
      <c r="V26" s="1386" t="s">
        <v>8</v>
      </c>
      <c r="W26" s="1387">
        <f>J26</f>
        <v>100</v>
      </c>
      <c r="X26" s="1380"/>
      <c r="Y26" s="392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6"/>
      <c r="Q27" s="1050" t="str">
        <f t="shared" si="8"/>
        <v>道路级别</v>
      </c>
      <c r="R27" s="1381" t="s">
        <v>8</v>
      </c>
      <c r="S27" s="1382">
        <f>F27</f>
        <v>100</v>
      </c>
      <c r="T27" s="1381" t="s">
        <v>8</v>
      </c>
      <c r="U27" s="1382">
        <f>H27</f>
        <v>100</v>
      </c>
      <c r="V27" s="1381" t="s">
        <v>8</v>
      </c>
      <c r="W27" s="1382">
        <f>J27</f>
        <v>100</v>
      </c>
      <c r="X27" s="1383"/>
      <c r="Y27" s="392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6"/>
      <c r="Q28" s="1385">
        <f t="shared" si="8"/>
        <v>111</v>
      </c>
      <c r="R28" s="1386" t="s">
        <v>8</v>
      </c>
      <c r="S28" s="1387">
        <f t="shared" ref="S28:S46" si="9">F28</f>
        <v>100</v>
      </c>
      <c r="T28" s="1386" t="s">
        <v>8</v>
      </c>
      <c r="U28" s="1387">
        <f t="shared" ref="U28:U46" si="10">H28</f>
        <v>100</v>
      </c>
      <c r="V28" s="1386" t="s">
        <v>8</v>
      </c>
      <c r="W28" s="1387">
        <f t="shared" ref="W28:W46" si="11">J28</f>
        <v>100</v>
      </c>
      <c r="X28" s="1380"/>
      <c r="Y28" s="392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6"/>
      <c r="Q29" s="1385">
        <f t="shared" si="8"/>
        <v>111</v>
      </c>
      <c r="R29" s="1386" t="s">
        <v>8</v>
      </c>
      <c r="S29" s="1387">
        <f t="shared" si="9"/>
        <v>100</v>
      </c>
      <c r="T29" s="1386" t="s">
        <v>8</v>
      </c>
      <c r="U29" s="1387">
        <f t="shared" si="10"/>
        <v>100</v>
      </c>
      <c r="V29" s="1386" t="s">
        <v>8</v>
      </c>
      <c r="W29" s="1387">
        <f t="shared" si="11"/>
        <v>100</v>
      </c>
      <c r="X29" s="1380"/>
      <c r="Y29" s="392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6"/>
      <c r="Q30" s="1385">
        <f t="shared" si="8"/>
        <v>111</v>
      </c>
      <c r="R30" s="1386" t="s">
        <v>8</v>
      </c>
      <c r="S30" s="1387">
        <f t="shared" si="9"/>
        <v>100</v>
      </c>
      <c r="T30" s="1386" t="s">
        <v>8</v>
      </c>
      <c r="U30" s="1387">
        <f t="shared" si="10"/>
        <v>100</v>
      </c>
      <c r="V30" s="1386" t="s">
        <v>8</v>
      </c>
      <c r="W30" s="1387">
        <f t="shared" si="11"/>
        <v>100</v>
      </c>
      <c r="X30" s="1380"/>
      <c r="Y30" s="392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6"/>
      <c r="Q31" s="1385">
        <f t="shared" si="8"/>
        <v>111</v>
      </c>
      <c r="R31" s="1386" t="s">
        <v>8</v>
      </c>
      <c r="S31" s="1387">
        <f t="shared" si="9"/>
        <v>100</v>
      </c>
      <c r="T31" s="1386" t="s">
        <v>8</v>
      </c>
      <c r="U31" s="1387">
        <f t="shared" si="10"/>
        <v>100</v>
      </c>
      <c r="V31" s="1386" t="s">
        <v>8</v>
      </c>
      <c r="W31" s="1387">
        <f t="shared" si="11"/>
        <v>100</v>
      </c>
      <c r="X31" s="1380"/>
      <c r="Y31" s="3926"/>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7" t="s">
        <v>499</v>
      </c>
      <c r="Q32" s="1385" t="str">
        <f t="shared" si="8"/>
        <v>建筑类型</v>
      </c>
      <c r="R32" s="1386" t="s">
        <v>8</v>
      </c>
      <c r="S32" s="1387">
        <f t="shared" si="9"/>
        <v>100</v>
      </c>
      <c r="T32" s="1386" t="s">
        <v>8</v>
      </c>
      <c r="U32" s="1387">
        <f t="shared" si="10"/>
        <v>100</v>
      </c>
      <c r="V32" s="1386" t="s">
        <v>8</v>
      </c>
      <c r="W32" s="1387">
        <f t="shared" si="11"/>
        <v>100</v>
      </c>
      <c r="X32" s="1380"/>
      <c r="Y32" s="392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8"/>
      <c r="Q33" s="1414" t="str">
        <f t="shared" si="8"/>
        <v>项目建筑规模</v>
      </c>
      <c r="R33" s="1390" t="s">
        <v>8</v>
      </c>
      <c r="S33" s="1391" t="e">
        <f t="shared" si="9"/>
        <v>#N/A</v>
      </c>
      <c r="T33" s="1390" t="s">
        <v>8</v>
      </c>
      <c r="U33" s="1391" t="e">
        <f t="shared" si="10"/>
        <v>#N/A</v>
      </c>
      <c r="V33" s="1390" t="s">
        <v>8</v>
      </c>
      <c r="W33" s="1391" t="e">
        <f t="shared" si="11"/>
        <v>#N/A</v>
      </c>
      <c r="X33" s="1392"/>
      <c r="Y33" s="392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8"/>
      <c r="Q34" s="1385" t="str">
        <f t="shared" si="8"/>
        <v>建筑结构</v>
      </c>
      <c r="R34" s="1386" t="s">
        <v>8</v>
      </c>
      <c r="S34" s="1387">
        <f t="shared" si="9"/>
        <v>100</v>
      </c>
      <c r="T34" s="1386" t="s">
        <v>8</v>
      </c>
      <c r="U34" s="1387">
        <f t="shared" si="10"/>
        <v>100</v>
      </c>
      <c r="V34" s="1386" t="s">
        <v>8</v>
      </c>
      <c r="W34" s="1387">
        <f t="shared" si="11"/>
        <v>100</v>
      </c>
      <c r="X34" s="1380"/>
      <c r="Y34" s="392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8"/>
      <c r="Q35" s="1385" t="str">
        <f t="shared" si="8"/>
        <v>建筑品质</v>
      </c>
      <c r="R35" s="1386" t="s">
        <v>8</v>
      </c>
      <c r="S35" s="1387">
        <f t="shared" si="9"/>
        <v>100</v>
      </c>
      <c r="T35" s="1386" t="s">
        <v>8</v>
      </c>
      <c r="U35" s="1387">
        <f t="shared" si="10"/>
        <v>100</v>
      </c>
      <c r="V35" s="1386" t="s">
        <v>8</v>
      </c>
      <c r="W35" s="1387">
        <f t="shared" si="11"/>
        <v>100</v>
      </c>
      <c r="X35" s="1380"/>
      <c r="Y35" s="392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8"/>
      <c r="Q36" s="1385" t="str">
        <f t="shared" si="8"/>
        <v>公共部分装修</v>
      </c>
      <c r="R36" s="1386" t="s">
        <v>8</v>
      </c>
      <c r="S36" s="1387">
        <f t="shared" si="9"/>
        <v>100</v>
      </c>
      <c r="T36" s="1386" t="s">
        <v>8</v>
      </c>
      <c r="U36" s="1387">
        <f t="shared" si="10"/>
        <v>100</v>
      </c>
      <c r="V36" s="1386" t="s">
        <v>8</v>
      </c>
      <c r="W36" s="1387">
        <f t="shared" si="11"/>
        <v>100</v>
      </c>
      <c r="X36" s="1380"/>
      <c r="Y36" s="392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8"/>
      <c r="Q37" s="1050" t="str">
        <f t="shared" si="8"/>
        <v>成新度</v>
      </c>
      <c r="R37" s="1381" t="s">
        <v>8</v>
      </c>
      <c r="S37" s="1382" t="e">
        <f t="shared" si="9"/>
        <v>#N/A</v>
      </c>
      <c r="T37" s="1381" t="s">
        <v>8</v>
      </c>
      <c r="U37" s="1382" t="e">
        <f t="shared" si="10"/>
        <v>#N/A</v>
      </c>
      <c r="V37" s="1381" t="s">
        <v>8</v>
      </c>
      <c r="W37" s="1382" t="e">
        <f t="shared" si="11"/>
        <v>#N/A</v>
      </c>
      <c r="X37" s="1383"/>
      <c r="Y37" s="392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8" t="s">
        <v>499</v>
      </c>
      <c r="Q38" s="1385" t="str">
        <f t="shared" si="8"/>
        <v>物业管理</v>
      </c>
      <c r="R38" s="1386" t="s">
        <v>8</v>
      </c>
      <c r="S38" s="1387">
        <f t="shared" si="9"/>
        <v>100</v>
      </c>
      <c r="T38" s="1386" t="s">
        <v>8</v>
      </c>
      <c r="U38" s="1387">
        <f t="shared" si="10"/>
        <v>100</v>
      </c>
      <c r="V38" s="1386" t="s">
        <v>8</v>
      </c>
      <c r="W38" s="1387">
        <f t="shared" si="11"/>
        <v>100</v>
      </c>
      <c r="X38" s="1380"/>
      <c r="Y38" s="392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8"/>
      <c r="Q39" s="1385" t="str">
        <f t="shared" si="8"/>
        <v>市政基础设施</v>
      </c>
      <c r="R39" s="1386" t="s">
        <v>8</v>
      </c>
      <c r="S39" s="1387">
        <f t="shared" si="9"/>
        <v>100</v>
      </c>
      <c r="T39" s="1386" t="s">
        <v>8</v>
      </c>
      <c r="U39" s="1387">
        <f t="shared" si="10"/>
        <v>100</v>
      </c>
      <c r="V39" s="1386" t="s">
        <v>8</v>
      </c>
      <c r="W39" s="1387">
        <f t="shared" si="11"/>
        <v>100</v>
      </c>
      <c r="X39" s="1380"/>
      <c r="Y39" s="392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8"/>
      <c r="Q40" s="1385" t="str">
        <f t="shared" si="8"/>
        <v>房型</v>
      </c>
      <c r="R40" s="1386" t="s">
        <v>8</v>
      </c>
      <c r="S40" s="1387">
        <f t="shared" si="9"/>
        <v>100</v>
      </c>
      <c r="T40" s="1386" t="s">
        <v>8</v>
      </c>
      <c r="U40" s="1387">
        <f t="shared" si="10"/>
        <v>100</v>
      </c>
      <c r="V40" s="1386" t="s">
        <v>8</v>
      </c>
      <c r="W40" s="1387">
        <f t="shared" si="11"/>
        <v>100</v>
      </c>
      <c r="X40" s="1380"/>
      <c r="Y40" s="392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8"/>
      <c r="Q41" s="1414" t="str">
        <f t="shared" si="8"/>
        <v>单套/主力户型建筑面积</v>
      </c>
      <c r="R41" s="1390" t="s">
        <v>8</v>
      </c>
      <c r="S41" s="1391">
        <f t="shared" si="9"/>
        <v>100</v>
      </c>
      <c r="T41" s="1390" t="s">
        <v>8</v>
      </c>
      <c r="U41" s="1391">
        <f t="shared" si="10"/>
        <v>100</v>
      </c>
      <c r="V41" s="1390" t="s">
        <v>8</v>
      </c>
      <c r="W41" s="1391">
        <f t="shared" si="11"/>
        <v>100</v>
      </c>
      <c r="X41" s="1392"/>
      <c r="Y41" s="392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8"/>
      <c r="Q42" s="1385" t="str">
        <f t="shared" si="8"/>
        <v>内部装修</v>
      </c>
      <c r="R42" s="1386" t="s">
        <v>8</v>
      </c>
      <c r="S42" s="1387">
        <f t="shared" si="9"/>
        <v>100</v>
      </c>
      <c r="T42" s="1386" t="s">
        <v>8</v>
      </c>
      <c r="U42" s="1387">
        <f t="shared" si="10"/>
        <v>100</v>
      </c>
      <c r="V42" s="1386" t="s">
        <v>8</v>
      </c>
      <c r="W42" s="1387">
        <f t="shared" si="11"/>
        <v>100</v>
      </c>
      <c r="X42" s="1380"/>
      <c r="Y42" s="392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8"/>
      <c r="Q43" s="1385" t="str">
        <f t="shared" si="8"/>
        <v>内部装修维护情况</v>
      </c>
      <c r="R43" s="1386" t="s">
        <v>8</v>
      </c>
      <c r="S43" s="1387">
        <f t="shared" si="9"/>
        <v>100</v>
      </c>
      <c r="T43" s="1386" t="s">
        <v>8</v>
      </c>
      <c r="U43" s="1387">
        <f t="shared" si="10"/>
        <v>100</v>
      </c>
      <c r="V43" s="1386" t="s">
        <v>8</v>
      </c>
      <c r="W43" s="1387">
        <f t="shared" si="11"/>
        <v>100</v>
      </c>
      <c r="X43" s="1380"/>
      <c r="Y43" s="392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8"/>
      <c r="Q44" s="1050">
        <f t="shared" si="8"/>
        <v>111</v>
      </c>
      <c r="R44" s="1381" t="s">
        <v>8</v>
      </c>
      <c r="S44" s="1382">
        <f t="shared" si="9"/>
        <v>100</v>
      </c>
      <c r="T44" s="1381" t="s">
        <v>8</v>
      </c>
      <c r="U44" s="1382">
        <f t="shared" si="10"/>
        <v>100</v>
      </c>
      <c r="V44" s="1381" t="s">
        <v>8</v>
      </c>
      <c r="W44" s="1382">
        <f t="shared" si="11"/>
        <v>100</v>
      </c>
      <c r="X44" s="1383"/>
      <c r="Y44" s="392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8"/>
      <c r="Q45" s="1385">
        <f t="shared" si="8"/>
        <v>111</v>
      </c>
      <c r="R45" s="1386" t="s">
        <v>8</v>
      </c>
      <c r="S45" s="1387">
        <f t="shared" si="9"/>
        <v>100</v>
      </c>
      <c r="T45" s="1386" t="s">
        <v>8</v>
      </c>
      <c r="U45" s="1387">
        <f t="shared" si="10"/>
        <v>100</v>
      </c>
      <c r="V45" s="1386" t="s">
        <v>8</v>
      </c>
      <c r="W45" s="1387">
        <f t="shared" si="11"/>
        <v>100</v>
      </c>
      <c r="X45" s="1380"/>
      <c r="Y45" s="392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19"/>
      <c r="Q46" s="1385">
        <f t="shared" si="8"/>
        <v>111</v>
      </c>
      <c r="R46" s="1386" t="s">
        <v>7</v>
      </c>
      <c r="S46" s="1387">
        <f t="shared" si="9"/>
        <v>100</v>
      </c>
      <c r="T46" s="1386" t="s">
        <v>7</v>
      </c>
      <c r="U46" s="1387">
        <f t="shared" si="10"/>
        <v>100</v>
      </c>
      <c r="V46" s="1386" t="s">
        <v>7</v>
      </c>
      <c r="W46" s="1387">
        <f t="shared" si="11"/>
        <v>100</v>
      </c>
      <c r="X46" s="1380"/>
      <c r="Y46" s="4019"/>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7"/>
      <c r="M47" s="1868"/>
      <c r="N47" s="1857"/>
      <c r="O47" s="1868"/>
      <c r="P47" s="3892" t="str">
        <f>A47</f>
        <v>成交单价（元/平方米）</v>
      </c>
      <c r="Q47" s="3892"/>
      <c r="R47" s="4018">
        <f>E47</f>
        <v>0</v>
      </c>
      <c r="S47" s="4018"/>
      <c r="T47" s="4018">
        <f>G47</f>
        <v>0</v>
      </c>
      <c r="U47" s="4018"/>
      <c r="V47" s="4018">
        <f>I47</f>
        <v>0</v>
      </c>
      <c r="W47" s="4018"/>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3892" t="str">
        <f>A48</f>
        <v>比较价格（元/平方米）</v>
      </c>
      <c r="Q48" s="3892"/>
      <c r="R48" s="4018" t="e">
        <f>IF(F1="售价",ROUND(PRODUCT(R47,AA7:AA46),0),ROUND(PRODUCT(R47,AA7:AA46),1))</f>
        <v>#DIV/0!</v>
      </c>
      <c r="S48" s="4018"/>
      <c r="T48" s="4018" t="e">
        <f>IF(F1="售价",ROUND(PRODUCT(T47,AB7:AB46),0),ROUND(PRODUCT(T47,AB7:AB46),1))</f>
        <v>#DIV/0!</v>
      </c>
      <c r="U48" s="4018"/>
      <c r="V48" s="4018" t="e">
        <f>IF(F1="售价",ROUND(PRODUCT(V47,AC7:AC46),0),ROUND(PRODUCT(V47,AC7:AC46),1))</f>
        <v>#DIV/0!</v>
      </c>
      <c r="W48" s="4018"/>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16"/>
      <c r="L49" s="1867"/>
      <c r="M49" s="1868"/>
      <c r="N49" s="1868"/>
      <c r="O49" s="1868"/>
      <c r="P49" s="3929" t="str">
        <f>A49</f>
        <v>估价对象XX用房的比较价格（楼面单价，元/平方米）</v>
      </c>
      <c r="Q49" s="3930"/>
      <c r="R49" s="4017" t="e">
        <f>IF(F1="售价",ROUND(IF(D48="简单平均",AVERAGE(R48:V48),R48*F48+T48*H48+V48*J48),0),ROUND(IF(D48="简单平均",AVERAGE(R48:V48),R48*F48+T48*H48+V48*J48),1))</f>
        <v>#DIV/0!</v>
      </c>
      <c r="S49" s="4017"/>
      <c r="T49" s="4017"/>
      <c r="U49" s="4017"/>
      <c r="V49" s="4017"/>
      <c r="W49" s="4017"/>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3" t="str">
        <f>YEAR(C7)&amp;"-"&amp;MONTH(C7)</f>
        <v>2023-11</v>
      </c>
      <c r="D58" s="2283">
        <f>EDATE(C58,-1)</f>
        <v>45200</v>
      </c>
      <c r="E58" s="2283">
        <f t="shared" ref="E58:O58" si="13">EDATE(D58,-1)</f>
        <v>45170</v>
      </c>
      <c r="F58" s="2283">
        <f t="shared" si="13"/>
        <v>45139</v>
      </c>
      <c r="G58" s="2283">
        <f t="shared" si="13"/>
        <v>45108</v>
      </c>
      <c r="H58" s="2283">
        <f t="shared" si="13"/>
        <v>45078</v>
      </c>
      <c r="I58" s="2283">
        <f t="shared" si="13"/>
        <v>45047</v>
      </c>
      <c r="J58" s="2283">
        <f t="shared" si="13"/>
        <v>45017</v>
      </c>
      <c r="K58" s="2283">
        <f t="shared" si="13"/>
        <v>44986</v>
      </c>
      <c r="L58" s="2283">
        <f t="shared" si="13"/>
        <v>44958</v>
      </c>
      <c r="M58" s="2283">
        <f t="shared" si="13"/>
        <v>44927</v>
      </c>
      <c r="N58" s="2283">
        <f t="shared" si="13"/>
        <v>44896</v>
      </c>
      <c r="O58" s="2283">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8" t="s">
        <v>471</v>
      </c>
      <c r="D4" s="3899"/>
      <c r="E4" s="3933" t="s">
        <v>472</v>
      </c>
      <c r="F4" s="3934"/>
      <c r="G4" s="3898" t="s">
        <v>473</v>
      </c>
      <c r="H4" s="3899"/>
      <c r="I4" s="3898" t="s">
        <v>474</v>
      </c>
      <c r="J4" s="3899"/>
      <c r="K4" s="484" t="s">
        <v>475</v>
      </c>
      <c r="L4" s="1856"/>
      <c r="M4" s="1857"/>
      <c r="N4" s="1857"/>
      <c r="O4" s="1857"/>
      <c r="P4" s="3900" t="s">
        <v>476</v>
      </c>
      <c r="Q4" s="3901"/>
      <c r="R4" s="3906" t="s">
        <v>472</v>
      </c>
      <c r="S4" s="3907"/>
      <c r="T4" s="3906" t="s">
        <v>473</v>
      </c>
      <c r="U4" s="3907"/>
      <c r="V4" s="3893" t="s">
        <v>474</v>
      </c>
      <c r="W4" s="3893"/>
      <c r="X4" s="1380"/>
      <c r="Y4" s="3906" t="s">
        <v>476</v>
      </c>
      <c r="Z4" s="3907"/>
      <c r="AA4" s="3895" t="s">
        <v>472</v>
      </c>
      <c r="AB4" s="3893" t="s">
        <v>473</v>
      </c>
      <c r="AC4" s="3895" t="s">
        <v>474</v>
      </c>
    </row>
    <row r="5" spans="1:29" ht="15">
      <c r="A5" s="485"/>
      <c r="B5" s="486"/>
      <c r="C5" s="3914" t="s">
        <v>2190</v>
      </c>
      <c r="D5" s="3915"/>
      <c r="E5" s="3935" t="s">
        <v>2191</v>
      </c>
      <c r="F5" s="3936"/>
      <c r="G5" s="3914" t="s">
        <v>2192</v>
      </c>
      <c r="H5" s="3915"/>
      <c r="I5" s="3914" t="s">
        <v>2193</v>
      </c>
      <c r="J5" s="3915"/>
      <c r="K5" s="484"/>
      <c r="L5" s="1856"/>
      <c r="M5" s="1857"/>
      <c r="N5" s="1857"/>
      <c r="O5" s="1857"/>
      <c r="P5" s="3902"/>
      <c r="Q5" s="3903"/>
      <c r="R5" s="3908"/>
      <c r="S5" s="3909"/>
      <c r="T5" s="3908"/>
      <c r="U5" s="3909"/>
      <c r="V5" s="3893"/>
      <c r="W5" s="3893"/>
      <c r="X5" s="1380"/>
      <c r="Y5" s="3908"/>
      <c r="Z5" s="3909"/>
      <c r="AA5" s="3896"/>
      <c r="AB5" s="3893"/>
      <c r="AC5" s="3896"/>
    </row>
    <row r="6" spans="1:29" ht="15.75" thickBot="1">
      <c r="A6" s="487"/>
      <c r="B6" s="488"/>
      <c r="C6" s="3912" t="s">
        <v>2194</v>
      </c>
      <c r="D6" s="3913"/>
      <c r="E6" s="3931" t="s">
        <v>2194</v>
      </c>
      <c r="F6" s="3932"/>
      <c r="G6" s="3912" t="s">
        <v>2194</v>
      </c>
      <c r="H6" s="3913"/>
      <c r="I6" s="3912" t="s">
        <v>2194</v>
      </c>
      <c r="J6" s="3913"/>
      <c r="K6" s="484" t="s">
        <v>477</v>
      </c>
      <c r="L6" s="1856"/>
      <c r="M6" s="1857"/>
      <c r="N6" s="1857"/>
      <c r="O6" s="1857"/>
      <c r="P6" s="3904"/>
      <c r="Q6" s="3905"/>
      <c r="R6" s="3908"/>
      <c r="S6" s="3909"/>
      <c r="T6" s="3910"/>
      <c r="U6" s="3911"/>
      <c r="V6" s="3893"/>
      <c r="W6" s="3893"/>
      <c r="X6" s="1380"/>
      <c r="Y6" s="3910"/>
      <c r="Z6" s="3911"/>
      <c r="AA6" s="3897"/>
      <c r="AB6" s="3893"/>
      <c r="AC6" s="3897"/>
    </row>
    <row r="7" spans="1:29" s="1118" customFormat="1" ht="15.75" thickBot="1">
      <c r="A7" s="2391"/>
      <c r="B7" s="2398" t="s">
        <v>478</v>
      </c>
      <c r="C7" s="489">
        <f>'数据-取费表'!B2</f>
        <v>45248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2" t="s">
        <v>479</v>
      </c>
      <c r="Q7" s="3924"/>
      <c r="R7" s="1381" t="s">
        <v>5</v>
      </c>
      <c r="S7" s="1382">
        <f t="shared" ref="S7:S15" si="0">F7</f>
        <v>0</v>
      </c>
      <c r="T7" s="1381" t="s">
        <v>5</v>
      </c>
      <c r="U7" s="1382">
        <f t="shared" ref="U7:U15" si="1">H7</f>
        <v>0</v>
      </c>
      <c r="V7" s="1381" t="s">
        <v>5</v>
      </c>
      <c r="W7" s="1382">
        <f t="shared" ref="W7:W15"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2" t="s">
        <v>482</v>
      </c>
      <c r="Q8" s="3923"/>
      <c r="R8" s="1381" t="s">
        <v>5</v>
      </c>
      <c r="S8" s="1382">
        <f t="shared" si="0"/>
        <v>0</v>
      </c>
      <c r="T8" s="1381" t="s">
        <v>5</v>
      </c>
      <c r="U8" s="1382">
        <f t="shared" si="1"/>
        <v>0</v>
      </c>
      <c r="V8" s="1381" t="s">
        <v>5</v>
      </c>
      <c r="W8" s="1382">
        <f t="shared" si="2"/>
        <v>0</v>
      </c>
      <c r="X8" s="1383"/>
      <c r="Y8" s="3922" t="s">
        <v>482</v>
      </c>
      <c r="Z8" s="3923"/>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2" t="s">
        <v>484</v>
      </c>
      <c r="Q9" s="1050" t="str">
        <f t="shared" ref="Q9:Q15" si="6">B9</f>
        <v>用途</v>
      </c>
      <c r="R9" s="1381" t="s">
        <v>5</v>
      </c>
      <c r="S9" s="1382">
        <f t="shared" si="0"/>
        <v>100</v>
      </c>
      <c r="T9" s="1381" t="s">
        <v>5</v>
      </c>
      <c r="U9" s="1382">
        <f t="shared" si="1"/>
        <v>100</v>
      </c>
      <c r="V9" s="1381" t="s">
        <v>5</v>
      </c>
      <c r="W9" s="1382">
        <f t="shared" si="2"/>
        <v>100</v>
      </c>
      <c r="X9" s="1383"/>
      <c r="Y9" s="3834"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2"/>
      <c r="Q11" s="1050" t="str">
        <f t="shared" si="6"/>
        <v>容积率</v>
      </c>
      <c r="R11" s="1381" t="s">
        <v>5</v>
      </c>
      <c r="S11" s="1382" t="e">
        <f t="shared" si="0"/>
        <v>#N/A</v>
      </c>
      <c r="T11" s="1381" t="s">
        <v>5</v>
      </c>
      <c r="U11" s="1382" t="e">
        <f t="shared" si="1"/>
        <v>#N/A</v>
      </c>
      <c r="V11" s="1381" t="s">
        <v>5</v>
      </c>
      <c r="W11" s="1382" t="e">
        <f t="shared" si="2"/>
        <v>#N/A</v>
      </c>
      <c r="X11" s="1383"/>
      <c r="Y11" s="383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2"/>
      <c r="Q12" s="1050">
        <f t="shared" si="6"/>
        <v>111</v>
      </c>
      <c r="R12" s="1381" t="s">
        <v>5</v>
      </c>
      <c r="S12" s="1382">
        <f t="shared" si="0"/>
        <v>100</v>
      </c>
      <c r="T12" s="1381" t="s">
        <v>5</v>
      </c>
      <c r="U12" s="1382">
        <f t="shared" si="1"/>
        <v>100</v>
      </c>
      <c r="V12" s="1381" t="s">
        <v>5</v>
      </c>
      <c r="W12" s="1382">
        <f t="shared" si="2"/>
        <v>100</v>
      </c>
      <c r="X12" s="1383"/>
      <c r="Y12" s="3834"/>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2"/>
      <c r="Q13" s="1050">
        <f t="shared" si="6"/>
        <v>111</v>
      </c>
      <c r="R13" s="1381" t="s">
        <v>5</v>
      </c>
      <c r="S13" s="1382">
        <f t="shared" si="0"/>
        <v>100</v>
      </c>
      <c r="T13" s="1381" t="s">
        <v>5</v>
      </c>
      <c r="U13" s="1382">
        <f t="shared" si="1"/>
        <v>100</v>
      </c>
      <c r="V13" s="1381" t="s">
        <v>5</v>
      </c>
      <c r="W13" s="1382">
        <f t="shared" si="2"/>
        <v>100</v>
      </c>
      <c r="X13" s="1383"/>
      <c r="Y13" s="3834"/>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2"/>
      <c r="Q14" s="1050">
        <f t="shared" si="6"/>
        <v>111</v>
      </c>
      <c r="R14" s="1381" t="s">
        <v>5</v>
      </c>
      <c r="S14" s="1382">
        <f t="shared" si="0"/>
        <v>100</v>
      </c>
      <c r="T14" s="1381" t="s">
        <v>5</v>
      </c>
      <c r="U14" s="1382">
        <f t="shared" si="1"/>
        <v>100</v>
      </c>
      <c r="V14" s="1381" t="s">
        <v>5</v>
      </c>
      <c r="W14" s="1382">
        <f t="shared" si="2"/>
        <v>100</v>
      </c>
      <c r="X14" s="1383"/>
      <c r="Y14" s="3834"/>
      <c r="Z14" s="1049">
        <f t="shared" si="7"/>
        <v>111</v>
      </c>
      <c r="AA14" s="1384">
        <f t="shared" si="3"/>
        <v>1</v>
      </c>
      <c r="AB14" s="1384">
        <f t="shared" si="4"/>
        <v>1</v>
      </c>
      <c r="AC14" s="1384">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5" t="s">
        <v>489</v>
      </c>
      <c r="Q15" s="1385" t="str">
        <f t="shared" si="6"/>
        <v>商业繁华度</v>
      </c>
      <c r="R15" s="1386" t="s">
        <v>5</v>
      </c>
      <c r="S15" s="1387">
        <f t="shared" si="0"/>
        <v>100</v>
      </c>
      <c r="T15" s="1386" t="s">
        <v>5</v>
      </c>
      <c r="U15" s="1387">
        <f t="shared" si="1"/>
        <v>100</v>
      </c>
      <c r="V15" s="1386" t="s">
        <v>5</v>
      </c>
      <c r="W15" s="1387">
        <f t="shared" si="2"/>
        <v>100</v>
      </c>
      <c r="X15" s="1380"/>
      <c r="Y15" s="392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6"/>
      <c r="Q16" s="1385"/>
      <c r="R16" s="1386"/>
      <c r="S16" s="1387"/>
      <c r="T16" s="1386"/>
      <c r="U16" s="1387"/>
      <c r="V16" s="1386"/>
      <c r="W16" s="1387"/>
      <c r="X16" s="1380"/>
      <c r="Y16" s="392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6"/>
      <c r="Q17" s="1385" t="str">
        <f>B17</f>
        <v>交通便捷度</v>
      </c>
      <c r="R17" s="1386" t="s">
        <v>5</v>
      </c>
      <c r="S17" s="1387">
        <f>F17</f>
        <v>100</v>
      </c>
      <c r="T17" s="1386" t="s">
        <v>5</v>
      </c>
      <c r="U17" s="1387">
        <f>H17</f>
        <v>100</v>
      </c>
      <c r="V17" s="1386" t="s">
        <v>5</v>
      </c>
      <c r="W17" s="1387">
        <f>J17</f>
        <v>100</v>
      </c>
      <c r="X17" s="1380"/>
      <c r="Y17" s="392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6"/>
      <c r="Q18" s="1385"/>
      <c r="R18" s="1386"/>
      <c r="S18" s="1387"/>
      <c r="T18" s="1386"/>
      <c r="U18" s="1387"/>
      <c r="V18" s="1386"/>
      <c r="W18" s="1387"/>
      <c r="X18" s="1380"/>
      <c r="Y18" s="3926"/>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6"/>
      <c r="Q19" s="1385" t="str">
        <f>B19</f>
        <v>公共配套设施</v>
      </c>
      <c r="R19" s="1386" t="s">
        <v>5</v>
      </c>
      <c r="S19" s="1387">
        <f>F19</f>
        <v>100</v>
      </c>
      <c r="T19" s="1386" t="s">
        <v>5</v>
      </c>
      <c r="U19" s="1387">
        <f>H19</f>
        <v>100</v>
      </c>
      <c r="V19" s="1386" t="s">
        <v>5</v>
      </c>
      <c r="W19" s="1387">
        <f>J19</f>
        <v>100</v>
      </c>
      <c r="X19" s="1380"/>
      <c r="Y19" s="392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6"/>
      <c r="Q20" s="1385"/>
      <c r="R20" s="1386"/>
      <c r="S20" s="1387"/>
      <c r="T20" s="1386"/>
      <c r="U20" s="1387"/>
      <c r="V20" s="1386"/>
      <c r="W20" s="1387"/>
      <c r="X20" s="1380"/>
      <c r="Y20" s="3926"/>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6"/>
      <c r="Q21" s="2192" t="str">
        <f>B21</f>
        <v>基础设施水平</v>
      </c>
      <c r="R21" s="1386" t="s">
        <v>5</v>
      </c>
      <c r="S21" s="1387">
        <f>F21</f>
        <v>100</v>
      </c>
      <c r="T21" s="1386" t="s">
        <v>5</v>
      </c>
      <c r="U21" s="1387">
        <f>H21</f>
        <v>100</v>
      </c>
      <c r="V21" s="1386" t="s">
        <v>5</v>
      </c>
      <c r="W21" s="1387">
        <f>J21</f>
        <v>100</v>
      </c>
      <c r="X21" s="2194"/>
      <c r="Y21" s="3926"/>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926"/>
      <c r="Q22" s="2192"/>
      <c r="R22" s="1386"/>
      <c r="S22" s="1387"/>
      <c r="T22" s="1386"/>
      <c r="U22" s="1387"/>
      <c r="V22" s="1386"/>
      <c r="W22" s="1387"/>
      <c r="X22" s="2194"/>
      <c r="Y22" s="3926"/>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6"/>
      <c r="Q23" s="1385" t="str">
        <f>B23</f>
        <v>自然及人文环境</v>
      </c>
      <c r="R23" s="1386" t="s">
        <v>5</v>
      </c>
      <c r="S23" s="1387">
        <f>F23</f>
        <v>100</v>
      </c>
      <c r="T23" s="1386" t="s">
        <v>5</v>
      </c>
      <c r="U23" s="1387">
        <f>H23</f>
        <v>100</v>
      </c>
      <c r="V23" s="1386" t="s">
        <v>5</v>
      </c>
      <c r="W23" s="1387">
        <f>J23</f>
        <v>100</v>
      </c>
      <c r="X23" s="1380"/>
      <c r="Y23" s="392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6"/>
      <c r="Q24" s="1385"/>
      <c r="R24" s="1386"/>
      <c r="S24" s="1387"/>
      <c r="T24" s="1386"/>
      <c r="U24" s="1387"/>
      <c r="V24" s="1386"/>
      <c r="W24" s="1387"/>
      <c r="X24" s="1380"/>
      <c r="Y24" s="392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6"/>
      <c r="Q25" s="1385" t="str">
        <f t="shared" ref="Q25:Q46" si="8">B25</f>
        <v>临街状况</v>
      </c>
      <c r="R25" s="1386" t="s">
        <v>5</v>
      </c>
      <c r="S25" s="1387">
        <f>F25</f>
        <v>100</v>
      </c>
      <c r="T25" s="1386" t="s">
        <v>5</v>
      </c>
      <c r="U25" s="1387">
        <f>H25</f>
        <v>100</v>
      </c>
      <c r="V25" s="1386" t="s">
        <v>5</v>
      </c>
      <c r="W25" s="1387">
        <f>J25</f>
        <v>100</v>
      </c>
      <c r="X25" s="1380"/>
      <c r="Y25" s="392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6"/>
      <c r="Q26" s="1385" t="str">
        <f t="shared" si="8"/>
        <v>平面位置/可视性</v>
      </c>
      <c r="R26" s="1386" t="s">
        <v>5</v>
      </c>
      <c r="S26" s="1387">
        <f>F26</f>
        <v>100</v>
      </c>
      <c r="T26" s="1386" t="s">
        <v>5</v>
      </c>
      <c r="U26" s="1387">
        <f>H26</f>
        <v>100</v>
      </c>
      <c r="V26" s="1386" t="s">
        <v>5</v>
      </c>
      <c r="W26" s="1387">
        <f>J26</f>
        <v>100</v>
      </c>
      <c r="X26" s="1380"/>
      <c r="Y26" s="392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6"/>
      <c r="Q27" s="1050" t="str">
        <f t="shared" si="8"/>
        <v>人流量</v>
      </c>
      <c r="R27" s="1381" t="s">
        <v>5</v>
      </c>
      <c r="S27" s="1382">
        <f>F27</f>
        <v>100</v>
      </c>
      <c r="T27" s="1381" t="s">
        <v>5</v>
      </c>
      <c r="U27" s="1382">
        <f>H27</f>
        <v>100</v>
      </c>
      <c r="V27" s="1381" t="s">
        <v>5</v>
      </c>
      <c r="W27" s="1382">
        <f>J27</f>
        <v>100</v>
      </c>
      <c r="X27" s="1383"/>
      <c r="Y27" s="392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6"/>
      <c r="Q29" s="1385">
        <f t="shared" si="8"/>
        <v>111</v>
      </c>
      <c r="R29" s="1386" t="s">
        <v>5</v>
      </c>
      <c r="S29" s="1387">
        <f t="shared" si="9"/>
        <v>100</v>
      </c>
      <c r="T29" s="1386" t="s">
        <v>5</v>
      </c>
      <c r="U29" s="1387">
        <f t="shared" si="10"/>
        <v>100</v>
      </c>
      <c r="V29" s="1386" t="s">
        <v>5</v>
      </c>
      <c r="W29" s="1387">
        <f t="shared" si="11"/>
        <v>100</v>
      </c>
      <c r="X29" s="1380"/>
      <c r="Y29" s="392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6"/>
      <c r="Q30" s="1385">
        <f t="shared" si="8"/>
        <v>111</v>
      </c>
      <c r="R30" s="1386" t="s">
        <v>5</v>
      </c>
      <c r="S30" s="1387">
        <f t="shared" si="9"/>
        <v>100</v>
      </c>
      <c r="T30" s="1386" t="s">
        <v>5</v>
      </c>
      <c r="U30" s="1387">
        <f t="shared" si="10"/>
        <v>100</v>
      </c>
      <c r="V30" s="1386" t="s">
        <v>5</v>
      </c>
      <c r="W30" s="1387">
        <f t="shared" si="11"/>
        <v>100</v>
      </c>
      <c r="X30" s="1380"/>
      <c r="Y30" s="392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6"/>
      <c r="Q31" s="1385">
        <f t="shared" si="8"/>
        <v>111</v>
      </c>
      <c r="R31" s="1386" t="s">
        <v>5</v>
      </c>
      <c r="S31" s="1387">
        <f t="shared" si="9"/>
        <v>100</v>
      </c>
      <c r="T31" s="1386" t="s">
        <v>5</v>
      </c>
      <c r="U31" s="1387">
        <f t="shared" si="10"/>
        <v>100</v>
      </c>
      <c r="V31" s="1386" t="s">
        <v>5</v>
      </c>
      <c r="W31" s="1387">
        <f t="shared" si="11"/>
        <v>100</v>
      </c>
      <c r="X31" s="1380"/>
      <c r="Y31" s="3926"/>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7" t="s">
        <v>499</v>
      </c>
      <c r="Q32" s="1385" t="str">
        <f t="shared" si="8"/>
        <v>商业类型</v>
      </c>
      <c r="R32" s="1386" t="s">
        <v>5</v>
      </c>
      <c r="S32" s="1387">
        <f t="shared" si="9"/>
        <v>100</v>
      </c>
      <c r="T32" s="1386" t="s">
        <v>5</v>
      </c>
      <c r="U32" s="1387">
        <f t="shared" si="10"/>
        <v>100</v>
      </c>
      <c r="V32" s="1386" t="s">
        <v>5</v>
      </c>
      <c r="W32" s="1387">
        <f t="shared" si="11"/>
        <v>100</v>
      </c>
      <c r="X32" s="1380"/>
      <c r="Y32" s="392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8"/>
      <c r="Q33" s="1414" t="str">
        <f t="shared" si="8"/>
        <v>项目建筑规模</v>
      </c>
      <c r="R33" s="1390" t="s">
        <v>5</v>
      </c>
      <c r="S33" s="1391" t="e">
        <f t="shared" si="9"/>
        <v>#N/A</v>
      </c>
      <c r="T33" s="1390" t="s">
        <v>5</v>
      </c>
      <c r="U33" s="1391" t="e">
        <f t="shared" si="10"/>
        <v>#N/A</v>
      </c>
      <c r="V33" s="1390" t="s">
        <v>5</v>
      </c>
      <c r="W33" s="1391" t="e">
        <f t="shared" si="11"/>
        <v>#N/A</v>
      </c>
      <c r="X33" s="1392"/>
      <c r="Y33" s="392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8"/>
      <c r="Q34" s="1385" t="str">
        <f t="shared" si="8"/>
        <v>建筑结构</v>
      </c>
      <c r="R34" s="1386" t="s">
        <v>5</v>
      </c>
      <c r="S34" s="1387">
        <f t="shared" si="9"/>
        <v>100</v>
      </c>
      <c r="T34" s="1386" t="s">
        <v>5</v>
      </c>
      <c r="U34" s="1387">
        <f t="shared" si="10"/>
        <v>100</v>
      </c>
      <c r="V34" s="1386" t="s">
        <v>5</v>
      </c>
      <c r="W34" s="1387">
        <f t="shared" si="11"/>
        <v>100</v>
      </c>
      <c r="X34" s="1380"/>
      <c r="Y34" s="392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8"/>
      <c r="Q35" s="1385" t="str">
        <f t="shared" si="8"/>
        <v>公共部分装修</v>
      </c>
      <c r="R35" s="1386" t="s">
        <v>5</v>
      </c>
      <c r="S35" s="1387">
        <f t="shared" si="9"/>
        <v>100</v>
      </c>
      <c r="T35" s="1386" t="s">
        <v>5</v>
      </c>
      <c r="U35" s="1387">
        <f t="shared" si="10"/>
        <v>100</v>
      </c>
      <c r="V35" s="1386" t="s">
        <v>5</v>
      </c>
      <c r="W35" s="1387">
        <f t="shared" si="11"/>
        <v>100</v>
      </c>
      <c r="X35" s="1380"/>
      <c r="Y35" s="392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8"/>
      <c r="Q36" s="1385" t="str">
        <f t="shared" si="8"/>
        <v>成新度</v>
      </c>
      <c r="R36" s="1386" t="s">
        <v>5</v>
      </c>
      <c r="S36" s="1387" t="e">
        <f t="shared" si="9"/>
        <v>#N/A</v>
      </c>
      <c r="T36" s="1386" t="s">
        <v>5</v>
      </c>
      <c r="U36" s="1387" t="e">
        <f t="shared" si="10"/>
        <v>#N/A</v>
      </c>
      <c r="V36" s="1386" t="s">
        <v>5</v>
      </c>
      <c r="W36" s="1387" t="e">
        <f t="shared" si="11"/>
        <v>#N/A</v>
      </c>
      <c r="X36" s="1380"/>
      <c r="Y36" s="392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8"/>
      <c r="Q37" s="1050" t="str">
        <f t="shared" si="8"/>
        <v>市政基础设施</v>
      </c>
      <c r="R37" s="1381" t="s">
        <v>5</v>
      </c>
      <c r="S37" s="1382">
        <f t="shared" si="9"/>
        <v>100</v>
      </c>
      <c r="T37" s="1381" t="s">
        <v>5</v>
      </c>
      <c r="U37" s="1382">
        <f t="shared" si="10"/>
        <v>100</v>
      </c>
      <c r="V37" s="1381" t="s">
        <v>5</v>
      </c>
      <c r="W37" s="1382">
        <f t="shared" si="11"/>
        <v>100</v>
      </c>
      <c r="X37" s="1383"/>
      <c r="Y37" s="392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8" t="s">
        <v>706</v>
      </c>
      <c r="Q38" s="1385" t="str">
        <f t="shared" si="8"/>
        <v>业态</v>
      </c>
      <c r="R38" s="1386" t="s">
        <v>5</v>
      </c>
      <c r="S38" s="1387">
        <f t="shared" si="9"/>
        <v>100</v>
      </c>
      <c r="T38" s="1386" t="s">
        <v>5</v>
      </c>
      <c r="U38" s="1387">
        <f t="shared" si="10"/>
        <v>100</v>
      </c>
      <c r="V38" s="1386" t="s">
        <v>5</v>
      </c>
      <c r="W38" s="1387">
        <f t="shared" si="11"/>
        <v>100</v>
      </c>
      <c r="X38" s="1380"/>
      <c r="Y38" s="392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8"/>
      <c r="Q39" s="1385" t="str">
        <f t="shared" si="8"/>
        <v>层高</v>
      </c>
      <c r="R39" s="1386" t="s">
        <v>5</v>
      </c>
      <c r="S39" s="1387">
        <f t="shared" si="9"/>
        <v>100</v>
      </c>
      <c r="T39" s="1386" t="s">
        <v>5</v>
      </c>
      <c r="U39" s="1387">
        <f t="shared" si="10"/>
        <v>100</v>
      </c>
      <c r="V39" s="1386" t="s">
        <v>5</v>
      </c>
      <c r="W39" s="1387">
        <f t="shared" si="11"/>
        <v>100</v>
      </c>
      <c r="X39" s="1380"/>
      <c r="Y39" s="392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8"/>
      <c r="Q40" s="1385" t="str">
        <f t="shared" si="8"/>
        <v>单套建筑面积</v>
      </c>
      <c r="R40" s="1386" t="s">
        <v>5</v>
      </c>
      <c r="S40" s="1387">
        <f t="shared" si="9"/>
        <v>100</v>
      </c>
      <c r="T40" s="1386" t="s">
        <v>5</v>
      </c>
      <c r="U40" s="1387">
        <f t="shared" si="10"/>
        <v>100</v>
      </c>
      <c r="V40" s="1386" t="s">
        <v>5</v>
      </c>
      <c r="W40" s="1387">
        <f t="shared" si="11"/>
        <v>100</v>
      </c>
      <c r="X40" s="1380"/>
      <c r="Y40" s="392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8"/>
      <c r="Q41" s="1414" t="str">
        <f t="shared" si="8"/>
        <v>进深比</v>
      </c>
      <c r="R41" s="1390" t="s">
        <v>5</v>
      </c>
      <c r="S41" s="1391">
        <f t="shared" si="9"/>
        <v>100</v>
      </c>
      <c r="T41" s="1390" t="s">
        <v>5</v>
      </c>
      <c r="U41" s="1391">
        <f t="shared" si="10"/>
        <v>100</v>
      </c>
      <c r="V41" s="1390" t="s">
        <v>5</v>
      </c>
      <c r="W41" s="1391">
        <f t="shared" si="11"/>
        <v>100</v>
      </c>
      <c r="X41" s="1392"/>
      <c r="Y41" s="392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8"/>
      <c r="Q42" s="1385" t="str">
        <f t="shared" si="8"/>
        <v>内部装修</v>
      </c>
      <c r="R42" s="1386" t="s">
        <v>5</v>
      </c>
      <c r="S42" s="1387">
        <f t="shared" si="9"/>
        <v>100</v>
      </c>
      <c r="T42" s="1386" t="s">
        <v>5</v>
      </c>
      <c r="U42" s="1387">
        <f t="shared" si="10"/>
        <v>100</v>
      </c>
      <c r="V42" s="1386" t="s">
        <v>5</v>
      </c>
      <c r="W42" s="1387">
        <f t="shared" si="11"/>
        <v>100</v>
      </c>
      <c r="X42" s="1380"/>
      <c r="Y42" s="392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8"/>
      <c r="Q43" s="1385" t="str">
        <f t="shared" si="8"/>
        <v>内部装修维护情况</v>
      </c>
      <c r="R43" s="1386" t="s">
        <v>5</v>
      </c>
      <c r="S43" s="1387">
        <f t="shared" si="9"/>
        <v>100</v>
      </c>
      <c r="T43" s="1386" t="s">
        <v>5</v>
      </c>
      <c r="U43" s="1387">
        <f t="shared" si="10"/>
        <v>100</v>
      </c>
      <c r="V43" s="1386" t="s">
        <v>5</v>
      </c>
      <c r="W43" s="1387">
        <f t="shared" si="11"/>
        <v>100</v>
      </c>
      <c r="X43" s="1380"/>
      <c r="Y43" s="392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8"/>
      <c r="Q44" s="1050">
        <f t="shared" si="8"/>
        <v>111</v>
      </c>
      <c r="R44" s="1381" t="s">
        <v>5</v>
      </c>
      <c r="S44" s="1382">
        <f t="shared" si="9"/>
        <v>100</v>
      </c>
      <c r="T44" s="1381" t="s">
        <v>5</v>
      </c>
      <c r="U44" s="1382">
        <f t="shared" si="10"/>
        <v>100</v>
      </c>
      <c r="V44" s="1381" t="s">
        <v>5</v>
      </c>
      <c r="W44" s="1382">
        <f t="shared" si="11"/>
        <v>100</v>
      </c>
      <c r="X44" s="1383"/>
      <c r="Y44" s="392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8"/>
      <c r="Q45" s="1385">
        <f t="shared" si="8"/>
        <v>111</v>
      </c>
      <c r="R45" s="1386" t="s">
        <v>5</v>
      </c>
      <c r="S45" s="1387">
        <f t="shared" si="9"/>
        <v>100</v>
      </c>
      <c r="T45" s="1386" t="s">
        <v>5</v>
      </c>
      <c r="U45" s="1387">
        <f t="shared" si="10"/>
        <v>100</v>
      </c>
      <c r="V45" s="1386" t="s">
        <v>5</v>
      </c>
      <c r="W45" s="1387">
        <f t="shared" si="11"/>
        <v>100</v>
      </c>
      <c r="X45" s="1380"/>
      <c r="Y45" s="392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19"/>
      <c r="Q46" s="1385">
        <f t="shared" si="8"/>
        <v>111</v>
      </c>
      <c r="R46" s="1386" t="s">
        <v>5</v>
      </c>
      <c r="S46" s="1387">
        <f t="shared" si="9"/>
        <v>100</v>
      </c>
      <c r="T46" s="1386" t="s">
        <v>5</v>
      </c>
      <c r="U46" s="1387">
        <f t="shared" si="10"/>
        <v>100</v>
      </c>
      <c r="V46" s="1386" t="s">
        <v>5</v>
      </c>
      <c r="W46" s="1387">
        <f t="shared" si="11"/>
        <v>100</v>
      </c>
      <c r="X46" s="1380"/>
      <c r="Y46" s="4019"/>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7"/>
      <c r="M47" s="1868"/>
      <c r="N47" s="1857"/>
      <c r="O47" s="1868"/>
      <c r="P47" s="3892" t="str">
        <f>A47</f>
        <v>成交单价（元/平方米）</v>
      </c>
      <c r="Q47" s="3892"/>
      <c r="R47" s="4018">
        <f>E47</f>
        <v>0</v>
      </c>
      <c r="S47" s="4018"/>
      <c r="T47" s="4018">
        <f>G47</f>
        <v>0</v>
      </c>
      <c r="U47" s="4018"/>
      <c r="V47" s="4018">
        <f>I47</f>
        <v>0</v>
      </c>
      <c r="W47" s="4018"/>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3892" t="str">
        <f>A48</f>
        <v>比较价格（元/平方米）</v>
      </c>
      <c r="Q48" s="3892"/>
      <c r="R48" s="4018" t="e">
        <f>IF(F1="售价",ROUND(PRODUCT(R47,AA7:AA46),0),ROUND(PRODUCT(R47,AA7:AA46),1))</f>
        <v>#DIV/0!</v>
      </c>
      <c r="S48" s="4018"/>
      <c r="T48" s="4018" t="e">
        <f>IF(F1="售价",ROUND(PRODUCT(T47,AB7:AB46),0),ROUND(PRODUCT(T47,AB7:AB46),1))</f>
        <v>#DIV/0!</v>
      </c>
      <c r="U48" s="4018"/>
      <c r="V48" s="4018" t="e">
        <f>IF(F1="售价",ROUND(PRODUCT(V47,AC7:AC46),0),ROUND(PRODUCT(V47,AC7:AC46),1))</f>
        <v>#DIV/0!</v>
      </c>
      <c r="W48" s="4018"/>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20"/>
      <c r="L49" s="1867"/>
      <c r="M49" s="1868"/>
      <c r="N49" s="1857"/>
      <c r="O49" s="1868"/>
      <c r="P49" s="3929" t="str">
        <f>A49</f>
        <v>估价对象XX用房的比较价格（楼面单价，元/平方米）</v>
      </c>
      <c r="Q49" s="3930"/>
      <c r="R49" s="4017" t="e">
        <f>IF(F1="售价",ROUND(IF(D48="简单平均",AVERAGE(R48:V48),R48*F48+T48*H48+V48*J48),0),ROUND(IF(D48="简单平均",AVERAGE(R48:V48),R48*F48+T48*H48+V48*J48),1))</f>
        <v>#DIV/0!</v>
      </c>
      <c r="S49" s="4017"/>
      <c r="T49" s="4017"/>
      <c r="U49" s="4017"/>
      <c r="V49" s="4017"/>
      <c r="W49" s="4017"/>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1" t="str">
        <f>YEAR(C7)&amp;"-"&amp;MONTH(C7)</f>
        <v>2023-11</v>
      </c>
      <c r="D58" s="2283">
        <f>EDATE(C58,-1)</f>
        <v>45200</v>
      </c>
      <c r="E58" s="2283">
        <f t="shared" ref="E58:O58" si="13">EDATE(D58,-1)</f>
        <v>45170</v>
      </c>
      <c r="F58" s="2283">
        <f t="shared" si="13"/>
        <v>45139</v>
      </c>
      <c r="G58" s="2283">
        <f t="shared" si="13"/>
        <v>45108</v>
      </c>
      <c r="H58" s="2283">
        <f t="shared" si="13"/>
        <v>45078</v>
      </c>
      <c r="I58" s="2283">
        <f t="shared" si="13"/>
        <v>45047</v>
      </c>
      <c r="J58" s="2283">
        <f t="shared" si="13"/>
        <v>45017</v>
      </c>
      <c r="K58" s="2283">
        <f t="shared" si="13"/>
        <v>44986</v>
      </c>
      <c r="L58" s="2283">
        <f t="shared" si="13"/>
        <v>44958</v>
      </c>
      <c r="M58" s="2283">
        <f t="shared" si="13"/>
        <v>44927</v>
      </c>
      <c r="N58" s="2283">
        <f t="shared" si="13"/>
        <v>44896</v>
      </c>
      <c r="O58" s="2283">
        <f t="shared" si="13"/>
        <v>44866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93.75">
      <c r="A7" s="2352"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2023年11月18日（评估专业人员勘察现场之日）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4"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5">
      <c r="A4" s="482" t="s">
        <v>470</v>
      </c>
      <c r="B4" s="483"/>
      <c r="C4" s="3898" t="s">
        <v>471</v>
      </c>
      <c r="D4" s="3899"/>
      <c r="E4" s="3933" t="s">
        <v>472</v>
      </c>
      <c r="F4" s="3934"/>
      <c r="G4" s="3898" t="s">
        <v>473</v>
      </c>
      <c r="H4" s="3899"/>
      <c r="I4" s="3898" t="s">
        <v>474</v>
      </c>
      <c r="J4" s="3899"/>
      <c r="K4" s="484" t="s">
        <v>475</v>
      </c>
      <c r="L4" s="1856"/>
      <c r="M4" s="1857"/>
      <c r="N4" s="1857"/>
      <c r="O4" s="1857"/>
      <c r="P4" s="4021" t="s">
        <v>476</v>
      </c>
      <c r="Q4" s="3901"/>
      <c r="R4" s="3906" t="s">
        <v>472</v>
      </c>
      <c r="S4" s="3907"/>
      <c r="T4" s="3906" t="s">
        <v>473</v>
      </c>
      <c r="U4" s="3907"/>
      <c r="V4" s="3893" t="s">
        <v>474</v>
      </c>
      <c r="W4" s="3893"/>
      <c r="X4" s="1380"/>
      <c r="Y4" s="3906" t="s">
        <v>476</v>
      </c>
      <c r="Z4" s="3907"/>
      <c r="AA4" s="3895" t="s">
        <v>472</v>
      </c>
      <c r="AB4" s="3895" t="s">
        <v>473</v>
      </c>
      <c r="AC4" s="3895" t="s">
        <v>474</v>
      </c>
    </row>
    <row r="5" spans="1:29" ht="15">
      <c r="A5" s="485"/>
      <c r="B5" s="486"/>
      <c r="C5" s="3914" t="s">
        <v>2190</v>
      </c>
      <c r="D5" s="3915"/>
      <c r="E5" s="3935" t="s">
        <v>2191</v>
      </c>
      <c r="F5" s="3936"/>
      <c r="G5" s="3914" t="s">
        <v>2192</v>
      </c>
      <c r="H5" s="3915"/>
      <c r="I5" s="3914" t="s">
        <v>2193</v>
      </c>
      <c r="J5" s="3915"/>
      <c r="K5" s="484"/>
      <c r="L5" s="1856"/>
      <c r="M5" s="1857"/>
      <c r="N5" s="1857"/>
      <c r="O5" s="1857"/>
      <c r="P5" s="4022"/>
      <c r="Q5" s="3903"/>
      <c r="R5" s="3908"/>
      <c r="S5" s="3909"/>
      <c r="T5" s="3908"/>
      <c r="U5" s="3909"/>
      <c r="V5" s="3893"/>
      <c r="W5" s="3893"/>
      <c r="X5" s="1380"/>
      <c r="Y5" s="3908"/>
      <c r="Z5" s="3909"/>
      <c r="AA5" s="3896"/>
      <c r="AB5" s="3896"/>
      <c r="AC5" s="3896"/>
    </row>
    <row r="6" spans="1:29" ht="15.75" thickBot="1">
      <c r="A6" s="487"/>
      <c r="B6" s="488"/>
      <c r="C6" s="3912" t="s">
        <v>2194</v>
      </c>
      <c r="D6" s="3913"/>
      <c r="E6" s="3931" t="s">
        <v>2194</v>
      </c>
      <c r="F6" s="3932"/>
      <c r="G6" s="3912" t="s">
        <v>2194</v>
      </c>
      <c r="H6" s="3913"/>
      <c r="I6" s="3912" t="s">
        <v>2194</v>
      </c>
      <c r="J6" s="3913"/>
      <c r="K6" s="484" t="s">
        <v>477</v>
      </c>
      <c r="L6" s="1856"/>
      <c r="M6" s="1857"/>
      <c r="N6" s="1857"/>
      <c r="O6" s="1857"/>
      <c r="P6" s="4023"/>
      <c r="Q6" s="3905"/>
      <c r="R6" s="3908"/>
      <c r="S6" s="3909"/>
      <c r="T6" s="3910"/>
      <c r="U6" s="3911"/>
      <c r="V6" s="3893"/>
      <c r="W6" s="3893"/>
      <c r="X6" s="1380"/>
      <c r="Y6" s="3910"/>
      <c r="Z6" s="3911"/>
      <c r="AA6" s="3897"/>
      <c r="AB6" s="3897"/>
      <c r="AC6" s="3897"/>
    </row>
    <row r="7" spans="1:29" s="1118" customFormat="1" ht="15.75" thickBot="1">
      <c r="A7" s="2391"/>
      <c r="B7" s="2398" t="s">
        <v>478</v>
      </c>
      <c r="C7" s="489">
        <f>'数据-取费表'!B2</f>
        <v>45248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4" t="s">
        <v>479</v>
      </c>
      <c r="Q7" s="3924"/>
      <c r="R7" s="1381" t="s">
        <v>5</v>
      </c>
      <c r="S7" s="1382">
        <f t="shared" ref="S7:S15" si="0">F7</f>
        <v>0</v>
      </c>
      <c r="T7" s="1381" t="s">
        <v>5</v>
      </c>
      <c r="U7" s="1382">
        <f t="shared" ref="U7:U15" si="1">H7</f>
        <v>0</v>
      </c>
      <c r="V7" s="1381" t="s">
        <v>5</v>
      </c>
      <c r="W7" s="1382">
        <f t="shared" ref="W7:W15"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4" t="s">
        <v>482</v>
      </c>
      <c r="Q8" s="3923"/>
      <c r="R8" s="1381" t="s">
        <v>5</v>
      </c>
      <c r="S8" s="1382">
        <f t="shared" si="0"/>
        <v>0</v>
      </c>
      <c r="T8" s="1381" t="s">
        <v>5</v>
      </c>
      <c r="U8" s="1382">
        <f t="shared" si="1"/>
        <v>0</v>
      </c>
      <c r="V8" s="1381" t="s">
        <v>5</v>
      </c>
      <c r="W8" s="1382">
        <f t="shared" si="2"/>
        <v>0</v>
      </c>
      <c r="X8" s="1383"/>
      <c r="Y8" s="3922" t="s">
        <v>482</v>
      </c>
      <c r="Z8" s="3923"/>
      <c r="AA8" s="1384" t="e">
        <f t="shared" ref="AA8:AA47" si="3">D8/F8</f>
        <v>#DIV/0!</v>
      </c>
      <c r="AB8" s="1384" t="e">
        <f t="shared" ref="AB8:AB47" si="4">D8/H8</f>
        <v>#DIV/0!</v>
      </c>
      <c r="AC8" s="1384"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2" t="s">
        <v>484</v>
      </c>
      <c r="Q9" s="1050" t="str">
        <f t="shared" ref="Q9:Q15" si="6">B9</f>
        <v>用途</v>
      </c>
      <c r="R9" s="1381" t="s">
        <v>5</v>
      </c>
      <c r="S9" s="1382">
        <f t="shared" si="0"/>
        <v>100</v>
      </c>
      <c r="T9" s="1381" t="s">
        <v>5</v>
      </c>
      <c r="U9" s="1382">
        <f t="shared" si="1"/>
        <v>100</v>
      </c>
      <c r="V9" s="1381" t="s">
        <v>5</v>
      </c>
      <c r="W9" s="1382">
        <f t="shared" si="2"/>
        <v>100</v>
      </c>
      <c r="X9" s="1383"/>
      <c r="Y9" s="3834"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2"/>
      <c r="Q11" s="1050" t="str">
        <f t="shared" si="6"/>
        <v>容积率</v>
      </c>
      <c r="R11" s="1381" t="s">
        <v>5</v>
      </c>
      <c r="S11" s="1382" t="e">
        <f t="shared" si="0"/>
        <v>#N/A</v>
      </c>
      <c r="T11" s="1381" t="s">
        <v>5</v>
      </c>
      <c r="U11" s="1382" t="e">
        <f t="shared" si="1"/>
        <v>#N/A</v>
      </c>
      <c r="V11" s="1381" t="s">
        <v>5</v>
      </c>
      <c r="W11" s="1382" t="e">
        <f t="shared" si="2"/>
        <v>#N/A</v>
      </c>
      <c r="X11" s="1383"/>
      <c r="Y11" s="383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2"/>
      <c r="Q12" s="1050">
        <f t="shared" si="6"/>
        <v>111</v>
      </c>
      <c r="R12" s="1381" t="s">
        <v>5</v>
      </c>
      <c r="S12" s="1382">
        <f t="shared" si="0"/>
        <v>100</v>
      </c>
      <c r="T12" s="1381" t="s">
        <v>5</v>
      </c>
      <c r="U12" s="1382">
        <f t="shared" si="1"/>
        <v>100</v>
      </c>
      <c r="V12" s="1381" t="s">
        <v>5</v>
      </c>
      <c r="W12" s="1382">
        <f t="shared" si="2"/>
        <v>100</v>
      </c>
      <c r="X12" s="1383"/>
      <c r="Y12" s="3834"/>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2"/>
      <c r="Q13" s="1050">
        <f t="shared" si="6"/>
        <v>111</v>
      </c>
      <c r="R13" s="1381" t="s">
        <v>5</v>
      </c>
      <c r="S13" s="1382">
        <f t="shared" si="0"/>
        <v>100</v>
      </c>
      <c r="T13" s="1381" t="s">
        <v>5</v>
      </c>
      <c r="U13" s="1382">
        <f t="shared" si="1"/>
        <v>100</v>
      </c>
      <c r="V13" s="1381" t="s">
        <v>5</v>
      </c>
      <c r="W13" s="1382">
        <f t="shared" si="2"/>
        <v>100</v>
      </c>
      <c r="X13" s="1383"/>
      <c r="Y13" s="3834"/>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2"/>
      <c r="Q14" s="1050">
        <f t="shared" si="6"/>
        <v>111</v>
      </c>
      <c r="R14" s="1381" t="s">
        <v>5</v>
      </c>
      <c r="S14" s="1382">
        <f t="shared" si="0"/>
        <v>100</v>
      </c>
      <c r="T14" s="1381" t="s">
        <v>5</v>
      </c>
      <c r="U14" s="1382">
        <f t="shared" si="1"/>
        <v>100</v>
      </c>
      <c r="V14" s="1381" t="s">
        <v>5</v>
      </c>
      <c r="W14" s="1382">
        <f t="shared" si="2"/>
        <v>100</v>
      </c>
      <c r="X14" s="1383"/>
      <c r="Y14" s="3834"/>
      <c r="Z14" s="1049">
        <f t="shared" si="7"/>
        <v>111</v>
      </c>
      <c r="AA14" s="1384">
        <f t="shared" si="3"/>
        <v>1</v>
      </c>
      <c r="AB14" s="1384">
        <f t="shared" si="4"/>
        <v>1</v>
      </c>
      <c r="AC14" s="1384">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5" t="s">
        <v>489</v>
      </c>
      <c r="Q15" s="1385" t="str">
        <f t="shared" si="6"/>
        <v>办公集聚程度</v>
      </c>
      <c r="R15" s="1386" t="s">
        <v>5</v>
      </c>
      <c r="S15" s="1387">
        <f t="shared" si="0"/>
        <v>100</v>
      </c>
      <c r="T15" s="1386" t="s">
        <v>5</v>
      </c>
      <c r="U15" s="1387">
        <f t="shared" si="1"/>
        <v>100</v>
      </c>
      <c r="V15" s="1386" t="s">
        <v>5</v>
      </c>
      <c r="W15" s="1387">
        <f t="shared" si="2"/>
        <v>100</v>
      </c>
      <c r="X15" s="1380"/>
      <c r="Y15" s="392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6"/>
      <c r="Q16" s="1385"/>
      <c r="R16" s="1386"/>
      <c r="S16" s="1387"/>
      <c r="T16" s="1386"/>
      <c r="U16" s="1387"/>
      <c r="V16" s="1386"/>
      <c r="W16" s="1387"/>
      <c r="X16" s="1380"/>
      <c r="Y16" s="392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6"/>
      <c r="Q17" s="1385" t="str">
        <f>B17</f>
        <v>交通便捷度</v>
      </c>
      <c r="R17" s="1386" t="s">
        <v>5</v>
      </c>
      <c r="S17" s="1387">
        <f>F17</f>
        <v>100</v>
      </c>
      <c r="T17" s="1386" t="s">
        <v>5</v>
      </c>
      <c r="U17" s="1387">
        <f>H17</f>
        <v>100</v>
      </c>
      <c r="V17" s="1386" t="s">
        <v>5</v>
      </c>
      <c r="W17" s="1387">
        <f>J17</f>
        <v>100</v>
      </c>
      <c r="X17" s="1380"/>
      <c r="Y17" s="392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6"/>
      <c r="Q18" s="1385"/>
      <c r="R18" s="1386"/>
      <c r="S18" s="1387"/>
      <c r="T18" s="1386"/>
      <c r="U18" s="1387"/>
      <c r="V18" s="1386"/>
      <c r="W18" s="1387"/>
      <c r="X18" s="1380"/>
      <c r="Y18" s="3926"/>
      <c r="Z18" s="1388"/>
      <c r="AA18" s="1389">
        <v>1</v>
      </c>
      <c r="AB18" s="1389">
        <v>1</v>
      </c>
      <c r="AC18" s="1389">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6"/>
      <c r="Q19" s="1385" t="str">
        <f>B19</f>
        <v>公共配套设施</v>
      </c>
      <c r="R19" s="1386" t="s">
        <v>5</v>
      </c>
      <c r="S19" s="1387">
        <f>F19</f>
        <v>100</v>
      </c>
      <c r="T19" s="1386" t="s">
        <v>5</v>
      </c>
      <c r="U19" s="1387">
        <f>H19</f>
        <v>100</v>
      </c>
      <c r="V19" s="1386" t="s">
        <v>5</v>
      </c>
      <c r="W19" s="1387">
        <f>J19</f>
        <v>100</v>
      </c>
      <c r="X19" s="1380"/>
      <c r="Y19" s="392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6"/>
      <c r="Q20" s="1385"/>
      <c r="R20" s="1386"/>
      <c r="S20" s="1387"/>
      <c r="T20" s="1386"/>
      <c r="U20" s="1387"/>
      <c r="V20" s="1386"/>
      <c r="W20" s="1387"/>
      <c r="X20" s="1380"/>
      <c r="Y20" s="3926"/>
      <c r="Z20" s="1388"/>
      <c r="AA20" s="1389">
        <v>1</v>
      </c>
      <c r="AB20" s="1389">
        <v>1</v>
      </c>
      <c r="AC20" s="1389">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6"/>
      <c r="Q21" s="2192" t="str">
        <f>B21</f>
        <v>基础设施水平</v>
      </c>
      <c r="R21" s="1386" t="s">
        <v>5</v>
      </c>
      <c r="S21" s="1387">
        <f>F21</f>
        <v>100</v>
      </c>
      <c r="T21" s="1386" t="s">
        <v>5</v>
      </c>
      <c r="U21" s="1387">
        <f>H21</f>
        <v>100</v>
      </c>
      <c r="V21" s="1386" t="s">
        <v>5</v>
      </c>
      <c r="W21" s="1387">
        <f>J21</f>
        <v>100</v>
      </c>
      <c r="X21" s="2194"/>
      <c r="Y21" s="3926"/>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926"/>
      <c r="Q22" s="2192"/>
      <c r="R22" s="1386"/>
      <c r="S22" s="1387"/>
      <c r="T22" s="1386"/>
      <c r="U22" s="1387"/>
      <c r="V22" s="1386"/>
      <c r="W22" s="1387"/>
      <c r="X22" s="2194"/>
      <c r="Y22" s="3926"/>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6"/>
      <c r="Q23" s="1385" t="str">
        <f>B23</f>
        <v>环境质量</v>
      </c>
      <c r="R23" s="1386" t="s">
        <v>5</v>
      </c>
      <c r="S23" s="1387">
        <f>F23</f>
        <v>100</v>
      </c>
      <c r="T23" s="1386" t="s">
        <v>5</v>
      </c>
      <c r="U23" s="1387">
        <f>H23</f>
        <v>100</v>
      </c>
      <c r="V23" s="1386" t="s">
        <v>5</v>
      </c>
      <c r="W23" s="1387">
        <f>J23</f>
        <v>100</v>
      </c>
      <c r="X23" s="1380"/>
      <c r="Y23" s="392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6"/>
      <c r="Q24" s="1385"/>
      <c r="R24" s="1386"/>
      <c r="S24" s="1387"/>
      <c r="T24" s="1386"/>
      <c r="U24" s="1387"/>
      <c r="V24" s="1386"/>
      <c r="W24" s="1387"/>
      <c r="X24" s="1380"/>
      <c r="Y24" s="392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6"/>
      <c r="Q25" s="1385" t="str">
        <f>B25</f>
        <v>毗邻道路的类型与等级</v>
      </c>
      <c r="R25" s="1386" t="s">
        <v>5</v>
      </c>
      <c r="S25" s="1387">
        <f>F25</f>
        <v>100</v>
      </c>
      <c r="T25" s="1386" t="s">
        <v>5</v>
      </c>
      <c r="U25" s="1387">
        <f>H25</f>
        <v>100</v>
      </c>
      <c r="V25" s="1386" t="s">
        <v>5</v>
      </c>
      <c r="W25" s="1387">
        <f>J25</f>
        <v>100</v>
      </c>
      <c r="X25" s="1380"/>
      <c r="Y25" s="392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6"/>
      <c r="Q26" s="1385"/>
      <c r="R26" s="1386"/>
      <c r="S26" s="1387"/>
      <c r="T26" s="1386"/>
      <c r="U26" s="1387"/>
      <c r="V26" s="1386"/>
      <c r="W26" s="1387"/>
      <c r="X26" s="1380"/>
      <c r="Y26" s="392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6"/>
      <c r="Q27" s="1385" t="str">
        <f t="shared" ref="Q27:Q47" si="8">B27</f>
        <v>楼层</v>
      </c>
      <c r="R27" s="1386" t="s">
        <v>5</v>
      </c>
      <c r="S27" s="1387">
        <f>F27</f>
        <v>100</v>
      </c>
      <c r="T27" s="1386" t="s">
        <v>5</v>
      </c>
      <c r="U27" s="1387">
        <f>H27</f>
        <v>100</v>
      </c>
      <c r="V27" s="1386" t="s">
        <v>5</v>
      </c>
      <c r="W27" s="1387">
        <f>J27</f>
        <v>100</v>
      </c>
      <c r="X27" s="1380"/>
      <c r="Y27" s="392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6"/>
      <c r="Q28" s="1050" t="str">
        <f t="shared" si="8"/>
        <v>朝向</v>
      </c>
      <c r="R28" s="1381" t="s">
        <v>5</v>
      </c>
      <c r="S28" s="1382">
        <f>F28</f>
        <v>100</v>
      </c>
      <c r="T28" s="1381" t="s">
        <v>5</v>
      </c>
      <c r="U28" s="1382">
        <f>H28</f>
        <v>100</v>
      </c>
      <c r="V28" s="1381" t="s">
        <v>5</v>
      </c>
      <c r="W28" s="1382">
        <f>J28</f>
        <v>100</v>
      </c>
      <c r="X28" s="1383"/>
      <c r="Y28" s="392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6"/>
      <c r="Q29" s="1385">
        <f t="shared" si="8"/>
        <v>111</v>
      </c>
      <c r="R29" s="1386" t="s">
        <v>5</v>
      </c>
      <c r="S29" s="1387">
        <f t="shared" ref="S29:S47" si="9">F29</f>
        <v>100</v>
      </c>
      <c r="T29" s="1386" t="s">
        <v>5</v>
      </c>
      <c r="U29" s="1387">
        <f t="shared" ref="U29:U47" si="10">H29</f>
        <v>100</v>
      </c>
      <c r="V29" s="1386" t="s">
        <v>5</v>
      </c>
      <c r="W29" s="1387">
        <f t="shared" ref="W29:W47" si="11">J29</f>
        <v>100</v>
      </c>
      <c r="X29" s="1380"/>
      <c r="Y29" s="392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6"/>
      <c r="Q30" s="1385">
        <f t="shared" si="8"/>
        <v>111</v>
      </c>
      <c r="R30" s="1386" t="s">
        <v>5</v>
      </c>
      <c r="S30" s="1387">
        <f t="shared" si="9"/>
        <v>100</v>
      </c>
      <c r="T30" s="1386" t="s">
        <v>5</v>
      </c>
      <c r="U30" s="1387">
        <f t="shared" si="10"/>
        <v>100</v>
      </c>
      <c r="V30" s="1386" t="s">
        <v>5</v>
      </c>
      <c r="W30" s="1387">
        <f t="shared" si="11"/>
        <v>100</v>
      </c>
      <c r="X30" s="1380"/>
      <c r="Y30" s="392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6"/>
      <c r="Q31" s="1385">
        <f t="shared" si="8"/>
        <v>111</v>
      </c>
      <c r="R31" s="1386" t="s">
        <v>5</v>
      </c>
      <c r="S31" s="1387">
        <f t="shared" si="9"/>
        <v>100</v>
      </c>
      <c r="T31" s="1386" t="s">
        <v>5</v>
      </c>
      <c r="U31" s="1387">
        <f t="shared" si="10"/>
        <v>100</v>
      </c>
      <c r="V31" s="1386" t="s">
        <v>5</v>
      </c>
      <c r="W31" s="1387">
        <f t="shared" si="11"/>
        <v>100</v>
      </c>
      <c r="X31" s="1380"/>
      <c r="Y31" s="392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6"/>
      <c r="Q32" s="1385">
        <f t="shared" si="8"/>
        <v>111</v>
      </c>
      <c r="R32" s="1386" t="s">
        <v>5</v>
      </c>
      <c r="S32" s="1387">
        <f t="shared" si="9"/>
        <v>100</v>
      </c>
      <c r="T32" s="1386" t="s">
        <v>5</v>
      </c>
      <c r="U32" s="1387">
        <f t="shared" si="10"/>
        <v>100</v>
      </c>
      <c r="V32" s="1386" t="s">
        <v>5</v>
      </c>
      <c r="W32" s="1387">
        <f t="shared" si="11"/>
        <v>100</v>
      </c>
      <c r="X32" s="1380"/>
      <c r="Y32" s="3926"/>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7" t="s">
        <v>499</v>
      </c>
      <c r="Q33" s="1385" t="str">
        <f t="shared" si="8"/>
        <v>建筑类型</v>
      </c>
      <c r="R33" s="1386" t="s">
        <v>5</v>
      </c>
      <c r="S33" s="1387">
        <f t="shared" si="9"/>
        <v>100</v>
      </c>
      <c r="T33" s="1386" t="s">
        <v>5</v>
      </c>
      <c r="U33" s="1387">
        <f t="shared" si="10"/>
        <v>100</v>
      </c>
      <c r="V33" s="1386" t="s">
        <v>5</v>
      </c>
      <c r="W33" s="1387">
        <f t="shared" si="11"/>
        <v>100</v>
      </c>
      <c r="X33" s="1380"/>
      <c r="Y33" s="392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8"/>
      <c r="Q34" s="1414" t="str">
        <f t="shared" si="8"/>
        <v>项目建筑规模</v>
      </c>
      <c r="R34" s="1390" t="s">
        <v>5</v>
      </c>
      <c r="S34" s="1391" t="e">
        <f t="shared" si="9"/>
        <v>#N/A</v>
      </c>
      <c r="T34" s="1390" t="s">
        <v>5</v>
      </c>
      <c r="U34" s="1391" t="e">
        <f t="shared" si="10"/>
        <v>#N/A</v>
      </c>
      <c r="V34" s="1390" t="s">
        <v>5</v>
      </c>
      <c r="W34" s="1391" t="e">
        <f t="shared" si="11"/>
        <v>#N/A</v>
      </c>
      <c r="X34" s="1392"/>
      <c r="Y34" s="392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8"/>
      <c r="Q35" s="1385" t="str">
        <f t="shared" si="8"/>
        <v>建筑结构</v>
      </c>
      <c r="R35" s="1386" t="s">
        <v>5</v>
      </c>
      <c r="S35" s="1387">
        <f t="shared" si="9"/>
        <v>100</v>
      </c>
      <c r="T35" s="1386" t="s">
        <v>5</v>
      </c>
      <c r="U35" s="1387">
        <f t="shared" si="10"/>
        <v>100</v>
      </c>
      <c r="V35" s="1386" t="s">
        <v>5</v>
      </c>
      <c r="W35" s="1387">
        <f t="shared" si="11"/>
        <v>100</v>
      </c>
      <c r="X35" s="1380"/>
      <c r="Y35" s="392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8"/>
      <c r="Q36" s="1385" t="str">
        <f t="shared" si="8"/>
        <v>公共部分装修</v>
      </c>
      <c r="R36" s="1386" t="s">
        <v>5</v>
      </c>
      <c r="S36" s="1387">
        <f t="shared" si="9"/>
        <v>100</v>
      </c>
      <c r="T36" s="1386" t="s">
        <v>5</v>
      </c>
      <c r="U36" s="1387">
        <f t="shared" si="10"/>
        <v>100</v>
      </c>
      <c r="V36" s="1386" t="s">
        <v>5</v>
      </c>
      <c r="W36" s="1387">
        <f t="shared" si="11"/>
        <v>100</v>
      </c>
      <c r="X36" s="1380"/>
      <c r="Y36" s="392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8"/>
      <c r="Q37" s="1385" t="str">
        <f t="shared" si="8"/>
        <v>成新度</v>
      </c>
      <c r="R37" s="1386" t="s">
        <v>5</v>
      </c>
      <c r="S37" s="1387" t="e">
        <f t="shared" si="9"/>
        <v>#N/A</v>
      </c>
      <c r="T37" s="1386" t="s">
        <v>5</v>
      </c>
      <c r="U37" s="1387" t="e">
        <f t="shared" si="10"/>
        <v>#N/A</v>
      </c>
      <c r="V37" s="1386" t="s">
        <v>5</v>
      </c>
      <c r="W37" s="1387" t="e">
        <f t="shared" si="11"/>
        <v>#N/A</v>
      </c>
      <c r="X37" s="1380"/>
      <c r="Y37" s="392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8"/>
      <c r="Q38" s="1050" t="str">
        <f t="shared" si="8"/>
        <v>写字楼等级</v>
      </c>
      <c r="R38" s="1381" t="s">
        <v>5</v>
      </c>
      <c r="S38" s="1382">
        <f t="shared" si="9"/>
        <v>100</v>
      </c>
      <c r="T38" s="1381" t="s">
        <v>5</v>
      </c>
      <c r="U38" s="1382">
        <f t="shared" si="10"/>
        <v>100</v>
      </c>
      <c r="V38" s="1381" t="s">
        <v>5</v>
      </c>
      <c r="W38" s="1382">
        <f t="shared" si="11"/>
        <v>100</v>
      </c>
      <c r="X38" s="1383"/>
      <c r="Y38" s="392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8" t="s">
        <v>499</v>
      </c>
      <c r="Q39" s="1385" t="str">
        <f t="shared" si="8"/>
        <v>物业管理</v>
      </c>
      <c r="R39" s="1386" t="s">
        <v>5</v>
      </c>
      <c r="S39" s="1387">
        <f t="shared" si="9"/>
        <v>100</v>
      </c>
      <c r="T39" s="1386" t="s">
        <v>5</v>
      </c>
      <c r="U39" s="1387">
        <f t="shared" si="10"/>
        <v>100</v>
      </c>
      <c r="V39" s="1386" t="s">
        <v>5</v>
      </c>
      <c r="W39" s="1387">
        <f t="shared" si="11"/>
        <v>100</v>
      </c>
      <c r="X39" s="1380"/>
      <c r="Y39" s="392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8"/>
      <c r="Q40" s="1385" t="str">
        <f t="shared" si="8"/>
        <v>市政基础设施</v>
      </c>
      <c r="R40" s="1386" t="s">
        <v>5</v>
      </c>
      <c r="S40" s="1387">
        <f t="shared" si="9"/>
        <v>100</v>
      </c>
      <c r="T40" s="1386" t="s">
        <v>5</v>
      </c>
      <c r="U40" s="1387">
        <f t="shared" si="10"/>
        <v>100</v>
      </c>
      <c r="V40" s="1386" t="s">
        <v>5</v>
      </c>
      <c r="W40" s="1387">
        <f t="shared" si="11"/>
        <v>100</v>
      </c>
      <c r="X40" s="1380"/>
      <c r="Y40" s="392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8"/>
      <c r="Q41" s="1385" t="str">
        <f t="shared" si="8"/>
        <v>层高</v>
      </c>
      <c r="R41" s="1386" t="s">
        <v>5</v>
      </c>
      <c r="S41" s="1387">
        <f t="shared" si="9"/>
        <v>100</v>
      </c>
      <c r="T41" s="1386" t="s">
        <v>5</v>
      </c>
      <c r="U41" s="1387">
        <f t="shared" si="10"/>
        <v>100</v>
      </c>
      <c r="V41" s="1386" t="s">
        <v>5</v>
      </c>
      <c r="W41" s="1387">
        <f t="shared" si="11"/>
        <v>100</v>
      </c>
      <c r="X41" s="1380"/>
      <c r="Y41" s="392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8"/>
      <c r="Q42" s="1414" t="str">
        <f t="shared" si="8"/>
        <v>单套建筑面积</v>
      </c>
      <c r="R42" s="1390" t="s">
        <v>5</v>
      </c>
      <c r="S42" s="1391">
        <f t="shared" si="9"/>
        <v>100</v>
      </c>
      <c r="T42" s="1390" t="s">
        <v>5</v>
      </c>
      <c r="U42" s="1391">
        <f t="shared" si="10"/>
        <v>100</v>
      </c>
      <c r="V42" s="1390" t="s">
        <v>5</v>
      </c>
      <c r="W42" s="1391">
        <f t="shared" si="11"/>
        <v>100</v>
      </c>
      <c r="X42" s="1392"/>
      <c r="Y42" s="392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8"/>
      <c r="Q43" s="1385" t="str">
        <f t="shared" si="8"/>
        <v>内部装修</v>
      </c>
      <c r="R43" s="1386" t="s">
        <v>5</v>
      </c>
      <c r="S43" s="1387">
        <f t="shared" si="9"/>
        <v>100</v>
      </c>
      <c r="T43" s="1386" t="s">
        <v>5</v>
      </c>
      <c r="U43" s="1387">
        <f t="shared" si="10"/>
        <v>100</v>
      </c>
      <c r="V43" s="1386" t="s">
        <v>5</v>
      </c>
      <c r="W43" s="1387">
        <f t="shared" si="11"/>
        <v>100</v>
      </c>
      <c r="X43" s="1380"/>
      <c r="Y43" s="392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8"/>
      <c r="Q44" s="1385" t="str">
        <f t="shared" si="8"/>
        <v>内部装修维护情况</v>
      </c>
      <c r="R44" s="1386" t="s">
        <v>5</v>
      </c>
      <c r="S44" s="1387">
        <f t="shared" si="9"/>
        <v>100</v>
      </c>
      <c r="T44" s="1386" t="s">
        <v>5</v>
      </c>
      <c r="U44" s="1387">
        <f t="shared" si="10"/>
        <v>100</v>
      </c>
      <c r="V44" s="1386" t="s">
        <v>5</v>
      </c>
      <c r="W44" s="1387">
        <f t="shared" si="11"/>
        <v>100</v>
      </c>
      <c r="X44" s="1380"/>
      <c r="Y44" s="392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8"/>
      <c r="Q45" s="1050">
        <f t="shared" si="8"/>
        <v>111</v>
      </c>
      <c r="R45" s="1381" t="s">
        <v>5</v>
      </c>
      <c r="S45" s="1382">
        <f t="shared" si="9"/>
        <v>100</v>
      </c>
      <c r="T45" s="1381" t="s">
        <v>5</v>
      </c>
      <c r="U45" s="1382">
        <f t="shared" si="10"/>
        <v>100</v>
      </c>
      <c r="V45" s="1381" t="s">
        <v>5</v>
      </c>
      <c r="W45" s="1382">
        <f t="shared" si="11"/>
        <v>100</v>
      </c>
      <c r="X45" s="1383"/>
      <c r="Y45" s="392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8"/>
      <c r="Q46" s="1385">
        <f t="shared" si="8"/>
        <v>111</v>
      </c>
      <c r="R46" s="1386" t="s">
        <v>5</v>
      </c>
      <c r="S46" s="1387">
        <f t="shared" si="9"/>
        <v>100</v>
      </c>
      <c r="T46" s="1386" t="s">
        <v>5</v>
      </c>
      <c r="U46" s="1387">
        <f t="shared" si="10"/>
        <v>100</v>
      </c>
      <c r="V46" s="1386" t="s">
        <v>5</v>
      </c>
      <c r="W46" s="1387">
        <f t="shared" si="11"/>
        <v>100</v>
      </c>
      <c r="X46" s="1380"/>
      <c r="Y46" s="392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19"/>
      <c r="Q47" s="1385">
        <f t="shared" si="8"/>
        <v>111</v>
      </c>
      <c r="R47" s="1386" t="s">
        <v>5</v>
      </c>
      <c r="S47" s="1387">
        <f t="shared" si="9"/>
        <v>100</v>
      </c>
      <c r="T47" s="1386" t="s">
        <v>5</v>
      </c>
      <c r="U47" s="1387">
        <f t="shared" si="10"/>
        <v>100</v>
      </c>
      <c r="V47" s="1386" t="s">
        <v>5</v>
      </c>
      <c r="W47" s="1387">
        <f t="shared" si="11"/>
        <v>100</v>
      </c>
      <c r="X47" s="1380"/>
      <c r="Y47" s="4019"/>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7"/>
      <c r="M48" s="1857"/>
      <c r="N48" s="1857"/>
      <c r="O48" s="1857"/>
      <c r="P48" s="3930" t="str">
        <f>A48</f>
        <v>成交单价（元/平方米）</v>
      </c>
      <c r="Q48" s="3892"/>
      <c r="R48" s="4018">
        <f>E48</f>
        <v>0</v>
      </c>
      <c r="S48" s="4018"/>
      <c r="T48" s="4018">
        <f>G48</f>
        <v>0</v>
      </c>
      <c r="U48" s="4018"/>
      <c r="V48" s="4018">
        <f>I48</f>
        <v>0</v>
      </c>
      <c r="W48" s="4018"/>
      <c r="X48" s="1375"/>
      <c r="Y48" s="1394"/>
      <c r="Z48" s="1375"/>
      <c r="AA48" s="1375"/>
      <c r="AB48" s="1375"/>
      <c r="AC48" s="1375"/>
    </row>
    <row r="49" spans="1:29" ht="15.7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3930" t="str">
        <f>A49</f>
        <v>比较价格（元/平方米）</v>
      </c>
      <c r="Q49" s="3892"/>
      <c r="R49" s="4018" t="e">
        <f>IF(F1="售价",ROUND(PRODUCT(R48,AA7:AA47),0),ROUND(PRODUCT(R48,AA7:AA47),1))</f>
        <v>#DIV/0!</v>
      </c>
      <c r="S49" s="4018"/>
      <c r="T49" s="4018" t="e">
        <f>IF(F1="售价",ROUND(PRODUCT(T48,AB7:AB47),0),ROUND(PRODUCT(T48,AB7:AB47),1))</f>
        <v>#DIV/0!</v>
      </c>
      <c r="U49" s="4018"/>
      <c r="V49" s="4018" t="e">
        <f>IF(F1="售价",ROUND(PRODUCT(V48,AC7:AC47),0),ROUND(PRODUCT(V48,AC7:AC47),1))</f>
        <v>#DIV/0!</v>
      </c>
      <c r="W49" s="4018"/>
      <c r="X49" s="1375"/>
      <c r="Y49" s="1375"/>
      <c r="Z49" s="1375"/>
      <c r="AA49" s="1375"/>
      <c r="AB49" s="1375"/>
      <c r="AC49" s="1375"/>
    </row>
    <row r="50" spans="1:29" ht="15.75" thickBot="1">
      <c r="A50" s="589" t="s">
        <v>2196</v>
      </c>
      <c r="B50" s="590"/>
      <c r="C50" s="2241" t="e">
        <f>R50</f>
        <v>#DIV/0!</v>
      </c>
      <c r="D50" s="2241"/>
      <c r="E50" s="2241"/>
      <c r="F50" s="2241"/>
      <c r="G50" s="2241"/>
      <c r="H50" s="2241"/>
      <c r="I50" s="2241"/>
      <c r="J50" s="2241"/>
      <c r="K50" s="1420"/>
      <c r="L50" s="1867"/>
      <c r="M50" s="1857"/>
      <c r="N50" s="1857"/>
      <c r="O50" s="1857"/>
      <c r="P50" s="4020" t="str">
        <f>A50</f>
        <v>估价对象XX用房的比较价格（楼面单价，元/平方米）</v>
      </c>
      <c r="Q50" s="3930"/>
      <c r="R50" s="4017" t="e">
        <f>IF(F1="售价",ROUND(IF(D49="简单平均",AVERAGE(R49:V49),R49*F49+T49*H49+V49*J49),0),ROUND(IF(D49="简单平均",AVERAGE(R49:V49),R49*F49+T49*H49+V49*J49),1))</f>
        <v>#DIV/0!</v>
      </c>
      <c r="S50" s="4017"/>
      <c r="T50" s="4017"/>
      <c r="U50" s="4017"/>
      <c r="V50" s="4017"/>
      <c r="W50" s="4017"/>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1" t="str">
        <f>YEAR(C7)&amp;"-"&amp;MONTH(C7)</f>
        <v>2023-11</v>
      </c>
      <c r="D59" s="2283">
        <f>EDATE(C59,-1)</f>
        <v>45200</v>
      </c>
      <c r="E59" s="2283">
        <f t="shared" ref="E59:O59" si="13">EDATE(D59,-1)</f>
        <v>45170</v>
      </c>
      <c r="F59" s="2283">
        <f t="shared" si="13"/>
        <v>45139</v>
      </c>
      <c r="G59" s="2283">
        <f t="shared" si="13"/>
        <v>45108</v>
      </c>
      <c r="H59" s="2283">
        <f t="shared" si="13"/>
        <v>45078</v>
      </c>
      <c r="I59" s="2283">
        <f t="shared" si="13"/>
        <v>45047</v>
      </c>
      <c r="J59" s="2283">
        <f t="shared" si="13"/>
        <v>45017</v>
      </c>
      <c r="K59" s="2283">
        <f t="shared" si="13"/>
        <v>44986</v>
      </c>
      <c r="L59" s="2283">
        <f t="shared" si="13"/>
        <v>44958</v>
      </c>
      <c r="M59" s="2283">
        <f t="shared" si="13"/>
        <v>44927</v>
      </c>
      <c r="N59" s="2283">
        <f t="shared" si="13"/>
        <v>44896</v>
      </c>
      <c r="O59" s="2283">
        <f t="shared" si="13"/>
        <v>44866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0" zoomScaleNormal="50" zoomScaleSheetLayoutView="80" workbookViewId="0">
      <selection activeCell="G37" sqref="G37"/>
    </sheetView>
  </sheetViews>
  <sheetFormatPr defaultColWidth="9" defaultRowHeight="14.25"/>
  <cols>
    <col min="1" max="1" width="13.375" style="1198" customWidth="1"/>
    <col min="2" max="2" width="15.75" style="1198" customWidth="1"/>
    <col min="3" max="3" width="16.8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9524</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8869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8869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898" t="s">
        <v>471</v>
      </c>
      <c r="D6" s="3899"/>
      <c r="E6" s="3933" t="s">
        <v>472</v>
      </c>
      <c r="F6" s="3934"/>
      <c r="G6" s="3898" t="s">
        <v>473</v>
      </c>
      <c r="H6" s="3899"/>
      <c r="I6" s="3898" t="s">
        <v>474</v>
      </c>
      <c r="J6" s="3899"/>
      <c r="K6" s="484" t="s">
        <v>475</v>
      </c>
      <c r="L6" s="1856"/>
      <c r="M6" s="1857"/>
      <c r="N6" s="1857"/>
      <c r="O6" s="1857"/>
      <c r="P6" s="3900" t="s">
        <v>476</v>
      </c>
      <c r="Q6" s="3901"/>
      <c r="R6" s="3906" t="s">
        <v>472</v>
      </c>
      <c r="S6" s="3907"/>
      <c r="T6" s="3906" t="s">
        <v>473</v>
      </c>
      <c r="U6" s="3907"/>
      <c r="V6" s="3893" t="s">
        <v>474</v>
      </c>
      <c r="W6" s="3893"/>
      <c r="X6" s="3664"/>
      <c r="Y6" s="3906" t="s">
        <v>476</v>
      </c>
      <c r="Z6" s="3907"/>
      <c r="AA6" s="3895" t="s">
        <v>472</v>
      </c>
      <c r="AB6" s="3896" t="s">
        <v>473</v>
      </c>
      <c r="AC6" s="3895" t="s">
        <v>474</v>
      </c>
    </row>
    <row r="7" spans="1:29" ht="15">
      <c r="A7" s="485"/>
      <c r="B7" s="486"/>
      <c r="C7" s="3914" t="s">
        <v>2190</v>
      </c>
      <c r="D7" s="3915"/>
      <c r="E7" s="3935" t="str">
        <f>'案例（海淀）'!B3</f>
        <v>永丰产业基地（新）园区土地一级开发项目F1地块</v>
      </c>
      <c r="F7" s="3936"/>
      <c r="G7" s="3914" t="str">
        <f>'案例（海淀）'!B4</f>
        <v>永丰产业基地（新）园区土地一级开发项目F2地块</v>
      </c>
      <c r="H7" s="3915"/>
      <c r="I7" s="3914" t="str">
        <f>'案例（海淀）'!B6</f>
        <v>北部地区温泉镇HD00-0301-6003等地块</v>
      </c>
      <c r="J7" s="3915"/>
      <c r="K7" s="484"/>
      <c r="L7" s="1856"/>
      <c r="M7" s="1857"/>
      <c r="N7" s="1857"/>
      <c r="O7" s="1857"/>
      <c r="P7" s="3902"/>
      <c r="Q7" s="3903"/>
      <c r="R7" s="3908"/>
      <c r="S7" s="3909"/>
      <c r="T7" s="3908"/>
      <c r="U7" s="3909"/>
      <c r="V7" s="3893"/>
      <c r="W7" s="3893"/>
      <c r="X7" s="3664"/>
      <c r="Y7" s="3908"/>
      <c r="Z7" s="3909"/>
      <c r="AA7" s="3896"/>
      <c r="AB7" s="3896"/>
      <c r="AC7" s="3896"/>
    </row>
    <row r="8" spans="1:29" ht="15.75" thickBot="1">
      <c r="A8" s="487"/>
      <c r="B8" s="488"/>
      <c r="C8" s="3912" t="s">
        <v>2194</v>
      </c>
      <c r="D8" s="3913"/>
      <c r="E8" s="3931" t="s">
        <v>2194</v>
      </c>
      <c r="F8" s="3932"/>
      <c r="G8" s="3912" t="s">
        <v>2194</v>
      </c>
      <c r="H8" s="3913"/>
      <c r="I8" s="3912" t="s">
        <v>2194</v>
      </c>
      <c r="J8" s="3913"/>
      <c r="K8" s="484" t="s">
        <v>477</v>
      </c>
      <c r="L8" s="1856"/>
      <c r="M8" s="1857"/>
      <c r="N8" s="1857"/>
      <c r="O8" s="1857"/>
      <c r="P8" s="3904"/>
      <c r="Q8" s="3905"/>
      <c r="R8" s="3908"/>
      <c r="S8" s="3909"/>
      <c r="T8" s="3910"/>
      <c r="U8" s="3911"/>
      <c r="V8" s="3893"/>
      <c r="W8" s="3893"/>
      <c r="X8" s="3664"/>
      <c r="Y8" s="3910"/>
      <c r="Z8" s="3911"/>
      <c r="AA8" s="3897"/>
      <c r="AB8" s="3897"/>
      <c r="AC8" s="3897"/>
    </row>
    <row r="9" spans="1:29" s="1118" customFormat="1" ht="15.75" thickBot="1">
      <c r="A9" s="2391"/>
      <c r="B9" s="2398" t="s">
        <v>478</v>
      </c>
      <c r="C9" s="489">
        <f>'数据-取费表'!B2</f>
        <v>45248</v>
      </c>
      <c r="D9" s="490">
        <v>100</v>
      </c>
      <c r="E9" s="491">
        <f>'案例（海淀）'!I3</f>
        <v>44435</v>
      </c>
      <c r="F9" s="492">
        <f>SUMIF(66:66,YEAR(E9)&amp;"-"&amp;INT((MONTH(E9)+2)/3),67:67)</f>
        <v>97.53</v>
      </c>
      <c r="G9" s="493">
        <f>'案例（海淀）'!I4</f>
        <v>44704</v>
      </c>
      <c r="H9" s="490">
        <f>SUMIF(66:66,YEAR(G9)&amp;"-"&amp;INT((MONTH(G9)+2)/3),67:67)</f>
        <v>98.19</v>
      </c>
      <c r="I9" s="493">
        <f>'案例（海淀）'!I6</f>
        <v>45062</v>
      </c>
      <c r="J9" s="490">
        <f>SUMIF(66:66,YEAR(I9)&amp;"-"&amp;INT((MONTH(I9)+2)/3),67:67)</f>
        <v>99.1</v>
      </c>
      <c r="K9" s="494"/>
      <c r="L9" s="1858"/>
      <c r="M9" s="1859"/>
      <c r="N9" s="1859"/>
      <c r="O9" s="1859"/>
      <c r="P9" s="3922" t="s">
        <v>479</v>
      </c>
      <c r="Q9" s="3924"/>
      <c r="R9" s="1381" t="s">
        <v>5</v>
      </c>
      <c r="S9" s="1382">
        <f t="shared" ref="S9:S17" si="0">F9</f>
        <v>97.53</v>
      </c>
      <c r="T9" s="1381" t="s">
        <v>5</v>
      </c>
      <c r="U9" s="1382">
        <f t="shared" ref="U9:U17" si="1">H9</f>
        <v>98.19</v>
      </c>
      <c r="V9" s="1381" t="s">
        <v>5</v>
      </c>
      <c r="W9" s="1382">
        <f t="shared" ref="W9:W17" si="2">J9</f>
        <v>99.1</v>
      </c>
      <c r="X9" s="1383"/>
      <c r="Y9" s="3922" t="s">
        <v>479</v>
      </c>
      <c r="Z9" s="3923"/>
      <c r="AA9" s="1384">
        <f>D9/F9</f>
        <v>1.0253255408592228</v>
      </c>
      <c r="AB9" s="1384">
        <f>D9/H9</f>
        <v>1.0184336490477646</v>
      </c>
      <c r="AC9" s="1384">
        <f>D9/J9</f>
        <v>1.0090817356205852</v>
      </c>
    </row>
    <row r="10" spans="1:29" s="1118" customFormat="1" ht="15.7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3922" t="s">
        <v>482</v>
      </c>
      <c r="Q10" s="3923"/>
      <c r="R10" s="1381" t="s">
        <v>5</v>
      </c>
      <c r="S10" s="1382">
        <f t="shared" si="0"/>
        <v>100</v>
      </c>
      <c r="T10" s="1381" t="s">
        <v>5</v>
      </c>
      <c r="U10" s="1382">
        <f t="shared" si="1"/>
        <v>100</v>
      </c>
      <c r="V10" s="1381" t="s">
        <v>5</v>
      </c>
      <c r="W10" s="1382">
        <f t="shared" si="2"/>
        <v>100</v>
      </c>
      <c r="X10" s="1383"/>
      <c r="Y10" s="3922" t="s">
        <v>482</v>
      </c>
      <c r="Z10" s="3923"/>
      <c r="AA10" s="1384">
        <f t="shared" ref="AA10:AA42" si="3">D10/F10</f>
        <v>1</v>
      </c>
      <c r="AB10" s="1384">
        <f t="shared" ref="AB10:AB42" si="4">D10/H10</f>
        <v>1</v>
      </c>
      <c r="AC10" s="1384">
        <f t="shared" ref="AC10:AC42" si="5">D10/J10</f>
        <v>1</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2" t="s">
        <v>484</v>
      </c>
      <c r="Q11" s="3661" t="str">
        <f t="shared" ref="Q11:Q17" si="6">B11</f>
        <v>用途</v>
      </c>
      <c r="R11" s="1381" t="s">
        <v>5</v>
      </c>
      <c r="S11" s="1382">
        <f t="shared" si="0"/>
        <v>100</v>
      </c>
      <c r="T11" s="1381" t="s">
        <v>5</v>
      </c>
      <c r="U11" s="1382">
        <f t="shared" si="1"/>
        <v>100</v>
      </c>
      <c r="V11" s="1381" t="s">
        <v>5</v>
      </c>
      <c r="W11" s="1382">
        <f t="shared" si="2"/>
        <v>100</v>
      </c>
      <c r="X11" s="1383"/>
      <c r="Y11" s="3834" t="s">
        <v>485</v>
      </c>
      <c r="Z11" s="3660" t="str">
        <f t="shared" ref="Z11:Z17" si="7">Q11</f>
        <v>用途</v>
      </c>
      <c r="AA11" s="1384">
        <f t="shared" si="3"/>
        <v>1</v>
      </c>
      <c r="AB11" s="1384">
        <f t="shared" si="4"/>
        <v>1</v>
      </c>
      <c r="AC11" s="1384">
        <f t="shared" si="5"/>
        <v>1</v>
      </c>
    </row>
    <row r="12" spans="1:29" s="1199" customFormat="1" ht="27">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2"/>
      <c r="Q12" s="3661" t="str">
        <f t="shared" si="6"/>
        <v>土地使用年限（年）</v>
      </c>
      <c r="R12" s="1381" t="s">
        <v>5</v>
      </c>
      <c r="S12" s="1382">
        <f t="shared" si="0"/>
        <v>100</v>
      </c>
      <c r="T12" s="1381" t="s">
        <v>5</v>
      </c>
      <c r="U12" s="1382">
        <f t="shared" si="1"/>
        <v>100</v>
      </c>
      <c r="V12" s="1381" t="s">
        <v>5</v>
      </c>
      <c r="W12" s="1382">
        <f t="shared" si="2"/>
        <v>100</v>
      </c>
      <c r="X12" s="1383"/>
      <c r="Y12" s="3834"/>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2"/>
      <c r="Q13" s="3661" t="str">
        <f t="shared" si="6"/>
        <v>容积率</v>
      </c>
      <c r="R13" s="1381" t="s">
        <v>5</v>
      </c>
      <c r="S13" s="1382">
        <f t="shared" si="0"/>
        <v>100</v>
      </c>
      <c r="T13" s="1381" t="s">
        <v>5</v>
      </c>
      <c r="U13" s="1382">
        <f t="shared" si="1"/>
        <v>100</v>
      </c>
      <c r="V13" s="1381" t="s">
        <v>5</v>
      </c>
      <c r="W13" s="1382">
        <f t="shared" si="2"/>
        <v>100</v>
      </c>
      <c r="X13" s="1383"/>
      <c r="Y13" s="3834"/>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2"/>
      <c r="Q14" s="3661">
        <f t="shared" si="6"/>
        <v>111</v>
      </c>
      <c r="R14" s="1381" t="s">
        <v>5</v>
      </c>
      <c r="S14" s="1382">
        <f t="shared" si="0"/>
        <v>100</v>
      </c>
      <c r="T14" s="1381" t="s">
        <v>5</v>
      </c>
      <c r="U14" s="1382">
        <f t="shared" si="1"/>
        <v>100</v>
      </c>
      <c r="V14" s="1381" t="s">
        <v>5</v>
      </c>
      <c r="W14" s="1382">
        <f t="shared" si="2"/>
        <v>100</v>
      </c>
      <c r="X14" s="1383"/>
      <c r="Y14" s="3834"/>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2"/>
      <c r="Q15" s="3661">
        <f t="shared" si="6"/>
        <v>111</v>
      </c>
      <c r="R15" s="1381" t="s">
        <v>5</v>
      </c>
      <c r="S15" s="1382">
        <f t="shared" si="0"/>
        <v>100</v>
      </c>
      <c r="T15" s="1381" t="s">
        <v>5</v>
      </c>
      <c r="U15" s="1382">
        <f t="shared" si="1"/>
        <v>100</v>
      </c>
      <c r="V15" s="1381" t="s">
        <v>5</v>
      </c>
      <c r="W15" s="1382">
        <f t="shared" si="2"/>
        <v>100</v>
      </c>
      <c r="X15" s="1383"/>
      <c r="Y15" s="3834"/>
      <c r="Z15" s="3660">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2"/>
      <c r="Q16" s="3661">
        <f t="shared" si="6"/>
        <v>111</v>
      </c>
      <c r="R16" s="1381" t="s">
        <v>5</v>
      </c>
      <c r="S16" s="1382">
        <f t="shared" si="0"/>
        <v>100</v>
      </c>
      <c r="T16" s="1381" t="s">
        <v>5</v>
      </c>
      <c r="U16" s="1382">
        <f t="shared" si="1"/>
        <v>100</v>
      </c>
      <c r="V16" s="1381" t="s">
        <v>5</v>
      </c>
      <c r="W16" s="1382">
        <f t="shared" si="2"/>
        <v>100</v>
      </c>
      <c r="X16" s="1383"/>
      <c r="Y16" s="3834"/>
      <c r="Z16" s="3660">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3925" t="s">
        <v>489</v>
      </c>
      <c r="Q17" s="3662" t="str">
        <f t="shared" si="6"/>
        <v>产业集聚程度</v>
      </c>
      <c r="R17" s="1386" t="s">
        <v>5</v>
      </c>
      <c r="S17" s="1387">
        <f t="shared" si="0"/>
        <v>102</v>
      </c>
      <c r="T17" s="1386" t="s">
        <v>5</v>
      </c>
      <c r="U17" s="1387">
        <f t="shared" si="1"/>
        <v>102</v>
      </c>
      <c r="V17" s="1386" t="s">
        <v>5</v>
      </c>
      <c r="W17" s="1387">
        <f t="shared" si="2"/>
        <v>100</v>
      </c>
      <c r="X17" s="3664"/>
      <c r="Y17" s="3925" t="s">
        <v>489</v>
      </c>
      <c r="Z17" s="3663" t="str">
        <f t="shared" si="7"/>
        <v>产业集聚程度</v>
      </c>
      <c r="AA17" s="3665">
        <f t="shared" si="3"/>
        <v>0.98039215686274506</v>
      </c>
      <c r="AB17" s="3665">
        <f t="shared" si="4"/>
        <v>0.98039215686274506</v>
      </c>
      <c r="AC17" s="3665">
        <f t="shared" si="5"/>
        <v>1</v>
      </c>
    </row>
    <row r="18" spans="1:29" ht="15">
      <c r="A18" s="502"/>
      <c r="B18" s="832"/>
      <c r="C18" s="546" t="s">
        <v>3302</v>
      </c>
      <c r="D18" s="525"/>
      <c r="E18" s="524" t="s">
        <v>3303</v>
      </c>
      <c r="F18" s="525"/>
      <c r="G18" s="524" t="s">
        <v>3303</v>
      </c>
      <c r="H18" s="529"/>
      <c r="I18" s="524" t="s">
        <v>3302</v>
      </c>
      <c r="J18" s="525"/>
      <c r="K18" s="501"/>
      <c r="L18" s="1865"/>
      <c r="M18" s="1857"/>
      <c r="N18" s="1857"/>
      <c r="O18" s="1864"/>
      <c r="P18" s="3926"/>
      <c r="Q18" s="3662"/>
      <c r="R18" s="1386"/>
      <c r="S18" s="1387"/>
      <c r="T18" s="1386"/>
      <c r="U18" s="1387"/>
      <c r="V18" s="1386"/>
      <c r="W18" s="1387"/>
      <c r="X18" s="3664"/>
      <c r="Y18" s="3926"/>
      <c r="Z18" s="3663"/>
      <c r="AA18" s="3665">
        <v>1</v>
      </c>
      <c r="AB18" s="3665">
        <v>1</v>
      </c>
      <c r="AC18" s="3665">
        <v>1</v>
      </c>
    </row>
    <row r="19" spans="1:29" ht="71.2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6"/>
      <c r="Q19" s="3662" t="str">
        <f>B19</f>
        <v>交通便捷度</v>
      </c>
      <c r="R19" s="1386" t="s">
        <v>5</v>
      </c>
      <c r="S19" s="1387">
        <f>F19</f>
        <v>100</v>
      </c>
      <c r="T19" s="1386" t="s">
        <v>5</v>
      </c>
      <c r="U19" s="1387">
        <f>H19</f>
        <v>100</v>
      </c>
      <c r="V19" s="1386" t="s">
        <v>5</v>
      </c>
      <c r="W19" s="1387">
        <f>J19</f>
        <v>100</v>
      </c>
      <c r="X19" s="3664"/>
      <c r="Y19" s="3926"/>
      <c r="Z19" s="3663" t="str">
        <f>Q19</f>
        <v>交通便捷度</v>
      </c>
      <c r="AA19" s="3665">
        <f t="shared" si="3"/>
        <v>1</v>
      </c>
      <c r="AB19" s="3665">
        <f t="shared" si="4"/>
        <v>1</v>
      </c>
      <c r="AC19" s="3665">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3926"/>
      <c r="Q20" s="3662"/>
      <c r="R20" s="1386"/>
      <c r="S20" s="1387"/>
      <c r="T20" s="1386"/>
      <c r="U20" s="1387"/>
      <c r="V20" s="1386"/>
      <c r="W20" s="1387"/>
      <c r="X20" s="3664"/>
      <c r="Y20" s="3926"/>
      <c r="Z20" s="3663"/>
      <c r="AA20" s="3665">
        <v>1</v>
      </c>
      <c r="AB20" s="3665">
        <v>1</v>
      </c>
      <c r="AC20" s="3665">
        <v>1</v>
      </c>
    </row>
    <row r="21" spans="1:29" ht="27">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3926"/>
      <c r="Q21" s="3662" t="str">
        <f t="shared" ref="Q21:Q35" si="8">B21</f>
        <v>区域土地利用方向</v>
      </c>
      <c r="R21" s="1386" t="s">
        <v>5</v>
      </c>
      <c r="S21" s="1387">
        <f>F21</f>
        <v>102</v>
      </c>
      <c r="T21" s="1386" t="s">
        <v>5</v>
      </c>
      <c r="U21" s="1387">
        <f>H21</f>
        <v>102</v>
      </c>
      <c r="V21" s="1386" t="s">
        <v>5</v>
      </c>
      <c r="W21" s="1387">
        <f>J21</f>
        <v>102</v>
      </c>
      <c r="X21" s="3664"/>
      <c r="Y21" s="3926"/>
      <c r="Z21" s="3663" t="str">
        <f>Q21</f>
        <v>区域土地利用方向</v>
      </c>
      <c r="AA21" s="3665">
        <f t="shared" si="3"/>
        <v>0.98039215686274506</v>
      </c>
      <c r="AB21" s="3665">
        <f t="shared" si="4"/>
        <v>0.98039215686274506</v>
      </c>
      <c r="AC21" s="3665">
        <f t="shared" si="5"/>
        <v>0.98039215686274506</v>
      </c>
    </row>
    <row r="22" spans="1:29" ht="15">
      <c r="A22" s="485"/>
      <c r="B22" s="565"/>
      <c r="C22" s="546" t="s">
        <v>3304</v>
      </c>
      <c r="D22" s="525"/>
      <c r="E22" s="526" t="s">
        <v>3303</v>
      </c>
      <c r="F22" s="527"/>
      <c r="G22" s="528" t="s">
        <v>3303</v>
      </c>
      <c r="H22" s="527"/>
      <c r="I22" s="528" t="s">
        <v>3303</v>
      </c>
      <c r="J22" s="527"/>
      <c r="K22" s="1208"/>
      <c r="L22" s="1865"/>
      <c r="M22" s="1857"/>
      <c r="N22" s="1857"/>
      <c r="O22" s="1864"/>
      <c r="P22" s="3926"/>
      <c r="Q22" s="3662"/>
      <c r="R22" s="1386"/>
      <c r="S22" s="1387"/>
      <c r="T22" s="1386"/>
      <c r="U22" s="1387"/>
      <c r="V22" s="1386"/>
      <c r="W22" s="1387"/>
      <c r="X22" s="3664"/>
      <c r="Y22" s="3926"/>
      <c r="Z22" s="3663"/>
      <c r="AA22" s="3665"/>
      <c r="AB22" s="3665"/>
      <c r="AC22" s="3665"/>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6"/>
      <c r="Q23" s="3662" t="str">
        <f t="shared" si="8"/>
        <v>环境状况</v>
      </c>
      <c r="R23" s="1386" t="s">
        <v>5</v>
      </c>
      <c r="S23" s="1387">
        <f>F23</f>
        <v>100</v>
      </c>
      <c r="T23" s="1386" t="s">
        <v>5</v>
      </c>
      <c r="U23" s="1387">
        <f>H23</f>
        <v>100</v>
      </c>
      <c r="V23" s="1386" t="s">
        <v>5</v>
      </c>
      <c r="W23" s="1387">
        <f>J23</f>
        <v>100</v>
      </c>
      <c r="X23" s="3664"/>
      <c r="Y23" s="3926"/>
      <c r="Z23" s="3663" t="str">
        <f>Q23</f>
        <v>环境状况</v>
      </c>
      <c r="AA23" s="3665">
        <f t="shared" si="3"/>
        <v>1</v>
      </c>
      <c r="AB23" s="3665">
        <f t="shared" si="4"/>
        <v>1</v>
      </c>
      <c r="AC23" s="3665">
        <f t="shared" si="5"/>
        <v>1</v>
      </c>
    </row>
    <row r="24" spans="1:29" ht="15">
      <c r="A24" s="485"/>
      <c r="B24" s="565"/>
      <c r="C24" s="546" t="s">
        <v>3303</v>
      </c>
      <c r="D24" s="525"/>
      <c r="E24" s="524" t="s">
        <v>3303</v>
      </c>
      <c r="F24" s="525"/>
      <c r="G24" s="524" t="s">
        <v>3303</v>
      </c>
      <c r="H24" s="525"/>
      <c r="I24" s="546" t="s">
        <v>3303</v>
      </c>
      <c r="J24" s="525"/>
      <c r="K24" s="501"/>
      <c r="L24" s="1865"/>
      <c r="M24" s="1857"/>
      <c r="N24" s="1857"/>
      <c r="O24" s="1864"/>
      <c r="P24" s="3926"/>
      <c r="Q24" s="3662"/>
      <c r="R24" s="1386"/>
      <c r="S24" s="1387"/>
      <c r="T24" s="1386"/>
      <c r="U24" s="1387"/>
      <c r="V24" s="1386"/>
      <c r="W24" s="1387"/>
      <c r="X24" s="3664"/>
      <c r="Y24" s="3926"/>
      <c r="Z24" s="3663"/>
      <c r="AA24" s="3665">
        <v>1</v>
      </c>
      <c r="AB24" s="3665">
        <v>1</v>
      </c>
      <c r="AC24" s="3665">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6"/>
      <c r="Q25" s="3661" t="str">
        <f t="shared" si="8"/>
        <v>公共配套设施</v>
      </c>
      <c r="R25" s="1381" t="s">
        <v>5</v>
      </c>
      <c r="S25" s="1382">
        <f>F25</f>
        <v>100</v>
      </c>
      <c r="T25" s="1381" t="s">
        <v>5</v>
      </c>
      <c r="U25" s="1382">
        <f>H25</f>
        <v>100</v>
      </c>
      <c r="V25" s="1381" t="s">
        <v>5</v>
      </c>
      <c r="W25" s="1382">
        <f>J25</f>
        <v>100</v>
      </c>
      <c r="X25" s="1383"/>
      <c r="Y25" s="3926"/>
      <c r="Z25" s="3660" t="str">
        <f>Q25</f>
        <v>公共配套设施</v>
      </c>
      <c r="AA25" s="3665">
        <f>D25/F25</f>
        <v>1</v>
      </c>
      <c r="AB25" s="3665">
        <f>D25/H25</f>
        <v>1</v>
      </c>
      <c r="AC25" s="3665">
        <f>D25/J25</f>
        <v>1</v>
      </c>
    </row>
    <row r="26" spans="1:29" s="1118" customFormat="1" ht="15">
      <c r="A26" s="547"/>
      <c r="B26" s="565"/>
      <c r="C26" s="2199" t="s">
        <v>3303</v>
      </c>
      <c r="D26" s="525"/>
      <c r="E26" s="524" t="s">
        <v>3303</v>
      </c>
      <c r="F26" s="525"/>
      <c r="G26" s="524" t="s">
        <v>3303</v>
      </c>
      <c r="H26" s="525"/>
      <c r="I26" s="546" t="s">
        <v>3303</v>
      </c>
      <c r="J26" s="525"/>
      <c r="K26" s="501"/>
      <c r="L26" s="1858"/>
      <c r="M26" s="1859"/>
      <c r="N26" s="1859"/>
      <c r="O26" s="1860"/>
      <c r="P26" s="3926"/>
      <c r="Q26" s="3661"/>
      <c r="R26" s="1381"/>
      <c r="S26" s="1382"/>
      <c r="T26" s="1381"/>
      <c r="U26" s="1382"/>
      <c r="V26" s="1381"/>
      <c r="W26" s="1382"/>
      <c r="X26" s="1383"/>
      <c r="Y26" s="3926"/>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6"/>
      <c r="Q27" s="3661" t="str">
        <f>B27</f>
        <v>基础设施水平</v>
      </c>
      <c r="R27" s="1381" t="s">
        <v>5</v>
      </c>
      <c r="S27" s="1382">
        <f>F27</f>
        <v>100</v>
      </c>
      <c r="T27" s="1381" t="s">
        <v>5</v>
      </c>
      <c r="U27" s="1382">
        <f>H27</f>
        <v>100</v>
      </c>
      <c r="V27" s="1381" t="s">
        <v>5</v>
      </c>
      <c r="W27" s="1382">
        <f>J27</f>
        <v>100</v>
      </c>
      <c r="X27" s="1383"/>
      <c r="Y27" s="3926"/>
      <c r="Z27" s="3660" t="str">
        <f>Q27</f>
        <v>基础设施水平</v>
      </c>
      <c r="AA27" s="3665">
        <f>D27/F27</f>
        <v>1</v>
      </c>
      <c r="AB27" s="3665">
        <f>D27/H27</f>
        <v>1</v>
      </c>
      <c r="AC27" s="3665">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3926"/>
      <c r="Q28" s="3661"/>
      <c r="R28" s="1381"/>
      <c r="S28" s="1382"/>
      <c r="T28" s="1381"/>
      <c r="U28" s="1382"/>
      <c r="V28" s="1381"/>
      <c r="W28" s="1382"/>
      <c r="X28" s="1383"/>
      <c r="Y28" s="3926"/>
      <c r="Z28" s="3660"/>
      <c r="AA28" s="1384">
        <v>1</v>
      </c>
      <c r="AB28" s="1384">
        <v>1</v>
      </c>
      <c r="AC28" s="1384">
        <v>1</v>
      </c>
    </row>
    <row r="29" spans="1:29" ht="15">
      <c r="A29" s="502"/>
      <c r="B29" s="565" t="s">
        <v>496</v>
      </c>
      <c r="C29" s="553" t="s">
        <v>3311</v>
      </c>
      <c r="D29" s="510">
        <v>100</v>
      </c>
      <c r="E29" s="550" t="s">
        <v>3310</v>
      </c>
      <c r="F29" s="510">
        <f>SUMIF(96:96,E29,97:97)-SUMIF(96:96,C29,97:97)+100</f>
        <v>102</v>
      </c>
      <c r="G29" s="550" t="s">
        <v>3310</v>
      </c>
      <c r="H29" s="510">
        <f>SUMIF(96:96,G29,97:97)-SUMIF(96:96,C29,97:97)+100</f>
        <v>102</v>
      </c>
      <c r="I29" s="550" t="s">
        <v>3310</v>
      </c>
      <c r="J29" s="510">
        <f>SUMIF(96:96,I29,97:97)-SUMIF(96:96,C29,97:97)+100</f>
        <v>102</v>
      </c>
      <c r="K29" s="505">
        <v>2</v>
      </c>
      <c r="L29" s="1865"/>
      <c r="M29" s="1857"/>
      <c r="N29" s="1857"/>
      <c r="O29" s="1864"/>
      <c r="P29" s="3926"/>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3926"/>
      <c r="Z29" s="3663" t="str">
        <f t="shared" ref="Z29:Z42" si="12">Q29</f>
        <v>临街状况</v>
      </c>
      <c r="AA29" s="3665">
        <f t="shared" si="3"/>
        <v>0.98039215686274506</v>
      </c>
      <c r="AB29" s="3665">
        <f t="shared" si="4"/>
        <v>0.98039215686274506</v>
      </c>
      <c r="AC29" s="3665">
        <f t="shared" si="5"/>
        <v>0.98039215686274506</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6"/>
      <c r="Q30" s="3662" t="str">
        <f t="shared" si="8"/>
        <v>毗邻道路的类型与等级</v>
      </c>
      <c r="R30" s="1386" t="s">
        <v>5</v>
      </c>
      <c r="S30" s="1387">
        <f t="shared" si="9"/>
        <v>100</v>
      </c>
      <c r="T30" s="1386" t="s">
        <v>5</v>
      </c>
      <c r="U30" s="1387">
        <f t="shared" si="10"/>
        <v>100</v>
      </c>
      <c r="V30" s="1386" t="s">
        <v>5</v>
      </c>
      <c r="W30" s="1387">
        <f t="shared" si="11"/>
        <v>100</v>
      </c>
      <c r="X30" s="3664"/>
      <c r="Y30" s="3926"/>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3926"/>
      <c r="Q31" s="3662"/>
      <c r="R31" s="1386"/>
      <c r="S31" s="1387"/>
      <c r="T31" s="1386"/>
      <c r="U31" s="1387"/>
      <c r="V31" s="1386"/>
      <c r="W31" s="1387"/>
      <c r="X31" s="3664"/>
      <c r="Y31" s="3926"/>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100</v>
      </c>
      <c r="K32" s="554">
        <v>0</v>
      </c>
      <c r="L32" s="1865"/>
      <c r="M32" s="1857"/>
      <c r="N32" s="1857"/>
      <c r="O32" s="1864"/>
      <c r="P32" s="3926"/>
      <c r="Q32" s="3662" t="str">
        <f t="shared" si="8"/>
        <v>土地级别</v>
      </c>
      <c r="R32" s="1386" t="s">
        <v>5</v>
      </c>
      <c r="S32" s="1387">
        <f t="shared" si="9"/>
        <v>100</v>
      </c>
      <c r="T32" s="1386" t="s">
        <v>5</v>
      </c>
      <c r="U32" s="1387">
        <f t="shared" si="10"/>
        <v>100</v>
      </c>
      <c r="V32" s="1386" t="s">
        <v>5</v>
      </c>
      <c r="W32" s="1387">
        <f t="shared" si="11"/>
        <v>100</v>
      </c>
      <c r="X32" s="3664"/>
      <c r="Y32" s="3926"/>
      <c r="Z32" s="3663" t="str">
        <f t="shared" si="12"/>
        <v>土地级别</v>
      </c>
      <c r="AA32" s="3665">
        <f t="shared" si="3"/>
        <v>1</v>
      </c>
      <c r="AB32" s="3665">
        <f t="shared" si="4"/>
        <v>1</v>
      </c>
      <c r="AC32" s="3665">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6"/>
      <c r="Q33" s="3662">
        <f t="shared" si="8"/>
        <v>111</v>
      </c>
      <c r="R33" s="1386" t="s">
        <v>5</v>
      </c>
      <c r="S33" s="1387">
        <f t="shared" si="9"/>
        <v>100</v>
      </c>
      <c r="T33" s="1386" t="s">
        <v>5</v>
      </c>
      <c r="U33" s="1387">
        <f t="shared" si="10"/>
        <v>100</v>
      </c>
      <c r="V33" s="1386" t="s">
        <v>5</v>
      </c>
      <c r="W33" s="1387">
        <f t="shared" si="11"/>
        <v>100</v>
      </c>
      <c r="X33" s="3664"/>
      <c r="Y33" s="3926"/>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7" t="s">
        <v>499</v>
      </c>
      <c r="Q34" s="3662">
        <f t="shared" si="8"/>
        <v>111</v>
      </c>
      <c r="R34" s="1386" t="s">
        <v>5</v>
      </c>
      <c r="S34" s="1387">
        <f t="shared" si="9"/>
        <v>100</v>
      </c>
      <c r="T34" s="1386" t="s">
        <v>5</v>
      </c>
      <c r="U34" s="1387">
        <f t="shared" si="10"/>
        <v>100</v>
      </c>
      <c r="V34" s="1386" t="s">
        <v>5</v>
      </c>
      <c r="W34" s="1387">
        <f t="shared" si="11"/>
        <v>100</v>
      </c>
      <c r="X34" s="3664"/>
      <c r="Y34" s="3928" t="s">
        <v>499</v>
      </c>
      <c r="Z34" s="3663">
        <f t="shared" si="12"/>
        <v>111</v>
      </c>
      <c r="AA34" s="3665">
        <f t="shared" si="3"/>
        <v>1</v>
      </c>
      <c r="AB34" s="3665">
        <f t="shared" si="4"/>
        <v>1</v>
      </c>
      <c r="AC34" s="3665">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8"/>
      <c r="Q35" s="3662">
        <f t="shared" si="8"/>
        <v>111</v>
      </c>
      <c r="R35" s="1390" t="s">
        <v>5</v>
      </c>
      <c r="S35" s="1391">
        <f t="shared" si="9"/>
        <v>100</v>
      </c>
      <c r="T35" s="1390" t="s">
        <v>5</v>
      </c>
      <c r="U35" s="1391">
        <f t="shared" si="10"/>
        <v>100</v>
      </c>
      <c r="V35" s="1390" t="s">
        <v>5</v>
      </c>
      <c r="W35" s="1391">
        <f t="shared" si="11"/>
        <v>100</v>
      </c>
      <c r="X35" s="1392"/>
      <c r="Y35" s="3928"/>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97</v>
      </c>
      <c r="G36" s="566">
        <f>'案例（海淀）'!$D$4</f>
        <v>187577</v>
      </c>
      <c r="H36" s="567">
        <f>LOOKUP(G36,109:109,110:110)-LOOKUP(C36,109:109,110:110)+100</f>
        <v>97</v>
      </c>
      <c r="I36" s="568">
        <f>'案例（海淀）'!$D$6</f>
        <v>156502.60800000001</v>
      </c>
      <c r="J36" s="567">
        <f>LOOKUP(I36,109:109,110:110)-LOOKUP(C36,109:109,110:110)+100</f>
        <v>97</v>
      </c>
      <c r="K36" s="551"/>
      <c r="L36" s="1865"/>
      <c r="M36" s="1857"/>
      <c r="N36" s="1857"/>
      <c r="O36" s="1864"/>
      <c r="P36" s="3928"/>
      <c r="Q36" s="3662" t="str">
        <f>B36</f>
        <v>宗地面积</v>
      </c>
      <c r="R36" s="1386" t="s">
        <v>5</v>
      </c>
      <c r="S36" s="1387">
        <f t="shared" si="9"/>
        <v>97</v>
      </c>
      <c r="T36" s="1386" t="s">
        <v>5</v>
      </c>
      <c r="U36" s="1387">
        <f t="shared" si="10"/>
        <v>97</v>
      </c>
      <c r="V36" s="1386" t="s">
        <v>5</v>
      </c>
      <c r="W36" s="1387">
        <f t="shared" si="11"/>
        <v>97</v>
      </c>
      <c r="X36" s="3664"/>
      <c r="Y36" s="3928"/>
      <c r="Z36" s="3663" t="str">
        <f t="shared" si="12"/>
        <v>宗地面积</v>
      </c>
      <c r="AA36" s="3665">
        <f t="shared" si="3"/>
        <v>1.0309278350515463</v>
      </c>
      <c r="AB36" s="3665">
        <f t="shared" si="4"/>
        <v>1.0309278350515463</v>
      </c>
      <c r="AC36" s="3665">
        <f t="shared" si="5"/>
        <v>1.0309278350515463</v>
      </c>
    </row>
    <row r="37" spans="1:29" ht="42.75">
      <c r="A37" s="564"/>
      <c r="B37" s="497" t="s">
        <v>502</v>
      </c>
      <c r="C37" s="569" t="s">
        <v>2197</v>
      </c>
      <c r="D37" s="510">
        <v>100</v>
      </c>
      <c r="E37" s="569" t="s">
        <v>3316</v>
      </c>
      <c r="F37" s="510">
        <f>SUMIF(111:111,E37,112:112)-SUMIF(111:111,C37,112:112)+100</f>
        <v>102</v>
      </c>
      <c r="G37" s="569" t="s">
        <v>3316</v>
      </c>
      <c r="H37" s="510">
        <f>SUMIF(111:111,G37,112:112)-SUMIF(111:111,C37,112:112)+100</f>
        <v>102</v>
      </c>
      <c r="I37" s="569" t="s">
        <v>3316</v>
      </c>
      <c r="J37" s="510">
        <f>SUMIF(111:111,I37,112:112)-SUMIF(111:111,C37,112:112)+100</f>
        <v>102</v>
      </c>
      <c r="K37" s="554">
        <v>1</v>
      </c>
      <c r="L37" s="1865"/>
      <c r="M37" s="1857"/>
      <c r="N37" s="1857"/>
      <c r="O37" s="1864"/>
      <c r="P37" s="3928"/>
      <c r="Q37" s="3662" t="str">
        <f t="shared" ref="Q37:Q42" si="13">B37</f>
        <v>宗地形状</v>
      </c>
      <c r="R37" s="1386" t="s">
        <v>5</v>
      </c>
      <c r="S37" s="1387">
        <f t="shared" si="9"/>
        <v>102</v>
      </c>
      <c r="T37" s="1386" t="s">
        <v>5</v>
      </c>
      <c r="U37" s="1387">
        <f t="shared" si="10"/>
        <v>102</v>
      </c>
      <c r="V37" s="1386" t="s">
        <v>5</v>
      </c>
      <c r="W37" s="1387">
        <f t="shared" si="11"/>
        <v>102</v>
      </c>
      <c r="X37" s="3664"/>
      <c r="Y37" s="3928"/>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3305</v>
      </c>
      <c r="D38" s="246">
        <v>100</v>
      </c>
      <c r="E38" s="571" t="s">
        <v>3305</v>
      </c>
      <c r="F38" s="510">
        <f>SUMIF(113:113,E38,114:114)-SUMIF(113:113,C38,114:114)+100</f>
        <v>100</v>
      </c>
      <c r="G38" s="571" t="s">
        <v>3305</v>
      </c>
      <c r="H38" s="510">
        <f>SUMIF(113:113,G38,114:114)-SUMIF(113:113,C38,114:114)+100</f>
        <v>100</v>
      </c>
      <c r="I38" s="571" t="s">
        <v>3305</v>
      </c>
      <c r="J38" s="510">
        <f>SUMIF(113:113,I38,114:114)-SUMIF(113:113,C38,114:114)+100</f>
        <v>100</v>
      </c>
      <c r="K38" s="554"/>
      <c r="L38" s="1858"/>
      <c r="M38" s="1859"/>
      <c r="N38" s="1859"/>
      <c r="O38" s="1860"/>
      <c r="P38" s="3928"/>
      <c r="Q38" s="3662" t="str">
        <f t="shared" si="13"/>
        <v>宗地开发程度</v>
      </c>
      <c r="R38" s="1381" t="s">
        <v>5</v>
      </c>
      <c r="S38" s="1382">
        <f t="shared" si="9"/>
        <v>100</v>
      </c>
      <c r="T38" s="1381" t="s">
        <v>5</v>
      </c>
      <c r="U38" s="1382">
        <f t="shared" si="10"/>
        <v>100</v>
      </c>
      <c r="V38" s="1381" t="s">
        <v>5</v>
      </c>
      <c r="W38" s="1382">
        <f t="shared" si="11"/>
        <v>100</v>
      </c>
      <c r="X38" s="1383"/>
      <c r="Y38" s="3928"/>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8" t="s">
        <v>499</v>
      </c>
      <c r="Q39" s="3662" t="str">
        <f t="shared" si="13"/>
        <v>工程地质条件</v>
      </c>
      <c r="R39" s="1386" t="s">
        <v>5</v>
      </c>
      <c r="S39" s="1387">
        <f t="shared" si="9"/>
        <v>100</v>
      </c>
      <c r="T39" s="1386" t="s">
        <v>5</v>
      </c>
      <c r="U39" s="1387">
        <f t="shared" si="10"/>
        <v>100</v>
      </c>
      <c r="V39" s="1386" t="s">
        <v>5</v>
      </c>
      <c r="W39" s="1387">
        <f t="shared" si="11"/>
        <v>100</v>
      </c>
      <c r="X39" s="3664"/>
      <c r="Y39" s="3928"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8"/>
      <c r="Q40" s="3662">
        <f t="shared" si="13"/>
        <v>111</v>
      </c>
      <c r="R40" s="1386" t="s">
        <v>5</v>
      </c>
      <c r="S40" s="1387">
        <f t="shared" si="9"/>
        <v>100</v>
      </c>
      <c r="T40" s="1386" t="s">
        <v>5</v>
      </c>
      <c r="U40" s="1387">
        <f t="shared" si="10"/>
        <v>100</v>
      </c>
      <c r="V40" s="1386" t="s">
        <v>5</v>
      </c>
      <c r="W40" s="1387">
        <f t="shared" si="11"/>
        <v>100</v>
      </c>
      <c r="X40" s="3664"/>
      <c r="Y40" s="3928"/>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8"/>
      <c r="Q41" s="3662">
        <f t="shared" si="13"/>
        <v>111</v>
      </c>
      <c r="R41" s="1386" t="s">
        <v>5</v>
      </c>
      <c r="S41" s="1387">
        <f t="shared" si="9"/>
        <v>100</v>
      </c>
      <c r="T41" s="1386" t="s">
        <v>5</v>
      </c>
      <c r="U41" s="1387">
        <f t="shared" si="10"/>
        <v>100</v>
      </c>
      <c r="V41" s="1386" t="s">
        <v>5</v>
      </c>
      <c r="W41" s="1387">
        <f t="shared" si="11"/>
        <v>100</v>
      </c>
      <c r="X41" s="3664"/>
      <c r="Y41" s="3928"/>
      <c r="Z41" s="3663">
        <f t="shared" si="12"/>
        <v>111</v>
      </c>
      <c r="AA41" s="3665">
        <f t="shared" si="3"/>
        <v>1</v>
      </c>
      <c r="AB41" s="3665">
        <f t="shared" si="4"/>
        <v>1</v>
      </c>
      <c r="AC41" s="3665">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8"/>
      <c r="Q42" s="3662">
        <f t="shared" si="13"/>
        <v>111</v>
      </c>
      <c r="R42" s="1390" t="s">
        <v>5</v>
      </c>
      <c r="S42" s="1391">
        <f t="shared" si="9"/>
        <v>100</v>
      </c>
      <c r="T42" s="1390" t="s">
        <v>5</v>
      </c>
      <c r="U42" s="1391">
        <f t="shared" si="10"/>
        <v>100</v>
      </c>
      <c r="V42" s="1390" t="s">
        <v>5</v>
      </c>
      <c r="W42" s="1391">
        <f t="shared" si="11"/>
        <v>100</v>
      </c>
      <c r="X42" s="1392"/>
      <c r="Y42" s="3928"/>
      <c r="Z42" s="1393">
        <f t="shared" si="12"/>
        <v>111</v>
      </c>
      <c r="AA42" s="3665">
        <f t="shared" si="3"/>
        <v>1</v>
      </c>
      <c r="AB42" s="3665">
        <f t="shared" si="4"/>
        <v>1</v>
      </c>
      <c r="AC42" s="3665">
        <f t="shared" si="5"/>
        <v>1</v>
      </c>
    </row>
    <row r="43" spans="1:29" ht="15">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3892" t="str">
        <f>A43</f>
        <v>成交单价</v>
      </c>
      <c r="Q43" s="3892"/>
      <c r="R43" s="3893">
        <f>E43</f>
        <v>10277</v>
      </c>
      <c r="S43" s="3893"/>
      <c r="T43" s="3893">
        <f>G43</f>
        <v>8875</v>
      </c>
      <c r="U43" s="3893"/>
      <c r="V43" s="3893">
        <f>I43</f>
        <v>8121</v>
      </c>
      <c r="W43" s="3893"/>
      <c r="X43" s="1375"/>
      <c r="Y43" s="1394"/>
      <c r="Z43" s="1375"/>
      <c r="AA43" s="1375"/>
      <c r="AB43" s="1375"/>
      <c r="AC43" s="1375"/>
    </row>
    <row r="44" spans="1:29" ht="15.75" thickBot="1">
      <c r="A44" s="585" t="s">
        <v>1975</v>
      </c>
      <c r="B44" s="586"/>
      <c r="C44" s="587">
        <f>R45</f>
        <v>8869</v>
      </c>
      <c r="D44" s="2756" t="s">
        <v>2259</v>
      </c>
      <c r="E44" s="587">
        <f>R44</f>
        <v>10036</v>
      </c>
      <c r="F44" s="2757"/>
      <c r="G44" s="588">
        <f>T44</f>
        <v>8609</v>
      </c>
      <c r="H44" s="2757"/>
      <c r="I44" s="587">
        <f>V44</f>
        <v>7961</v>
      </c>
      <c r="J44" s="2757"/>
      <c r="K44" s="2758">
        <f>F44+H44+J44</f>
        <v>0</v>
      </c>
      <c r="L44" s="1867"/>
      <c r="M44" s="1857"/>
      <c r="N44" s="1857"/>
      <c r="O44" s="1868"/>
      <c r="P44" s="3892" t="str">
        <f>A44</f>
        <v>比较价格（元/平方米）</v>
      </c>
      <c r="Q44" s="3892"/>
      <c r="R44" s="3894">
        <f>ROUND(PRODUCT(R43,AA9:AA42),0)</f>
        <v>10036</v>
      </c>
      <c r="S44" s="3894"/>
      <c r="T44" s="3894">
        <f>ROUND(PRODUCT(T43,AB9:AB42),0)</f>
        <v>8609</v>
      </c>
      <c r="U44" s="3894"/>
      <c r="V44" s="3894">
        <f>ROUND(PRODUCT(V43,AC9:AC42),0)</f>
        <v>7961</v>
      </c>
      <c r="W44" s="3894"/>
      <c r="X44" s="1375"/>
      <c r="Y44" s="1375"/>
      <c r="Z44" s="1375"/>
      <c r="AA44" s="1375"/>
      <c r="AB44" s="1375"/>
      <c r="AC44" s="1375"/>
    </row>
    <row r="45" spans="1:29" ht="15.75" thickBot="1">
      <c r="A45" s="589" t="s">
        <v>2196</v>
      </c>
      <c r="B45" s="590"/>
      <c r="C45" s="591">
        <f>R45</f>
        <v>8869</v>
      </c>
      <c r="D45" s="591"/>
      <c r="E45" s="591"/>
      <c r="F45" s="591"/>
      <c r="G45" s="591"/>
      <c r="H45" s="591"/>
      <c r="I45" s="591"/>
      <c r="J45" s="591"/>
      <c r="K45" s="1202"/>
      <c r="L45" s="1867"/>
      <c r="M45" s="1857"/>
      <c r="N45" s="1857"/>
      <c r="O45" s="1868"/>
      <c r="P45" s="3929" t="str">
        <f>A45</f>
        <v>估价对象XX用房的比较价格（楼面单价，元/平方米）</v>
      </c>
      <c r="Q45" s="3930"/>
      <c r="R45" s="3941">
        <f>ROUND(IF(D44="简单平均",AVERAGE(R44:W44),R44*F44+T44*H44+V44*J44),0)</f>
        <v>8869</v>
      </c>
      <c r="S45" s="3941"/>
      <c r="T45" s="3941"/>
      <c r="U45" s="3941"/>
      <c r="V45" s="3941"/>
      <c r="W45" s="3941"/>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2.4013551215623652E-2</v>
      </c>
      <c r="F48" s="595" t="str">
        <f>IF(OR(E48&gt;=0.3,E48&lt;=-0.3),"超过30%","")</f>
        <v/>
      </c>
      <c r="G48" s="594">
        <f>IF(G43&lt;G44,G44/G43-1,G43/G44-1)</f>
        <v>3.0897897549076569E-2</v>
      </c>
      <c r="H48" s="595" t="str">
        <f>IF(OR(G48&gt;=0.3,G48&lt;=-0.3),"超过30%","")</f>
        <v/>
      </c>
      <c r="I48" s="594">
        <f>IF(I43&lt;I44,I44/I43-1,I43/I44-1)</f>
        <v>2.0097977640999964E-2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0.16575676617493329</v>
      </c>
      <c r="F49" s="595" t="str">
        <f>IF(OR(E49&gt;=0.2,E49&lt;=-0.2),"超过20%","")</f>
        <v/>
      </c>
      <c r="G49" s="594">
        <f>IF(G44&lt;I44,I44/G44-1,G44/I44-1)</f>
        <v>8.1396809446049545E-2</v>
      </c>
      <c r="H49" s="595" t="str">
        <f>IF(OR(G49&gt;=0.2,G49&lt;=-0.2),"超过20%","")</f>
        <v/>
      </c>
      <c r="I49" s="594">
        <f>IF(I44&lt;E44,E44/I44-1,I44/E44-1)</f>
        <v>0.26064564753171715</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7" t="s">
        <v>1642</v>
      </c>
      <c r="H52" s="393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8869</v>
      </c>
      <c r="C53" s="603">
        <v>1</v>
      </c>
      <c r="D53" s="1947">
        <v>1</v>
      </c>
      <c r="E53" s="603">
        <f>'数据-汇总表'!E8+'数据-汇总表'!E9</f>
        <v>10738.85</v>
      </c>
      <c r="F53" s="1706">
        <f t="shared" ref="F53:F61" si="14">ROUND(B53*E53/10000,0)</f>
        <v>9524</v>
      </c>
      <c r="G53" s="3939"/>
      <c r="H53" s="3940"/>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11</v>
      </c>
      <c r="D62" s="611" t="s">
        <v>1651</v>
      </c>
      <c r="E62" s="611">
        <f>IF(B43="楼面地价",SUM(E53:E61),'数据-汇总表'!D3)</f>
        <v>10738.85</v>
      </c>
      <c r="F62" s="612">
        <f>IF(B43="楼面地价",SUM(F53:F61),ROUND(C45*E62/10000,0))</f>
        <v>9524</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2023-11-1</v>
      </c>
      <c r="D64" s="2278">
        <f>EDATE(C64,-3)</f>
        <v>45139</v>
      </c>
      <c r="E64" s="2278">
        <f t="shared" ref="E64:N64" si="17">EDATE(D64,-3)</f>
        <v>45047</v>
      </c>
      <c r="F64" s="2278">
        <f t="shared" si="17"/>
        <v>44958</v>
      </c>
      <c r="G64" s="2278">
        <f t="shared" si="17"/>
        <v>44866</v>
      </c>
      <c r="H64" s="2278">
        <f t="shared" si="17"/>
        <v>44774</v>
      </c>
      <c r="I64" s="2278">
        <f t="shared" si="17"/>
        <v>44682</v>
      </c>
      <c r="J64" s="2278">
        <f t="shared" si="17"/>
        <v>44593</v>
      </c>
      <c r="K64" s="2278">
        <f t="shared" si="17"/>
        <v>44501</v>
      </c>
      <c r="L64" s="2278">
        <f t="shared" si="17"/>
        <v>44409</v>
      </c>
      <c r="M64" s="2278">
        <f t="shared" si="17"/>
        <v>44317</v>
      </c>
      <c r="N64" s="2278">
        <f t="shared" si="17"/>
        <v>44228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80"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f>ROUND(C67/(1+D68/100),2)</f>
        <v>99.57</v>
      </c>
      <c r="E67" s="698">
        <f t="shared" ref="E67:N67" si="19">ROUND(D67/(1+E68/100),2)</f>
        <v>99.1</v>
      </c>
      <c r="F67" s="698">
        <f t="shared" si="19"/>
        <v>98.54</v>
      </c>
      <c r="G67" s="698">
        <f t="shared" si="19"/>
        <v>98.43</v>
      </c>
      <c r="H67" s="698">
        <f t="shared" si="19"/>
        <v>98.2</v>
      </c>
      <c r="I67" s="698">
        <f t="shared" si="19"/>
        <v>98.19</v>
      </c>
      <c r="J67" s="698">
        <f t="shared" si="19"/>
        <v>97.83</v>
      </c>
      <c r="K67" s="698">
        <f t="shared" si="19"/>
        <v>97.76</v>
      </c>
      <c r="L67" s="698">
        <f t="shared" si="19"/>
        <v>97.53</v>
      </c>
      <c r="M67" s="698">
        <f t="shared" si="19"/>
        <v>97.13</v>
      </c>
      <c r="N67" s="698">
        <f t="shared" si="19"/>
        <v>97.37</v>
      </c>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1"/>
      <c r="D68" s="3688">
        <v>0.43</v>
      </c>
      <c r="E68" s="3689">
        <f>'[5]地价-分区'!I7</f>
        <v>0.47</v>
      </c>
      <c r="F68" s="3689">
        <f>'[5]地价-分区'!I8</f>
        <v>0.56999999999999995</v>
      </c>
      <c r="G68" s="3689">
        <f>'[5]地价-分区'!I9</f>
        <v>0.11</v>
      </c>
      <c r="H68" s="3689">
        <f>'[5]地价-分区'!I10</f>
        <v>0.23</v>
      </c>
      <c r="I68" s="3689">
        <f>'[5]地价-分区'!I11</f>
        <v>0.01</v>
      </c>
      <c r="J68" s="3689">
        <f>'[5]地价-分区'!I12</f>
        <v>0.37</v>
      </c>
      <c r="K68" s="3689">
        <f>'[5]地价-分区'!I13</f>
        <v>7.0000000000000007E-2</v>
      </c>
      <c r="L68" s="3689">
        <f>'[5]地价-分区'!I14</f>
        <v>0.24</v>
      </c>
      <c r="M68" s="3689">
        <f>'[5]地价-分区'!I15</f>
        <v>0.41</v>
      </c>
      <c r="N68" s="3689">
        <f>'[5]地价-分区'!I16</f>
        <v>-0.25</v>
      </c>
      <c r="O68" s="3690">
        <v>2.69</v>
      </c>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98</v>
      </c>
      <c r="E97" s="647">
        <f t="shared" si="22"/>
        <v>96</v>
      </c>
      <c r="F97" s="647">
        <f t="shared" si="22"/>
        <v>94</v>
      </c>
      <c r="G97" s="647">
        <f t="shared" si="22"/>
        <v>92</v>
      </c>
      <c r="H97" s="647">
        <f t="shared" si="22"/>
        <v>90</v>
      </c>
      <c r="I97" s="647">
        <f t="shared" si="22"/>
        <v>88</v>
      </c>
      <c r="J97" s="647">
        <f t="shared" si="22"/>
        <v>86</v>
      </c>
      <c r="K97" s="647">
        <f t="shared" si="22"/>
        <v>84</v>
      </c>
      <c r="L97" s="647">
        <f t="shared" si="22"/>
        <v>82</v>
      </c>
      <c r="M97" s="647">
        <f t="shared" si="22"/>
        <v>80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3681" t="s">
        <v>3309</v>
      </c>
      <c r="D98" s="3681" t="s">
        <v>3308</v>
      </c>
      <c r="E98" s="3681" t="s">
        <v>3307</v>
      </c>
      <c r="F98" s="3681" t="s">
        <v>3306</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87" t="s">
        <v>3320</v>
      </c>
      <c r="D100" s="3687" t="s">
        <v>3321</v>
      </c>
      <c r="E100" s="3687" t="s">
        <v>3322</v>
      </c>
      <c r="F100" s="3687" t="s">
        <v>3323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f>C110-1</f>
        <v>99</v>
      </c>
      <c r="E110" s="694">
        <f>D110-(C110-D110)</f>
        <v>98</v>
      </c>
      <c r="F110" s="694">
        <f t="shared" ref="F110:G110" si="26">E110-(D110-E110)</f>
        <v>97</v>
      </c>
      <c r="G110" s="694">
        <f t="shared" si="26"/>
        <v>96</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1.25" thickTop="1">
      <c r="A111" s="703"/>
      <c r="B111" s="641" t="s">
        <v>542</v>
      </c>
      <c r="C111" s="3687" t="s">
        <v>3317</v>
      </c>
      <c r="D111" s="3687" t="s">
        <v>3319</v>
      </c>
      <c r="E111" s="3687" t="s">
        <v>3318</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7">C112-$K37</f>
        <v>99</v>
      </c>
      <c r="E112" s="647">
        <f t="shared" si="27"/>
        <v>98</v>
      </c>
      <c r="F112" s="647">
        <f t="shared" si="27"/>
        <v>97</v>
      </c>
      <c r="G112" s="647">
        <f t="shared" si="27"/>
        <v>96</v>
      </c>
      <c r="H112" s="647">
        <f t="shared" si="27"/>
        <v>95</v>
      </c>
      <c r="I112" s="647">
        <f t="shared" si="27"/>
        <v>94</v>
      </c>
      <c r="J112" s="647">
        <f t="shared" si="27"/>
        <v>93</v>
      </c>
      <c r="K112" s="647">
        <f t="shared" si="27"/>
        <v>92</v>
      </c>
      <c r="L112" s="647">
        <f t="shared" si="27"/>
        <v>91</v>
      </c>
      <c r="M112" s="648">
        <f t="shared" si="27"/>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3324</v>
      </c>
      <c r="D113" s="1233" t="s">
        <v>3325</v>
      </c>
      <c r="E113" s="1233" t="s">
        <v>3326</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6"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470</v>
      </c>
      <c r="B4" s="483"/>
      <c r="C4" s="3898" t="s">
        <v>471</v>
      </c>
      <c r="D4" s="3899"/>
      <c r="E4" s="3933" t="s">
        <v>472</v>
      </c>
      <c r="F4" s="3934"/>
      <c r="G4" s="3898" t="s">
        <v>473</v>
      </c>
      <c r="H4" s="3899"/>
      <c r="I4" s="3898" t="s">
        <v>474</v>
      </c>
      <c r="J4" s="3899"/>
      <c r="K4" s="484" t="s">
        <v>475</v>
      </c>
      <c r="L4" s="1856"/>
      <c r="M4" s="1857"/>
      <c r="N4" s="1857"/>
      <c r="O4" s="1857"/>
      <c r="P4" s="3900" t="s">
        <v>476</v>
      </c>
      <c r="Q4" s="3901"/>
      <c r="R4" s="3906" t="s">
        <v>472</v>
      </c>
      <c r="S4" s="3907"/>
      <c r="T4" s="3906" t="s">
        <v>473</v>
      </c>
      <c r="U4" s="3907"/>
      <c r="V4" s="3893" t="s">
        <v>474</v>
      </c>
      <c r="W4" s="3893"/>
      <c r="X4" s="1380"/>
      <c r="Y4" s="3906" t="s">
        <v>476</v>
      </c>
      <c r="Z4" s="3907"/>
      <c r="AA4" s="3895" t="s">
        <v>472</v>
      </c>
      <c r="AB4" s="3896" t="s">
        <v>473</v>
      </c>
      <c r="AC4" s="3895" t="s">
        <v>474</v>
      </c>
    </row>
    <row r="5" spans="1:29" ht="15">
      <c r="A5" s="485"/>
      <c r="B5" s="486"/>
      <c r="C5" s="3914" t="s">
        <v>2190</v>
      </c>
      <c r="D5" s="3915"/>
      <c r="E5" s="3935" t="s">
        <v>2191</v>
      </c>
      <c r="F5" s="3936"/>
      <c r="G5" s="3914" t="s">
        <v>2192</v>
      </c>
      <c r="H5" s="3915"/>
      <c r="I5" s="3914" t="s">
        <v>2193</v>
      </c>
      <c r="J5" s="3915"/>
      <c r="K5" s="484"/>
      <c r="L5" s="1856"/>
      <c r="M5" s="1857"/>
      <c r="N5" s="1857"/>
      <c r="O5" s="1857"/>
      <c r="P5" s="3902"/>
      <c r="Q5" s="3903"/>
      <c r="R5" s="3908"/>
      <c r="S5" s="3909"/>
      <c r="T5" s="3908"/>
      <c r="U5" s="3909"/>
      <c r="V5" s="3893"/>
      <c r="W5" s="3893"/>
      <c r="X5" s="1380"/>
      <c r="Y5" s="3908"/>
      <c r="Z5" s="3909"/>
      <c r="AA5" s="3896"/>
      <c r="AB5" s="3896"/>
      <c r="AC5" s="3896"/>
    </row>
    <row r="6" spans="1:29" ht="15.75" thickBot="1">
      <c r="A6" s="487"/>
      <c r="B6" s="488"/>
      <c r="C6" s="3912" t="s">
        <v>2194</v>
      </c>
      <c r="D6" s="3913"/>
      <c r="E6" s="3931" t="s">
        <v>2194</v>
      </c>
      <c r="F6" s="3932"/>
      <c r="G6" s="3912" t="s">
        <v>2194</v>
      </c>
      <c r="H6" s="3913"/>
      <c r="I6" s="3912" t="s">
        <v>2194</v>
      </c>
      <c r="J6" s="3913"/>
      <c r="K6" s="484" t="s">
        <v>477</v>
      </c>
      <c r="L6" s="1856"/>
      <c r="M6" s="1857"/>
      <c r="N6" s="1857"/>
      <c r="O6" s="1857"/>
      <c r="P6" s="3904"/>
      <c r="Q6" s="3905"/>
      <c r="R6" s="3908"/>
      <c r="S6" s="3909"/>
      <c r="T6" s="3910"/>
      <c r="U6" s="3911"/>
      <c r="V6" s="3893"/>
      <c r="W6" s="3893"/>
      <c r="X6" s="1380"/>
      <c r="Y6" s="3910"/>
      <c r="Z6" s="3911"/>
      <c r="AA6" s="3897"/>
      <c r="AB6" s="3897"/>
      <c r="AC6" s="3897"/>
    </row>
    <row r="7" spans="1:29" s="1118" customFormat="1" ht="15.75" thickBot="1">
      <c r="A7" s="2391"/>
      <c r="B7" s="2398" t="s">
        <v>478</v>
      </c>
      <c r="C7" s="489">
        <f>'数据-取费表'!B2</f>
        <v>45248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2" t="s">
        <v>479</v>
      </c>
      <c r="Q7" s="3924"/>
      <c r="R7" s="1381" t="s">
        <v>5</v>
      </c>
      <c r="S7" s="1382">
        <f t="shared" ref="S7:S15" si="0">F7</f>
        <v>0</v>
      </c>
      <c r="T7" s="1381" t="s">
        <v>5</v>
      </c>
      <c r="U7" s="1382">
        <f t="shared" ref="U7:U15" si="1">H7</f>
        <v>0</v>
      </c>
      <c r="V7" s="1381" t="s">
        <v>5</v>
      </c>
      <c r="W7" s="1382">
        <f t="shared" ref="W7:W15"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2" t="s">
        <v>482</v>
      </c>
      <c r="Q8" s="3923"/>
      <c r="R8" s="1381" t="s">
        <v>5</v>
      </c>
      <c r="S8" s="1382">
        <f t="shared" si="0"/>
        <v>0</v>
      </c>
      <c r="T8" s="1381" t="s">
        <v>5</v>
      </c>
      <c r="U8" s="1382">
        <f t="shared" si="1"/>
        <v>0</v>
      </c>
      <c r="V8" s="1381" t="s">
        <v>5</v>
      </c>
      <c r="W8" s="1382">
        <f t="shared" si="2"/>
        <v>0</v>
      </c>
      <c r="X8" s="1383"/>
      <c r="Y8" s="3922" t="s">
        <v>482</v>
      </c>
      <c r="Z8" s="3923"/>
      <c r="AA8" s="1384" t="e">
        <f t="shared" ref="AA8:AA40" si="3">D8/F8</f>
        <v>#DIV/0!</v>
      </c>
      <c r="AB8" s="1384" t="e">
        <f t="shared" ref="AB8:AB40" si="4">D8/H8</f>
        <v>#DIV/0!</v>
      </c>
      <c r="AC8" s="1384"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2" t="s">
        <v>484</v>
      </c>
      <c r="Q9" s="1050" t="str">
        <f t="shared" ref="Q9:Q15" si="6">B9</f>
        <v>用途</v>
      </c>
      <c r="R9" s="1381" t="s">
        <v>5</v>
      </c>
      <c r="S9" s="1382">
        <f t="shared" si="0"/>
        <v>100</v>
      </c>
      <c r="T9" s="1381" t="s">
        <v>5</v>
      </c>
      <c r="U9" s="1382">
        <f t="shared" si="1"/>
        <v>100</v>
      </c>
      <c r="V9" s="1381" t="s">
        <v>5</v>
      </c>
      <c r="W9" s="1382">
        <f t="shared" si="2"/>
        <v>100</v>
      </c>
      <c r="X9" s="1383"/>
      <c r="Y9" s="3834"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2"/>
      <c r="Q11" s="1050" t="str">
        <f t="shared" si="6"/>
        <v>容积率</v>
      </c>
      <c r="R11" s="1381" t="s">
        <v>5</v>
      </c>
      <c r="S11" s="1382" t="e">
        <f t="shared" si="0"/>
        <v>#N/A</v>
      </c>
      <c r="T11" s="1381" t="s">
        <v>5</v>
      </c>
      <c r="U11" s="1382" t="e">
        <f t="shared" si="1"/>
        <v>#N/A</v>
      </c>
      <c r="V11" s="1381" t="s">
        <v>5</v>
      </c>
      <c r="W11" s="1382" t="e">
        <f t="shared" si="2"/>
        <v>#N/A</v>
      </c>
      <c r="X11" s="1383"/>
      <c r="Y11" s="383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2"/>
      <c r="Q12" s="1050">
        <f t="shared" si="6"/>
        <v>111</v>
      </c>
      <c r="R12" s="1381" t="s">
        <v>5</v>
      </c>
      <c r="S12" s="1382">
        <f t="shared" si="0"/>
        <v>100</v>
      </c>
      <c r="T12" s="1381" t="s">
        <v>5</v>
      </c>
      <c r="U12" s="1382">
        <f t="shared" si="1"/>
        <v>100</v>
      </c>
      <c r="V12" s="1381" t="s">
        <v>5</v>
      </c>
      <c r="W12" s="1382">
        <f t="shared" si="2"/>
        <v>100</v>
      </c>
      <c r="X12" s="1383"/>
      <c r="Y12" s="3834"/>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2"/>
      <c r="Q13" s="1050">
        <f t="shared" si="6"/>
        <v>111</v>
      </c>
      <c r="R13" s="1381" t="s">
        <v>5</v>
      </c>
      <c r="S13" s="1382">
        <f t="shared" si="0"/>
        <v>100</v>
      </c>
      <c r="T13" s="1381" t="s">
        <v>5</v>
      </c>
      <c r="U13" s="1382">
        <f t="shared" si="1"/>
        <v>100</v>
      </c>
      <c r="V13" s="1381" t="s">
        <v>5</v>
      </c>
      <c r="W13" s="1382">
        <f t="shared" si="2"/>
        <v>100</v>
      </c>
      <c r="X13" s="1383"/>
      <c r="Y13" s="3834"/>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2"/>
      <c r="Q14" s="1050">
        <f t="shared" si="6"/>
        <v>111</v>
      </c>
      <c r="R14" s="1381" t="s">
        <v>5</v>
      </c>
      <c r="S14" s="1382">
        <f t="shared" si="0"/>
        <v>100</v>
      </c>
      <c r="T14" s="1381" t="s">
        <v>5</v>
      </c>
      <c r="U14" s="1382">
        <f t="shared" si="1"/>
        <v>100</v>
      </c>
      <c r="V14" s="1381" t="s">
        <v>5</v>
      </c>
      <c r="W14" s="1382">
        <f t="shared" si="2"/>
        <v>100</v>
      </c>
      <c r="X14" s="1383"/>
      <c r="Y14" s="3834"/>
      <c r="Z14" s="1049">
        <f t="shared" si="7"/>
        <v>111</v>
      </c>
      <c r="AA14" s="1384">
        <f t="shared" si="3"/>
        <v>1</v>
      </c>
      <c r="AB14" s="1384">
        <f t="shared" si="4"/>
        <v>1</v>
      </c>
      <c r="AC14" s="1384">
        <f t="shared" si="5"/>
        <v>1</v>
      </c>
    </row>
    <row r="15" spans="1:29" ht="57">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5" t="s">
        <v>489</v>
      </c>
      <c r="Q15" s="1385" t="str">
        <f t="shared" si="6"/>
        <v>产业集聚程度</v>
      </c>
      <c r="R15" s="1386" t="s">
        <v>5</v>
      </c>
      <c r="S15" s="1387">
        <f t="shared" si="0"/>
        <v>100</v>
      </c>
      <c r="T15" s="1386" t="s">
        <v>5</v>
      </c>
      <c r="U15" s="1387">
        <f t="shared" si="1"/>
        <v>100</v>
      </c>
      <c r="V15" s="1386" t="s">
        <v>5</v>
      </c>
      <c r="W15" s="1387">
        <f t="shared" si="2"/>
        <v>100</v>
      </c>
      <c r="X15" s="1380"/>
      <c r="Y15" s="392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6"/>
      <c r="Q16" s="1385"/>
      <c r="R16" s="1386"/>
      <c r="S16" s="1387"/>
      <c r="T16" s="1386"/>
      <c r="U16" s="1387"/>
      <c r="V16" s="1386"/>
      <c r="W16" s="1387"/>
      <c r="X16" s="1380"/>
      <c r="Y16" s="392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6"/>
      <c r="Q17" s="1385" t="str">
        <f>B17</f>
        <v>交通便捷度</v>
      </c>
      <c r="R17" s="1386" t="s">
        <v>5</v>
      </c>
      <c r="S17" s="1387">
        <f>F17</f>
        <v>100</v>
      </c>
      <c r="T17" s="1386" t="s">
        <v>5</v>
      </c>
      <c r="U17" s="1387">
        <f>H17</f>
        <v>100</v>
      </c>
      <c r="V17" s="1386" t="s">
        <v>5</v>
      </c>
      <c r="W17" s="1387">
        <f>J17</f>
        <v>100</v>
      </c>
      <c r="X17" s="1380"/>
      <c r="Y17" s="392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6"/>
      <c r="Q18" s="1385"/>
      <c r="R18" s="1386"/>
      <c r="S18" s="1387"/>
      <c r="T18" s="1386"/>
      <c r="U18" s="1387"/>
      <c r="V18" s="1386"/>
      <c r="W18" s="1387"/>
      <c r="X18" s="1380"/>
      <c r="Y18" s="3926"/>
      <c r="Z18" s="1388"/>
      <c r="AA18" s="1389">
        <v>1</v>
      </c>
      <c r="AB18" s="1389">
        <v>1</v>
      </c>
      <c r="AC18" s="1389">
        <v>1</v>
      </c>
    </row>
    <row r="19" spans="1:29" ht="42.75">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6"/>
      <c r="Q19" s="1385" t="str">
        <f>B19</f>
        <v>公共配套设施</v>
      </c>
      <c r="R19" s="1386" t="s">
        <v>5</v>
      </c>
      <c r="S19" s="1387">
        <f>F19</f>
        <v>100</v>
      </c>
      <c r="T19" s="1386" t="s">
        <v>5</v>
      </c>
      <c r="U19" s="1387">
        <f>H19</f>
        <v>100</v>
      </c>
      <c r="V19" s="1386" t="s">
        <v>5</v>
      </c>
      <c r="W19" s="1387">
        <f>J19</f>
        <v>100</v>
      </c>
      <c r="X19" s="1380"/>
      <c r="Y19" s="392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6"/>
      <c r="Q20" s="1385"/>
      <c r="R20" s="1386"/>
      <c r="S20" s="1387"/>
      <c r="T20" s="1386"/>
      <c r="U20" s="1387"/>
      <c r="V20" s="1386"/>
      <c r="W20" s="1387"/>
      <c r="X20" s="1380"/>
      <c r="Y20" s="3926"/>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6"/>
      <c r="Q21" s="2192" t="str">
        <f>B21</f>
        <v>基础设施水平</v>
      </c>
      <c r="R21" s="1386" t="s">
        <v>5</v>
      </c>
      <c r="S21" s="1387">
        <f>F21</f>
        <v>100</v>
      </c>
      <c r="T21" s="1386" t="s">
        <v>5</v>
      </c>
      <c r="U21" s="1387">
        <f>H21</f>
        <v>100</v>
      </c>
      <c r="V21" s="1386" t="s">
        <v>5</v>
      </c>
      <c r="W21" s="1387">
        <f>J21</f>
        <v>100</v>
      </c>
      <c r="X21" s="2194"/>
      <c r="Y21" s="3926"/>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926"/>
      <c r="Q22" s="2192"/>
      <c r="R22" s="1386"/>
      <c r="S22" s="1387"/>
      <c r="T22" s="1386"/>
      <c r="U22" s="1387"/>
      <c r="V22" s="1386"/>
      <c r="W22" s="1387"/>
      <c r="X22" s="2194"/>
      <c r="Y22" s="3926"/>
      <c r="Z22" s="2193"/>
      <c r="AA22" s="1389">
        <v>1</v>
      </c>
      <c r="AB22" s="1389">
        <v>1</v>
      </c>
      <c r="AC22" s="1389">
        <v>1</v>
      </c>
    </row>
    <row r="23" spans="1:29" ht="71.25">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6"/>
      <c r="Q23" s="1385" t="str">
        <f>B23</f>
        <v>环境质量</v>
      </c>
      <c r="R23" s="1386" t="s">
        <v>5</v>
      </c>
      <c r="S23" s="1387">
        <f>F23</f>
        <v>100</v>
      </c>
      <c r="T23" s="1386" t="s">
        <v>5</v>
      </c>
      <c r="U23" s="1387">
        <f>H23</f>
        <v>100</v>
      </c>
      <c r="V23" s="1386" t="s">
        <v>5</v>
      </c>
      <c r="W23" s="1387">
        <f>J23</f>
        <v>100</v>
      </c>
      <c r="X23" s="1380"/>
      <c r="Y23" s="392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6"/>
      <c r="Q24" s="1385"/>
      <c r="R24" s="1386"/>
      <c r="S24" s="1387"/>
      <c r="T24" s="1386"/>
      <c r="U24" s="1387"/>
      <c r="V24" s="1386"/>
      <c r="W24" s="1387"/>
      <c r="X24" s="1380"/>
      <c r="Y24" s="392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6"/>
      <c r="Q25" s="1385">
        <f>B25</f>
        <v>111</v>
      </c>
      <c r="R25" s="1386" t="s">
        <v>5</v>
      </c>
      <c r="S25" s="1387">
        <f>F25</f>
        <v>100</v>
      </c>
      <c r="T25" s="1386" t="s">
        <v>5</v>
      </c>
      <c r="U25" s="1387">
        <f>H25</f>
        <v>100</v>
      </c>
      <c r="V25" s="1386" t="s">
        <v>5</v>
      </c>
      <c r="W25" s="1387">
        <f>J25</f>
        <v>100</v>
      </c>
      <c r="X25" s="1380"/>
      <c r="Y25" s="392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6"/>
      <c r="Q26" s="1385">
        <f t="shared" ref="Q26:Q40" si="8">B26</f>
        <v>111</v>
      </c>
      <c r="R26" s="1386" t="s">
        <v>5</v>
      </c>
      <c r="S26" s="1387">
        <f>F26</f>
        <v>100</v>
      </c>
      <c r="T26" s="1386" t="s">
        <v>5</v>
      </c>
      <c r="U26" s="1387">
        <f>H26</f>
        <v>100</v>
      </c>
      <c r="V26" s="1386" t="s">
        <v>5</v>
      </c>
      <c r="W26" s="1387">
        <f>J26</f>
        <v>100</v>
      </c>
      <c r="X26" s="1380"/>
      <c r="Y26" s="392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6"/>
      <c r="Q27" s="1050">
        <f t="shared" si="8"/>
        <v>111</v>
      </c>
      <c r="R27" s="1381" t="s">
        <v>5</v>
      </c>
      <c r="S27" s="1382">
        <f>F27</f>
        <v>100</v>
      </c>
      <c r="T27" s="1381" t="s">
        <v>5</v>
      </c>
      <c r="U27" s="1382">
        <f>H27</f>
        <v>100</v>
      </c>
      <c r="V27" s="1381" t="s">
        <v>5</v>
      </c>
      <c r="W27" s="1382">
        <f>J27</f>
        <v>100</v>
      </c>
      <c r="X27" s="1383"/>
      <c r="Y27" s="392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6"/>
      <c r="Q28" s="1385">
        <f t="shared" si="8"/>
        <v>111</v>
      </c>
      <c r="R28" s="1386" t="s">
        <v>5</v>
      </c>
      <c r="S28" s="1387">
        <f t="shared" ref="S28:S40" si="9">F28</f>
        <v>100</v>
      </c>
      <c r="T28" s="1386" t="s">
        <v>5</v>
      </c>
      <c r="U28" s="1387">
        <f t="shared" ref="U28:U40" si="10">H28</f>
        <v>100</v>
      </c>
      <c r="V28" s="1386" t="s">
        <v>5</v>
      </c>
      <c r="W28" s="1387">
        <f t="shared" ref="W28:W40" si="11">J28</f>
        <v>100</v>
      </c>
      <c r="X28" s="1380"/>
      <c r="Y28" s="3926"/>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7" t="s">
        <v>499</v>
      </c>
      <c r="Q29" s="1385" t="str">
        <f t="shared" si="8"/>
        <v>建筑类型</v>
      </c>
      <c r="R29" s="1386" t="s">
        <v>5</v>
      </c>
      <c r="S29" s="1387">
        <f t="shared" si="9"/>
        <v>100</v>
      </c>
      <c r="T29" s="1386" t="s">
        <v>5</v>
      </c>
      <c r="U29" s="1387">
        <f t="shared" si="10"/>
        <v>100</v>
      </c>
      <c r="V29" s="1386" t="s">
        <v>5</v>
      </c>
      <c r="W29" s="1387">
        <f t="shared" si="11"/>
        <v>100</v>
      </c>
      <c r="X29" s="1380"/>
      <c r="Y29" s="392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8"/>
      <c r="Q30" s="1414" t="str">
        <f t="shared" si="8"/>
        <v>项目建筑规模</v>
      </c>
      <c r="R30" s="1390" t="s">
        <v>5</v>
      </c>
      <c r="S30" s="1391" t="e">
        <f t="shared" si="9"/>
        <v>#N/A</v>
      </c>
      <c r="T30" s="1390" t="s">
        <v>5</v>
      </c>
      <c r="U30" s="1391" t="e">
        <f t="shared" si="10"/>
        <v>#N/A</v>
      </c>
      <c r="V30" s="1390" t="s">
        <v>5</v>
      </c>
      <c r="W30" s="1391" t="e">
        <f t="shared" si="11"/>
        <v>#N/A</v>
      </c>
      <c r="X30" s="1392"/>
      <c r="Y30" s="392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8"/>
      <c r="Q31" s="1385" t="str">
        <f t="shared" si="8"/>
        <v>建筑结构</v>
      </c>
      <c r="R31" s="1386" t="s">
        <v>5</v>
      </c>
      <c r="S31" s="1387">
        <f t="shared" si="9"/>
        <v>100</v>
      </c>
      <c r="T31" s="1386" t="s">
        <v>5</v>
      </c>
      <c r="U31" s="1387">
        <f t="shared" si="10"/>
        <v>100</v>
      </c>
      <c r="V31" s="1386" t="s">
        <v>5</v>
      </c>
      <c r="W31" s="1387">
        <f t="shared" si="11"/>
        <v>100</v>
      </c>
      <c r="X31" s="1380"/>
      <c r="Y31" s="392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8"/>
      <c r="Q32" s="1385" t="str">
        <f t="shared" si="8"/>
        <v>公共部分装修</v>
      </c>
      <c r="R32" s="1386" t="s">
        <v>5</v>
      </c>
      <c r="S32" s="1387">
        <f t="shared" si="9"/>
        <v>100</v>
      </c>
      <c r="T32" s="1386" t="s">
        <v>5</v>
      </c>
      <c r="U32" s="1387">
        <f t="shared" si="10"/>
        <v>100</v>
      </c>
      <c r="V32" s="1386" t="s">
        <v>5</v>
      </c>
      <c r="W32" s="1387">
        <f t="shared" si="11"/>
        <v>100</v>
      </c>
      <c r="X32" s="1380"/>
      <c r="Y32" s="392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8"/>
      <c r="Q33" s="1385" t="str">
        <f t="shared" si="8"/>
        <v>成新度</v>
      </c>
      <c r="R33" s="1386" t="s">
        <v>5</v>
      </c>
      <c r="S33" s="1387" t="e">
        <f t="shared" si="9"/>
        <v>#N/A</v>
      </c>
      <c r="T33" s="1386" t="s">
        <v>5</v>
      </c>
      <c r="U33" s="1387" t="e">
        <f t="shared" si="10"/>
        <v>#N/A</v>
      </c>
      <c r="V33" s="1386" t="s">
        <v>5</v>
      </c>
      <c r="W33" s="1387" t="e">
        <f t="shared" si="11"/>
        <v>#N/A</v>
      </c>
      <c r="X33" s="1380"/>
      <c r="Y33" s="392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8"/>
      <c r="Q34" s="1050" t="str">
        <f t="shared" si="8"/>
        <v>物业管理</v>
      </c>
      <c r="R34" s="1381" t="s">
        <v>5</v>
      </c>
      <c r="S34" s="1382">
        <f t="shared" si="9"/>
        <v>100</v>
      </c>
      <c r="T34" s="1381" t="s">
        <v>5</v>
      </c>
      <c r="U34" s="1382">
        <f t="shared" si="10"/>
        <v>100</v>
      </c>
      <c r="V34" s="1381" t="s">
        <v>5</v>
      </c>
      <c r="W34" s="1382">
        <f t="shared" si="11"/>
        <v>100</v>
      </c>
      <c r="X34" s="1383"/>
      <c r="Y34" s="392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8" t="s">
        <v>499</v>
      </c>
      <c r="Q35" s="1385" t="str">
        <f t="shared" si="8"/>
        <v>市政基础设施</v>
      </c>
      <c r="R35" s="1386" t="s">
        <v>5</v>
      </c>
      <c r="S35" s="1387">
        <f t="shared" si="9"/>
        <v>100</v>
      </c>
      <c r="T35" s="1386" t="s">
        <v>5</v>
      </c>
      <c r="U35" s="1387">
        <f t="shared" si="10"/>
        <v>100</v>
      </c>
      <c r="V35" s="1386" t="s">
        <v>5</v>
      </c>
      <c r="W35" s="1387">
        <f t="shared" si="11"/>
        <v>100</v>
      </c>
      <c r="X35" s="1380"/>
      <c r="Y35" s="392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8"/>
      <c r="Q36" s="1385" t="str">
        <f t="shared" si="8"/>
        <v>内部装修</v>
      </c>
      <c r="R36" s="1386" t="s">
        <v>5</v>
      </c>
      <c r="S36" s="1387">
        <f t="shared" si="9"/>
        <v>100</v>
      </c>
      <c r="T36" s="1386" t="s">
        <v>5</v>
      </c>
      <c r="U36" s="1387">
        <f t="shared" si="10"/>
        <v>100</v>
      </c>
      <c r="V36" s="1386" t="s">
        <v>5</v>
      </c>
      <c r="W36" s="1387">
        <f t="shared" si="11"/>
        <v>100</v>
      </c>
      <c r="X36" s="1380"/>
      <c r="Y36" s="392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8"/>
      <c r="Q37" s="1385" t="str">
        <f t="shared" si="8"/>
        <v>内部装修状况</v>
      </c>
      <c r="R37" s="1386" t="s">
        <v>5</v>
      </c>
      <c r="S37" s="1387">
        <f t="shared" si="9"/>
        <v>100</v>
      </c>
      <c r="T37" s="1386" t="s">
        <v>5</v>
      </c>
      <c r="U37" s="1387">
        <f t="shared" si="10"/>
        <v>100</v>
      </c>
      <c r="V37" s="1386" t="s">
        <v>5</v>
      </c>
      <c r="W37" s="1387">
        <f t="shared" si="11"/>
        <v>100</v>
      </c>
      <c r="X37" s="1380"/>
      <c r="Y37" s="392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8"/>
      <c r="Q38" s="1414">
        <f t="shared" si="8"/>
        <v>111</v>
      </c>
      <c r="R38" s="1390" t="s">
        <v>5</v>
      </c>
      <c r="S38" s="1391">
        <f t="shared" si="9"/>
        <v>100</v>
      </c>
      <c r="T38" s="1390" t="s">
        <v>5</v>
      </c>
      <c r="U38" s="1391">
        <f t="shared" si="10"/>
        <v>100</v>
      </c>
      <c r="V38" s="1390" t="s">
        <v>5</v>
      </c>
      <c r="W38" s="1391">
        <f t="shared" si="11"/>
        <v>100</v>
      </c>
      <c r="X38" s="1392"/>
      <c r="Y38" s="392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8"/>
      <c r="Q39" s="1385">
        <f t="shared" si="8"/>
        <v>111</v>
      </c>
      <c r="R39" s="1386" t="s">
        <v>5</v>
      </c>
      <c r="S39" s="1387">
        <f t="shared" si="9"/>
        <v>100</v>
      </c>
      <c r="T39" s="1386" t="s">
        <v>5</v>
      </c>
      <c r="U39" s="1387">
        <f t="shared" si="10"/>
        <v>100</v>
      </c>
      <c r="V39" s="1386" t="s">
        <v>5</v>
      </c>
      <c r="W39" s="1387">
        <f t="shared" si="11"/>
        <v>100</v>
      </c>
      <c r="X39" s="1380"/>
      <c r="Y39" s="392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19"/>
      <c r="Q40" s="1385">
        <f t="shared" si="8"/>
        <v>111</v>
      </c>
      <c r="R40" s="1386" t="s">
        <v>5</v>
      </c>
      <c r="S40" s="1387">
        <f t="shared" si="9"/>
        <v>100</v>
      </c>
      <c r="T40" s="1386" t="s">
        <v>5</v>
      </c>
      <c r="U40" s="1387">
        <f t="shared" si="10"/>
        <v>100</v>
      </c>
      <c r="V40" s="1386" t="s">
        <v>5</v>
      </c>
      <c r="W40" s="1387">
        <f t="shared" si="11"/>
        <v>100</v>
      </c>
      <c r="X40" s="1380"/>
      <c r="Y40" s="4019"/>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7"/>
      <c r="M41" s="1868"/>
      <c r="N41" s="1857"/>
      <c r="O41" s="1868"/>
      <c r="P41" s="3892" t="str">
        <f>A41</f>
        <v>成交单价（元/平方米）</v>
      </c>
      <c r="Q41" s="3892"/>
      <c r="R41" s="4018">
        <f>E41</f>
        <v>0</v>
      </c>
      <c r="S41" s="4018"/>
      <c r="T41" s="4018">
        <f>G41</f>
        <v>0</v>
      </c>
      <c r="U41" s="4018"/>
      <c r="V41" s="4018">
        <f>I41</f>
        <v>0</v>
      </c>
      <c r="W41" s="4018"/>
      <c r="X41" s="1375"/>
      <c r="Y41" s="1394"/>
      <c r="Z41" s="1375"/>
      <c r="AA41" s="1375"/>
      <c r="AB41" s="1375"/>
      <c r="AC41" s="1375"/>
    </row>
    <row r="42" spans="1:29" ht="15.7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3892" t="str">
        <f>A42</f>
        <v>比较价格（元/平方米）</v>
      </c>
      <c r="Q42" s="3892"/>
      <c r="R42" s="4018" t="e">
        <f>IF(F1="售价",ROUND(PRODUCT(R41,AA7:AA40),0),ROUND(PRODUCT(R41,AA7:AA40),1))</f>
        <v>#DIV/0!</v>
      </c>
      <c r="S42" s="4018"/>
      <c r="T42" s="4018" t="e">
        <f>IF(F1="售价",ROUND(PRODUCT(T41,AB7:AB40),0),ROUND(PRODUCT(T41,AB7:AB40),1))</f>
        <v>#DIV/0!</v>
      </c>
      <c r="U42" s="4018"/>
      <c r="V42" s="4018" t="e">
        <f>IF(F1="售价",ROUND(PRODUCT(V41,AC7:AC40),0),ROUND(PRODUCT(V41,AC7:AC40),1))</f>
        <v>#DIV/0!</v>
      </c>
      <c r="W42" s="4018"/>
      <c r="X42" s="1375"/>
      <c r="Y42" s="1375"/>
      <c r="Z42" s="1375"/>
      <c r="AA42" s="1375"/>
      <c r="AB42" s="1375"/>
      <c r="AC42" s="1375"/>
    </row>
    <row r="43" spans="1:29" ht="15.75" thickBot="1">
      <c r="A43" s="589" t="s">
        <v>2196</v>
      </c>
      <c r="B43" s="590"/>
      <c r="C43" s="2241" t="e">
        <f>R43</f>
        <v>#DIV/0!</v>
      </c>
      <c r="D43" s="2241"/>
      <c r="E43" s="2241"/>
      <c r="F43" s="2241"/>
      <c r="G43" s="2241"/>
      <c r="H43" s="2241"/>
      <c r="I43" s="2241"/>
      <c r="J43" s="2241"/>
      <c r="K43" s="1420"/>
      <c r="L43" s="1867"/>
      <c r="M43" s="1868"/>
      <c r="N43" s="1868"/>
      <c r="O43" s="1868"/>
      <c r="P43" s="3929" t="str">
        <f>A43</f>
        <v>估价对象XX用房的比较价格（楼面单价，元/平方米）</v>
      </c>
      <c r="Q43" s="3930"/>
      <c r="R43" s="4017" t="e">
        <f>IF(F1="售价",ROUND(IF(D42="简单平均",AVERAGE(R42:V42),R42*F42+T42*H42+V42*J42),0),ROUND(IF(D42="简单平均",AVERAGE(R42:V42),R42*F42+T42*H42+V42*J42),1))</f>
        <v>#DIV/0!</v>
      </c>
      <c r="S43" s="4017"/>
      <c r="T43" s="4017"/>
      <c r="U43" s="4017"/>
      <c r="V43" s="4017"/>
      <c r="W43" s="4017"/>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1" t="str">
        <f>YEAR(C7)&amp;"-"&amp;MONTH(C7)</f>
        <v>2023-11</v>
      </c>
      <c r="D52" s="2283">
        <f>EDATE(C52,-1)</f>
        <v>45200</v>
      </c>
      <c r="E52" s="2283">
        <f t="shared" ref="E52:O52" si="13">EDATE(D52,-1)</f>
        <v>45170</v>
      </c>
      <c r="F52" s="2283">
        <f t="shared" si="13"/>
        <v>45139</v>
      </c>
      <c r="G52" s="2283">
        <f t="shared" si="13"/>
        <v>45108</v>
      </c>
      <c r="H52" s="2283">
        <f t="shared" si="13"/>
        <v>45078</v>
      </c>
      <c r="I52" s="2283">
        <f t="shared" si="13"/>
        <v>45047</v>
      </c>
      <c r="J52" s="2283">
        <f t="shared" si="13"/>
        <v>45017</v>
      </c>
      <c r="K52" s="2283">
        <f t="shared" si="13"/>
        <v>44986</v>
      </c>
      <c r="L52" s="2283">
        <f t="shared" si="13"/>
        <v>44958</v>
      </c>
      <c r="M52" s="2283">
        <f t="shared" si="13"/>
        <v>44927</v>
      </c>
      <c r="N52" s="2283">
        <f t="shared" si="13"/>
        <v>44896</v>
      </c>
      <c r="O52" s="2283">
        <f t="shared" si="13"/>
        <v>44866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RowHeight="13.5"/>
  <cols>
    <col min="1" max="1" width="5.75" style="3670" customWidth="1"/>
    <col min="2" max="2" width="47" style="3670" customWidth="1"/>
    <col min="3" max="3" width="9" style="3670"/>
    <col min="4" max="4" width="11" style="3670" customWidth="1"/>
    <col min="5" max="5" width="11.75" style="3670" customWidth="1"/>
    <col min="6" max="6" width="14.125" style="3670" customWidth="1"/>
    <col min="7" max="7" width="14.25" style="3670" customWidth="1"/>
    <col min="8" max="8" width="12.75" style="3670" bestFit="1" customWidth="1"/>
    <col min="9" max="9" width="11.125" style="3670" bestFit="1" customWidth="1"/>
    <col min="10" max="11" width="10.5" style="3670" customWidth="1"/>
    <col min="12" max="16384" width="9" style="3666"/>
  </cols>
  <sheetData>
    <row r="1" spans="1:11" ht="14.25" customHeight="1">
      <c r="A1" s="4024" t="s">
        <v>3267</v>
      </c>
      <c r="B1" s="4024" t="s">
        <v>2146</v>
      </c>
      <c r="C1" s="4024" t="s">
        <v>3268</v>
      </c>
      <c r="D1" s="4030" t="s">
        <v>3410</v>
      </c>
      <c r="E1" s="4031"/>
      <c r="F1" s="4026" t="s">
        <v>3269</v>
      </c>
      <c r="G1" s="4027"/>
      <c r="H1" s="4028" t="s">
        <v>3270</v>
      </c>
      <c r="I1" s="4024" t="s">
        <v>3271</v>
      </c>
      <c r="J1" s="4030" t="s">
        <v>3408</v>
      </c>
      <c r="K1" s="4031"/>
    </row>
    <row r="2" spans="1:11" ht="69.75" customHeight="1">
      <c r="A2" s="4025"/>
      <c r="B2" s="4025"/>
      <c r="C2" s="4025"/>
      <c r="D2" s="3713" t="s">
        <v>3411</v>
      </c>
      <c r="E2" s="3713" t="s">
        <v>3409</v>
      </c>
      <c r="F2" s="3667" t="s">
        <v>3272</v>
      </c>
      <c r="G2" s="3667" t="s">
        <v>3273</v>
      </c>
      <c r="H2" s="4029"/>
      <c r="I2" s="4025"/>
      <c r="J2" s="3712" t="s">
        <v>3406</v>
      </c>
      <c r="K2" s="3712" t="s">
        <v>3407</v>
      </c>
    </row>
    <row r="3" spans="1:11">
      <c r="A3" s="3668">
        <v>1</v>
      </c>
      <c r="B3" s="3680" t="s">
        <v>3274</v>
      </c>
      <c r="C3" s="3668" t="s">
        <v>3275</v>
      </c>
      <c r="D3" s="3668">
        <v>180055.75</v>
      </c>
      <c r="E3" s="3668">
        <v>114154.36</v>
      </c>
      <c r="F3" s="3668">
        <v>59468.76</v>
      </c>
      <c r="G3" s="3668">
        <v>125573.86</v>
      </c>
      <c r="H3" s="3668">
        <v>45702.91</v>
      </c>
      <c r="I3" s="3669">
        <v>44435</v>
      </c>
      <c r="J3" s="3668">
        <f>ROUND((F3+G3)/D3*10000,0)</f>
        <v>10277</v>
      </c>
      <c r="K3" s="3668">
        <f>ROUND(J3*J20*J19*J18*J17*J16*J15*J14*J13,0)</f>
        <v>10810</v>
      </c>
    </row>
    <row r="4" spans="1:11">
      <c r="A4" s="3668">
        <v>2</v>
      </c>
      <c r="B4" s="3680" t="s">
        <v>3412</v>
      </c>
      <c r="C4" s="3668" t="s">
        <v>3275</v>
      </c>
      <c r="D4" s="3668">
        <v>187577</v>
      </c>
      <c r="E4" s="3668">
        <v>158604</v>
      </c>
      <c r="F4" s="3668">
        <v>42423.81</v>
      </c>
      <c r="G4" s="3668">
        <v>124048.85</v>
      </c>
      <c r="H4" s="3668">
        <v>39104.71</v>
      </c>
      <c r="I4" s="3669">
        <v>44704</v>
      </c>
      <c r="J4" s="3668">
        <f t="shared" ref="J4:J6" si="0">ROUND((F4+G4)/D4*10000,0)</f>
        <v>8875</v>
      </c>
      <c r="K4" s="3668">
        <f>ROUND(J4*J17*J16*J15*J14*J13,0)</f>
        <v>9126</v>
      </c>
    </row>
    <row r="5" spans="1:11">
      <c r="A5" s="3668">
        <v>3</v>
      </c>
      <c r="B5" s="3668" t="s">
        <v>3276</v>
      </c>
      <c r="C5" s="3668" t="s">
        <v>3275</v>
      </c>
      <c r="D5" s="3668">
        <v>485752.79</v>
      </c>
      <c r="E5" s="3680" t="s">
        <v>3405</v>
      </c>
      <c r="F5" s="3668">
        <v>76356.42</v>
      </c>
      <c r="G5" s="3668">
        <v>274068.84999999998</v>
      </c>
      <c r="H5" s="3668">
        <v>110586.31</v>
      </c>
      <c r="I5" s="3669">
        <v>43795</v>
      </c>
      <c r="J5" s="3668">
        <f t="shared" si="0"/>
        <v>7214</v>
      </c>
      <c r="K5" s="3668">
        <f>ROUND(J5*J27*J26*J25*J24*J23*J22*J21*J20*J19*J18*J17*J16*J15*J14*J13,0)</f>
        <v>8001</v>
      </c>
    </row>
    <row r="6" spans="1:11">
      <c r="A6" s="3668">
        <v>4</v>
      </c>
      <c r="B6" s="3680" t="s">
        <v>3277</v>
      </c>
      <c r="C6" s="3668" t="s">
        <v>3275</v>
      </c>
      <c r="D6" s="3668">
        <v>156502.60800000001</v>
      </c>
      <c r="E6" s="3668">
        <v>97812.236999999994</v>
      </c>
      <c r="F6" s="3668">
        <v>5325.24</v>
      </c>
      <c r="G6" s="3668">
        <v>121777.87</v>
      </c>
      <c r="H6" s="3668">
        <v>3604.32</v>
      </c>
      <c r="I6" s="3669">
        <v>45062</v>
      </c>
      <c r="J6" s="3668">
        <f t="shared" si="0"/>
        <v>8121</v>
      </c>
      <c r="K6" s="3668">
        <f>ROUND(J6*J13,0)</f>
        <v>8156</v>
      </c>
    </row>
    <row r="11" spans="1:11">
      <c r="H11" s="3671"/>
      <c r="I11" s="3671"/>
      <c r="J11" s="3671"/>
    </row>
    <row r="12" spans="1:11">
      <c r="H12" s="3672" t="s">
        <v>3278</v>
      </c>
      <c r="I12" s="3673">
        <v>0</v>
      </c>
      <c r="J12" s="3671"/>
    </row>
    <row r="13" spans="1:11">
      <c r="H13" s="3672" t="s">
        <v>3279</v>
      </c>
      <c r="I13" s="3673">
        <v>0.43</v>
      </c>
      <c r="J13" s="3671">
        <v>1.0043</v>
      </c>
    </row>
    <row r="14" spans="1:11">
      <c r="H14" s="3674" t="s">
        <v>3280</v>
      </c>
      <c r="I14" s="3675">
        <v>0.71</v>
      </c>
      <c r="J14" s="3671">
        <v>1.0071000000000001</v>
      </c>
    </row>
    <row r="15" spans="1:11">
      <c r="H15" s="3672" t="s">
        <v>3281</v>
      </c>
      <c r="I15" s="3676">
        <v>0.5</v>
      </c>
      <c r="J15" s="3671">
        <v>1.0049999999999999</v>
      </c>
    </row>
    <row r="16" spans="1:11">
      <c r="H16" s="3672" t="s">
        <v>3282</v>
      </c>
      <c r="I16" s="3676">
        <v>0.53</v>
      </c>
      <c r="J16" s="3671">
        <v>1.0053000000000001</v>
      </c>
    </row>
    <row r="17" spans="8:10">
      <c r="H17" s="3672" t="s">
        <v>3283</v>
      </c>
      <c r="I17" s="3676">
        <v>0.63</v>
      </c>
      <c r="J17" s="3671">
        <v>1.0063</v>
      </c>
    </row>
    <row r="18" spans="8:10">
      <c r="H18" s="3672" t="s">
        <v>3284</v>
      </c>
      <c r="I18" s="3676">
        <v>1.08</v>
      </c>
      <c r="J18" s="3671">
        <v>1.0107999999999999</v>
      </c>
    </row>
    <row r="19" spans="8:10">
      <c r="H19" s="3672" t="s">
        <v>3285</v>
      </c>
      <c r="I19" s="3676">
        <v>0.64</v>
      </c>
      <c r="J19" s="3671">
        <v>1.0064</v>
      </c>
    </row>
    <row r="20" spans="8:10">
      <c r="H20" s="3672" t="s">
        <v>3286</v>
      </c>
      <c r="I20" s="3676">
        <v>0.55000000000000004</v>
      </c>
      <c r="J20" s="3671">
        <v>1.0055000000000001</v>
      </c>
    </row>
    <row r="21" spans="8:10">
      <c r="H21" s="3672" t="s">
        <v>3287</v>
      </c>
      <c r="I21" s="3676">
        <v>0.48</v>
      </c>
      <c r="J21" s="3671">
        <v>1.0047999999999999</v>
      </c>
    </row>
    <row r="22" spans="8:10">
      <c r="H22" s="3672" t="s">
        <v>3288</v>
      </c>
      <c r="I22" s="3676">
        <v>1.01</v>
      </c>
      <c r="J22" s="3671">
        <v>1.0101</v>
      </c>
    </row>
    <row r="23" spans="8:10" ht="14.25" thickBot="1">
      <c r="H23" s="3677" t="s">
        <v>3289</v>
      </c>
      <c r="I23" s="3678">
        <v>0.36</v>
      </c>
      <c r="J23" s="3671">
        <v>1.0036</v>
      </c>
    </row>
    <row r="24" spans="8:10" ht="14.25" thickTop="1">
      <c r="H24" s="3679" t="s">
        <v>3290</v>
      </c>
      <c r="I24" s="3670">
        <v>2.69</v>
      </c>
      <c r="J24" s="3670">
        <f>I24/100+1</f>
        <v>1.0268999999999999</v>
      </c>
    </row>
    <row r="25" spans="8:10">
      <c r="H25" s="3679" t="s">
        <v>3291</v>
      </c>
      <c r="I25" s="3670">
        <v>7.0000000000000007E-2</v>
      </c>
      <c r="J25" s="3670">
        <f t="shared" ref="J25:J31" si="1">I25/100+1</f>
        <v>1.0006999999999999</v>
      </c>
    </row>
    <row r="26" spans="8:10">
      <c r="H26" s="3679" t="s">
        <v>3292</v>
      </c>
      <c r="I26" s="3670">
        <v>0.47</v>
      </c>
      <c r="J26" s="3670">
        <f t="shared" si="1"/>
        <v>1.0046999999999999</v>
      </c>
    </row>
    <row r="27" spans="8:10">
      <c r="H27" s="3679" t="s">
        <v>3293</v>
      </c>
      <c r="I27" s="3670">
        <v>0.27</v>
      </c>
      <c r="J27" s="3670">
        <f t="shared" si="1"/>
        <v>1.0026999999999999</v>
      </c>
    </row>
    <row r="28" spans="8:10">
      <c r="H28" s="3679" t="s">
        <v>3294</v>
      </c>
      <c r="I28" s="3670">
        <v>0.48</v>
      </c>
      <c r="J28" s="3670">
        <f t="shared" si="1"/>
        <v>1.0047999999999999</v>
      </c>
    </row>
    <row r="29" spans="8:10">
      <c r="H29" s="3679" t="s">
        <v>3295</v>
      </c>
      <c r="I29" s="3670">
        <v>1.03</v>
      </c>
      <c r="J29" s="3670">
        <f t="shared" si="1"/>
        <v>1.0103</v>
      </c>
    </row>
    <row r="30" spans="8:10">
      <c r="H30" s="3679" t="s">
        <v>3296</v>
      </c>
      <c r="I30" s="3670">
        <v>1.25</v>
      </c>
      <c r="J30" s="3670">
        <f t="shared" si="1"/>
        <v>1.0125</v>
      </c>
    </row>
    <row r="31" spans="8:10">
      <c r="H31" s="3679" t="s">
        <v>3297</v>
      </c>
      <c r="I31" s="3670">
        <v>1.1299999999999999</v>
      </c>
      <c r="J31" s="3670">
        <f t="shared" si="1"/>
        <v>1.0113000000000001</v>
      </c>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898" t="s">
        <v>738</v>
      </c>
      <c r="D4" s="3899"/>
      <c r="E4" s="3898" t="s">
        <v>739</v>
      </c>
      <c r="F4" s="3899"/>
      <c r="G4" s="3898" t="s">
        <v>740</v>
      </c>
      <c r="H4" s="3899"/>
      <c r="I4" s="3898" t="s">
        <v>741</v>
      </c>
      <c r="J4" s="3899"/>
      <c r="K4" s="484" t="s">
        <v>742</v>
      </c>
      <c r="L4" s="1856"/>
      <c r="M4" s="1857"/>
      <c r="N4" s="1857"/>
      <c r="O4" s="1857"/>
      <c r="P4" s="3900" t="s">
        <v>743</v>
      </c>
      <c r="Q4" s="3901"/>
      <c r="R4" s="3906" t="s">
        <v>739</v>
      </c>
      <c r="S4" s="3907"/>
      <c r="T4" s="3906" t="s">
        <v>740</v>
      </c>
      <c r="U4" s="3907"/>
      <c r="V4" s="3893" t="s">
        <v>741</v>
      </c>
      <c r="W4" s="3893"/>
      <c r="X4" s="1380"/>
      <c r="Y4" s="3906" t="s">
        <v>743</v>
      </c>
      <c r="Z4" s="3907"/>
      <c r="AA4" s="3895" t="s">
        <v>739</v>
      </c>
      <c r="AB4" s="3896" t="s">
        <v>740</v>
      </c>
      <c r="AC4" s="3895" t="s">
        <v>741</v>
      </c>
    </row>
    <row r="5" spans="1:29" ht="15">
      <c r="A5" s="485"/>
      <c r="B5" s="486"/>
      <c r="C5" s="3914" t="s">
        <v>2190</v>
      </c>
      <c r="D5" s="3915"/>
      <c r="E5" s="3914" t="s">
        <v>2191</v>
      </c>
      <c r="F5" s="3915"/>
      <c r="G5" s="3914" t="s">
        <v>2192</v>
      </c>
      <c r="H5" s="3915"/>
      <c r="I5" s="3914" t="s">
        <v>2193</v>
      </c>
      <c r="J5" s="3915"/>
      <c r="K5" s="484"/>
      <c r="L5" s="1856"/>
      <c r="M5" s="1857"/>
      <c r="N5" s="1857"/>
      <c r="O5" s="1857"/>
      <c r="P5" s="3902"/>
      <c r="Q5" s="3903"/>
      <c r="R5" s="3908"/>
      <c r="S5" s="3909"/>
      <c r="T5" s="3908"/>
      <c r="U5" s="3909"/>
      <c r="V5" s="3893"/>
      <c r="W5" s="3893"/>
      <c r="X5" s="1380"/>
      <c r="Y5" s="3908"/>
      <c r="Z5" s="3909"/>
      <c r="AA5" s="3896"/>
      <c r="AB5" s="3896"/>
      <c r="AC5" s="3896"/>
    </row>
    <row r="6" spans="1:29" ht="15.75" thickBot="1">
      <c r="A6" s="487"/>
      <c r="B6" s="488"/>
      <c r="C6" s="3912" t="s">
        <v>2194</v>
      </c>
      <c r="D6" s="3913"/>
      <c r="E6" s="3916" t="s">
        <v>2194</v>
      </c>
      <c r="F6" s="3917"/>
      <c r="G6" s="3912" t="s">
        <v>2194</v>
      </c>
      <c r="H6" s="3913"/>
      <c r="I6" s="3912" t="s">
        <v>2194</v>
      </c>
      <c r="J6" s="3913"/>
      <c r="K6" s="484" t="s">
        <v>477</v>
      </c>
      <c r="L6" s="1856"/>
      <c r="M6" s="1857"/>
      <c r="N6" s="1857"/>
      <c r="O6" s="1857"/>
      <c r="P6" s="3904"/>
      <c r="Q6" s="3905"/>
      <c r="R6" s="3908"/>
      <c r="S6" s="3909"/>
      <c r="T6" s="3910"/>
      <c r="U6" s="3911"/>
      <c r="V6" s="3893"/>
      <c r="W6" s="3893"/>
      <c r="X6" s="1380"/>
      <c r="Y6" s="3910"/>
      <c r="Z6" s="3911"/>
      <c r="AA6" s="3897"/>
      <c r="AB6" s="3897"/>
      <c r="AC6" s="3897"/>
    </row>
    <row r="7" spans="1:29" s="1118" customFormat="1" ht="15.75" thickBot="1">
      <c r="A7" s="2391"/>
      <c r="B7" s="2398" t="s">
        <v>478</v>
      </c>
      <c r="C7" s="489">
        <f>'数据-取费表'!B2</f>
        <v>45248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22" t="s">
        <v>479</v>
      </c>
      <c r="Q7" s="3924"/>
      <c r="R7" s="1381" t="s">
        <v>5</v>
      </c>
      <c r="S7" s="1382">
        <f t="shared" ref="S7:S14" si="0">F7</f>
        <v>0</v>
      </c>
      <c r="T7" s="1381" t="s">
        <v>5</v>
      </c>
      <c r="U7" s="1382">
        <f t="shared" ref="U7:U14" si="1">H7</f>
        <v>0</v>
      </c>
      <c r="V7" s="1381" t="s">
        <v>5</v>
      </c>
      <c r="W7" s="1382">
        <f t="shared" ref="W7:W14"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22" t="s">
        <v>482</v>
      </c>
      <c r="Q8" s="3923"/>
      <c r="R8" s="1381" t="s">
        <v>5</v>
      </c>
      <c r="S8" s="1382">
        <f t="shared" si="0"/>
        <v>0</v>
      </c>
      <c r="T8" s="1381" t="s">
        <v>5</v>
      </c>
      <c r="U8" s="1382">
        <f t="shared" si="1"/>
        <v>0</v>
      </c>
      <c r="V8" s="1381" t="s">
        <v>5</v>
      </c>
      <c r="W8" s="1382">
        <f t="shared" si="2"/>
        <v>0</v>
      </c>
      <c r="X8" s="1383"/>
      <c r="Y8" s="3922" t="s">
        <v>482</v>
      </c>
      <c r="Z8" s="3923"/>
      <c r="AA8" s="1384" t="e">
        <f t="shared" ref="AA8:AA36" si="3">D8/F8</f>
        <v>#DIV/0!</v>
      </c>
      <c r="AB8" s="1384" t="e">
        <f t="shared" ref="AB8:AB36" si="4">D8/H8</f>
        <v>#DIV/0!</v>
      </c>
      <c r="AC8" s="1384"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2" t="s">
        <v>484</v>
      </c>
      <c r="Q9" s="1050" t="str">
        <f t="shared" ref="Q9:Q14" si="6">B9</f>
        <v>用途</v>
      </c>
      <c r="R9" s="1381" t="s">
        <v>5</v>
      </c>
      <c r="S9" s="1382">
        <f t="shared" si="0"/>
        <v>100</v>
      </c>
      <c r="T9" s="1381" t="s">
        <v>5</v>
      </c>
      <c r="U9" s="1382">
        <f t="shared" si="1"/>
        <v>100</v>
      </c>
      <c r="V9" s="1381" t="s">
        <v>5</v>
      </c>
      <c r="W9" s="1382">
        <f t="shared" si="2"/>
        <v>100</v>
      </c>
      <c r="X9" s="1383"/>
      <c r="Y9" s="3834"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2"/>
      <c r="Q11" s="1050">
        <f t="shared" si="6"/>
        <v>111</v>
      </c>
      <c r="R11" s="1381" t="s">
        <v>5</v>
      </c>
      <c r="S11" s="1382">
        <f t="shared" si="0"/>
        <v>100</v>
      </c>
      <c r="T11" s="1381" t="s">
        <v>5</v>
      </c>
      <c r="U11" s="1382">
        <f t="shared" si="1"/>
        <v>100</v>
      </c>
      <c r="V11" s="1381" t="s">
        <v>5</v>
      </c>
      <c r="W11" s="1382">
        <f t="shared" si="2"/>
        <v>100</v>
      </c>
      <c r="X11" s="1383"/>
      <c r="Y11" s="3834"/>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2"/>
      <c r="Q12" s="1050">
        <f t="shared" si="6"/>
        <v>111</v>
      </c>
      <c r="R12" s="1381" t="s">
        <v>5</v>
      </c>
      <c r="S12" s="1382">
        <f t="shared" si="0"/>
        <v>100</v>
      </c>
      <c r="T12" s="1381" t="s">
        <v>5</v>
      </c>
      <c r="U12" s="1382">
        <f t="shared" si="1"/>
        <v>100</v>
      </c>
      <c r="V12" s="1381" t="s">
        <v>5</v>
      </c>
      <c r="W12" s="1382">
        <f t="shared" si="2"/>
        <v>100</v>
      </c>
      <c r="X12" s="1383"/>
      <c r="Y12" s="3834"/>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2"/>
      <c r="Q13" s="1050">
        <f t="shared" si="6"/>
        <v>111</v>
      </c>
      <c r="R13" s="1381" t="s">
        <v>5</v>
      </c>
      <c r="S13" s="1382">
        <f t="shared" si="0"/>
        <v>100</v>
      </c>
      <c r="T13" s="1381" t="s">
        <v>5</v>
      </c>
      <c r="U13" s="1382">
        <f t="shared" si="1"/>
        <v>100</v>
      </c>
      <c r="V13" s="1381" t="s">
        <v>5</v>
      </c>
      <c r="W13" s="1382">
        <f t="shared" si="2"/>
        <v>100</v>
      </c>
      <c r="X13" s="1383"/>
      <c r="Y13" s="3834"/>
      <c r="Z13" s="1049">
        <f t="shared" si="7"/>
        <v>111</v>
      </c>
      <c r="AA13" s="1384">
        <f t="shared" si="3"/>
        <v>1</v>
      </c>
      <c r="AB13" s="1384">
        <f t="shared" si="4"/>
        <v>1</v>
      </c>
      <c r="AC13" s="1384">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5" t="s">
        <v>489</v>
      </c>
      <c r="Q14" s="1385" t="str">
        <f t="shared" si="6"/>
        <v>交通便捷度</v>
      </c>
      <c r="R14" s="1386" t="s">
        <v>5</v>
      </c>
      <c r="S14" s="1387">
        <f t="shared" si="0"/>
        <v>100</v>
      </c>
      <c r="T14" s="1386" t="s">
        <v>5</v>
      </c>
      <c r="U14" s="1387">
        <f t="shared" si="1"/>
        <v>100</v>
      </c>
      <c r="V14" s="1386" t="s">
        <v>5</v>
      </c>
      <c r="W14" s="1387">
        <f t="shared" si="2"/>
        <v>100</v>
      </c>
      <c r="X14" s="1380"/>
      <c r="Y14" s="392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6"/>
      <c r="Q15" s="1385"/>
      <c r="R15" s="1386"/>
      <c r="S15" s="1387"/>
      <c r="T15" s="1386"/>
      <c r="U15" s="1387"/>
      <c r="V15" s="1386"/>
      <c r="W15" s="1387"/>
      <c r="X15" s="1380"/>
      <c r="Y15" s="3926"/>
      <c r="Z15" s="1388"/>
      <c r="AA15" s="1389">
        <v>1</v>
      </c>
      <c r="AB15" s="1389">
        <v>1</v>
      </c>
      <c r="AC15" s="1389">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6"/>
      <c r="Q16" s="1385" t="str">
        <f>B16</f>
        <v>公共配套设施</v>
      </c>
      <c r="R16" s="1386" t="s">
        <v>5</v>
      </c>
      <c r="S16" s="1387">
        <f>F16</f>
        <v>100</v>
      </c>
      <c r="T16" s="1386" t="s">
        <v>5</v>
      </c>
      <c r="U16" s="1387">
        <f>H16</f>
        <v>100</v>
      </c>
      <c r="V16" s="1386" t="s">
        <v>5</v>
      </c>
      <c r="W16" s="1387">
        <f>J16</f>
        <v>100</v>
      </c>
      <c r="X16" s="1380"/>
      <c r="Y16" s="392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6"/>
      <c r="Q17" s="1385"/>
      <c r="R17" s="1386"/>
      <c r="S17" s="1387"/>
      <c r="T17" s="1386"/>
      <c r="U17" s="1387"/>
      <c r="V17" s="1386"/>
      <c r="W17" s="1387"/>
      <c r="X17" s="1380"/>
      <c r="Y17" s="3926"/>
      <c r="Z17" s="1388"/>
      <c r="AA17" s="1389">
        <v>1</v>
      </c>
      <c r="AB17" s="1389">
        <v>1</v>
      </c>
      <c r="AC17" s="1389">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6"/>
      <c r="Q18" s="2192" t="str">
        <f>B18</f>
        <v>基础设施水平</v>
      </c>
      <c r="R18" s="1386" t="s">
        <v>5</v>
      </c>
      <c r="S18" s="1387">
        <f>F18</f>
        <v>100</v>
      </c>
      <c r="T18" s="1386" t="s">
        <v>5</v>
      </c>
      <c r="U18" s="1387">
        <f>H18</f>
        <v>100</v>
      </c>
      <c r="V18" s="1386" t="s">
        <v>5</v>
      </c>
      <c r="W18" s="1387">
        <f>J18</f>
        <v>100</v>
      </c>
      <c r="X18" s="2194"/>
      <c r="Y18" s="3926"/>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926"/>
      <c r="Q19" s="2192"/>
      <c r="R19" s="1386"/>
      <c r="S19" s="1387"/>
      <c r="T19" s="1386"/>
      <c r="U19" s="1387"/>
      <c r="V19" s="1386"/>
      <c r="W19" s="1387"/>
      <c r="X19" s="2194"/>
      <c r="Y19" s="3926"/>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6"/>
      <c r="Q20" s="1385" t="str">
        <f>B20</f>
        <v>自然及人文环境</v>
      </c>
      <c r="R20" s="1386" t="s">
        <v>5</v>
      </c>
      <c r="S20" s="1387">
        <f>F20</f>
        <v>100</v>
      </c>
      <c r="T20" s="1386" t="s">
        <v>5</v>
      </c>
      <c r="U20" s="1387">
        <f>H20</f>
        <v>100</v>
      </c>
      <c r="V20" s="1386" t="s">
        <v>5</v>
      </c>
      <c r="W20" s="1387">
        <f>J20</f>
        <v>100</v>
      </c>
      <c r="X20" s="1380"/>
      <c r="Y20" s="392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6"/>
      <c r="Q21" s="1385"/>
      <c r="R21" s="1386"/>
      <c r="S21" s="1387"/>
      <c r="T21" s="1386"/>
      <c r="U21" s="1387"/>
      <c r="V21" s="1386"/>
      <c r="W21" s="1387"/>
      <c r="X21" s="1380"/>
      <c r="Y21" s="392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6"/>
      <c r="Q22" s="1385" t="str">
        <f>B22</f>
        <v>楼层</v>
      </c>
      <c r="R22" s="1386" t="s">
        <v>5</v>
      </c>
      <c r="S22" s="1387">
        <f>F22</f>
        <v>100</v>
      </c>
      <c r="T22" s="1386" t="s">
        <v>5</v>
      </c>
      <c r="U22" s="1387">
        <f>H22</f>
        <v>100</v>
      </c>
      <c r="V22" s="1386" t="s">
        <v>5</v>
      </c>
      <c r="W22" s="1387">
        <f>J22</f>
        <v>100</v>
      </c>
      <c r="X22" s="1380"/>
      <c r="Y22" s="392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6"/>
      <c r="Q23" s="1385">
        <f>B23</f>
        <v>111</v>
      </c>
      <c r="R23" s="1386" t="s">
        <v>5</v>
      </c>
      <c r="S23" s="1387">
        <f>F23</f>
        <v>100</v>
      </c>
      <c r="T23" s="1386" t="s">
        <v>5</v>
      </c>
      <c r="U23" s="1387">
        <f>H23</f>
        <v>100</v>
      </c>
      <c r="V23" s="1386" t="s">
        <v>5</v>
      </c>
      <c r="W23" s="1387">
        <f>J23</f>
        <v>100</v>
      </c>
      <c r="X23" s="1380"/>
      <c r="Y23" s="392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6"/>
      <c r="Q24" s="1385">
        <f t="shared" ref="Q24:Q36" si="8">B24</f>
        <v>111</v>
      </c>
      <c r="R24" s="1386" t="s">
        <v>5</v>
      </c>
      <c r="S24" s="1387">
        <f>F24</f>
        <v>100</v>
      </c>
      <c r="T24" s="1386" t="s">
        <v>5</v>
      </c>
      <c r="U24" s="1387">
        <f>H24</f>
        <v>100</v>
      </c>
      <c r="V24" s="1386" t="s">
        <v>5</v>
      </c>
      <c r="W24" s="1387">
        <f>J24</f>
        <v>100</v>
      </c>
      <c r="X24" s="1380"/>
      <c r="Y24" s="392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6"/>
      <c r="Q25" s="1050">
        <f t="shared" si="8"/>
        <v>111</v>
      </c>
      <c r="R25" s="1381" t="s">
        <v>5</v>
      </c>
      <c r="S25" s="1382">
        <f>F25</f>
        <v>100</v>
      </c>
      <c r="T25" s="1381" t="s">
        <v>5</v>
      </c>
      <c r="U25" s="1382">
        <f>H25</f>
        <v>100</v>
      </c>
      <c r="V25" s="1381" t="s">
        <v>5</v>
      </c>
      <c r="W25" s="1382">
        <f>J25</f>
        <v>100</v>
      </c>
      <c r="X25" s="1383"/>
      <c r="Y25" s="3926"/>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8"/>
      <c r="Q27" s="1414" t="str">
        <f t="shared" si="8"/>
        <v>项目停车位配比</v>
      </c>
      <c r="R27" s="1390" t="s">
        <v>5</v>
      </c>
      <c r="S27" s="1391">
        <f t="shared" si="9"/>
        <v>100</v>
      </c>
      <c r="T27" s="1390" t="s">
        <v>5</v>
      </c>
      <c r="U27" s="1391">
        <f t="shared" si="10"/>
        <v>100</v>
      </c>
      <c r="V27" s="1390" t="s">
        <v>5</v>
      </c>
      <c r="W27" s="1391">
        <f t="shared" si="11"/>
        <v>100</v>
      </c>
      <c r="X27" s="1392"/>
      <c r="Y27" s="392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8"/>
      <c r="Q28" s="1385" t="str">
        <f t="shared" si="8"/>
        <v>公共部分装修</v>
      </c>
      <c r="R28" s="1386" t="s">
        <v>5</v>
      </c>
      <c r="S28" s="1387">
        <f t="shared" si="9"/>
        <v>100</v>
      </c>
      <c r="T28" s="1386" t="s">
        <v>5</v>
      </c>
      <c r="U28" s="1387">
        <f t="shared" si="10"/>
        <v>100</v>
      </c>
      <c r="V28" s="1386" t="s">
        <v>5</v>
      </c>
      <c r="W28" s="1387">
        <f t="shared" si="11"/>
        <v>100</v>
      </c>
      <c r="X28" s="1380"/>
      <c r="Y28" s="392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8"/>
      <c r="Q29" s="1385" t="str">
        <f t="shared" si="8"/>
        <v>成新率</v>
      </c>
      <c r="R29" s="1386" t="s">
        <v>5</v>
      </c>
      <c r="S29" s="1387" t="e">
        <f t="shared" si="9"/>
        <v>#N/A</v>
      </c>
      <c r="T29" s="1386" t="s">
        <v>5</v>
      </c>
      <c r="U29" s="1387" t="e">
        <f t="shared" si="10"/>
        <v>#N/A</v>
      </c>
      <c r="V29" s="1386" t="s">
        <v>5</v>
      </c>
      <c r="W29" s="1387" t="e">
        <f t="shared" si="11"/>
        <v>#N/A</v>
      </c>
      <c r="X29" s="1380"/>
      <c r="Y29" s="392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8"/>
      <c r="Q30" s="1385" t="str">
        <f t="shared" si="8"/>
        <v>物业等级</v>
      </c>
      <c r="R30" s="1386" t="s">
        <v>5</v>
      </c>
      <c r="S30" s="1387">
        <f t="shared" si="9"/>
        <v>100</v>
      </c>
      <c r="T30" s="1386" t="s">
        <v>5</v>
      </c>
      <c r="U30" s="1387">
        <f t="shared" si="10"/>
        <v>100</v>
      </c>
      <c r="V30" s="1386" t="s">
        <v>5</v>
      </c>
      <c r="W30" s="1387">
        <f t="shared" si="11"/>
        <v>100</v>
      </c>
      <c r="X30" s="1380"/>
      <c r="Y30" s="392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8"/>
      <c r="Q31" s="1050" t="str">
        <f t="shared" si="8"/>
        <v>停车位面积</v>
      </c>
      <c r="R31" s="1381" t="s">
        <v>5</v>
      </c>
      <c r="S31" s="1382" t="e">
        <f t="shared" si="9"/>
        <v>#N/A</v>
      </c>
      <c r="T31" s="1381" t="s">
        <v>5</v>
      </c>
      <c r="U31" s="1382" t="e">
        <f t="shared" si="10"/>
        <v>#N/A</v>
      </c>
      <c r="V31" s="1381" t="s">
        <v>5</v>
      </c>
      <c r="W31" s="1382" t="e">
        <f t="shared" si="11"/>
        <v>#N/A</v>
      </c>
      <c r="X31" s="1383"/>
      <c r="Y31" s="392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8" t="s">
        <v>499</v>
      </c>
      <c r="Q32" s="1385" t="str">
        <f t="shared" si="8"/>
        <v>车位类型</v>
      </c>
      <c r="R32" s="1386" t="s">
        <v>5</v>
      </c>
      <c r="S32" s="1387">
        <f t="shared" si="9"/>
        <v>100</v>
      </c>
      <c r="T32" s="1386" t="s">
        <v>5</v>
      </c>
      <c r="U32" s="1387">
        <f t="shared" si="10"/>
        <v>100</v>
      </c>
      <c r="V32" s="1386" t="s">
        <v>5</v>
      </c>
      <c r="W32" s="1387">
        <f t="shared" si="11"/>
        <v>100</v>
      </c>
      <c r="X32" s="1380"/>
      <c r="Y32" s="392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8"/>
      <c r="Q33" s="1385" t="str">
        <f t="shared" si="8"/>
        <v>是否直接入户</v>
      </c>
      <c r="R33" s="1386" t="s">
        <v>5</v>
      </c>
      <c r="S33" s="1387">
        <f t="shared" si="9"/>
        <v>100</v>
      </c>
      <c r="T33" s="1386" t="s">
        <v>5</v>
      </c>
      <c r="U33" s="1387">
        <f t="shared" si="10"/>
        <v>100</v>
      </c>
      <c r="V33" s="1386" t="s">
        <v>5</v>
      </c>
      <c r="W33" s="1387">
        <f t="shared" si="11"/>
        <v>100</v>
      </c>
      <c r="X33" s="1380"/>
      <c r="Y33" s="392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8"/>
      <c r="Q34" s="1385">
        <f t="shared" si="8"/>
        <v>111</v>
      </c>
      <c r="R34" s="1386" t="s">
        <v>5</v>
      </c>
      <c r="S34" s="1387">
        <f t="shared" si="9"/>
        <v>100</v>
      </c>
      <c r="T34" s="1386" t="s">
        <v>5</v>
      </c>
      <c r="U34" s="1387">
        <f t="shared" si="10"/>
        <v>100</v>
      </c>
      <c r="V34" s="1386" t="s">
        <v>5</v>
      </c>
      <c r="W34" s="1387">
        <f t="shared" si="11"/>
        <v>100</v>
      </c>
      <c r="X34" s="1380"/>
      <c r="Y34" s="392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8"/>
      <c r="Q35" s="1414">
        <f t="shared" si="8"/>
        <v>111</v>
      </c>
      <c r="R35" s="1390" t="s">
        <v>5</v>
      </c>
      <c r="S35" s="1391">
        <f t="shared" si="9"/>
        <v>100</v>
      </c>
      <c r="T35" s="1390" t="s">
        <v>5</v>
      </c>
      <c r="U35" s="1391">
        <f t="shared" si="10"/>
        <v>100</v>
      </c>
      <c r="V35" s="1390" t="s">
        <v>5</v>
      </c>
      <c r="W35" s="1391">
        <f t="shared" si="11"/>
        <v>100</v>
      </c>
      <c r="X35" s="1392"/>
      <c r="Y35" s="392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8"/>
      <c r="Q36" s="1385">
        <f t="shared" si="8"/>
        <v>111</v>
      </c>
      <c r="R36" s="1386" t="s">
        <v>5</v>
      </c>
      <c r="S36" s="1387">
        <f t="shared" si="9"/>
        <v>100</v>
      </c>
      <c r="T36" s="1386" t="s">
        <v>5</v>
      </c>
      <c r="U36" s="1387">
        <f t="shared" si="10"/>
        <v>100</v>
      </c>
      <c r="V36" s="1386" t="s">
        <v>5</v>
      </c>
      <c r="W36" s="1387">
        <f t="shared" si="11"/>
        <v>100</v>
      </c>
      <c r="X36" s="1380"/>
      <c r="Y36" s="3928"/>
      <c r="Z36" s="1388">
        <f t="shared" si="12"/>
        <v>111</v>
      </c>
      <c r="AA36" s="1389">
        <f t="shared" si="3"/>
        <v>1</v>
      </c>
      <c r="AB36" s="1389">
        <f t="shared" si="4"/>
        <v>1</v>
      </c>
      <c r="AC36" s="1389">
        <f t="shared" si="5"/>
        <v>1</v>
      </c>
    </row>
    <row r="37" spans="1:29" ht="15">
      <c r="A37" s="1632" t="s">
        <v>1595</v>
      </c>
      <c r="B37" s="1633" t="s">
        <v>1596</v>
      </c>
      <c r="C37" s="2233" t="s">
        <v>0</v>
      </c>
      <c r="D37" s="2234"/>
      <c r="E37" s="2235"/>
      <c r="F37" s="2236"/>
      <c r="G37" s="2237"/>
      <c r="H37" s="2238"/>
      <c r="I37" s="2235"/>
      <c r="J37" s="2238"/>
      <c r="K37" s="1419"/>
      <c r="L37" s="1867"/>
      <c r="M37" s="1868"/>
      <c r="N37" s="1857"/>
      <c r="O37" s="1868"/>
      <c r="P37" s="3892" t="str">
        <f>A37</f>
        <v>成交单价</v>
      </c>
      <c r="Q37" s="3892"/>
      <c r="R37" s="4018">
        <f>E37</f>
        <v>0</v>
      </c>
      <c r="S37" s="4018"/>
      <c r="T37" s="4018">
        <f>G37</f>
        <v>0</v>
      </c>
      <c r="U37" s="4018"/>
      <c r="V37" s="4018">
        <f>I37</f>
        <v>0</v>
      </c>
      <c r="W37" s="4018"/>
      <c r="X37" s="1375"/>
      <c r="Y37" s="1394"/>
      <c r="Z37" s="1375"/>
      <c r="AA37" s="1375"/>
      <c r="AB37" s="1375"/>
      <c r="AC37" s="1375"/>
    </row>
    <row r="38" spans="1:29" ht="15.7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3892" t="str">
        <f>A38</f>
        <v>比较价格（元/平方米）</v>
      </c>
      <c r="Q38" s="3892"/>
      <c r="R38" s="4018" t="e">
        <f>IF(F1="售价",ROUND(PRODUCT(R37,AA7:AA36),0),ROUND(PRODUCT(R37,AA7:AA36),1))</f>
        <v>#DIV/0!</v>
      </c>
      <c r="S38" s="4018"/>
      <c r="T38" s="4018" t="e">
        <f>IF(F1="售价",ROUND(PRODUCT(T37,AB7:AB36),0),ROUND(PRODUCT(T37,AB7:AB36),1))</f>
        <v>#DIV/0!</v>
      </c>
      <c r="U38" s="4018"/>
      <c r="V38" s="4018" t="e">
        <f>IF(F1="售价",ROUND(PRODUCT(V37,AC7:AC36),0),ROUND(PRODUCT(V37,AC7:AC36),1))</f>
        <v>#DIV/0!</v>
      </c>
      <c r="W38" s="4018"/>
      <c r="X38" s="1375"/>
      <c r="Y38" s="1375"/>
      <c r="Z38" s="1375"/>
      <c r="AA38" s="1375"/>
      <c r="AB38" s="1375"/>
      <c r="AC38" s="1375"/>
    </row>
    <row r="39" spans="1:29" ht="15.75" thickBot="1">
      <c r="A39" s="589" t="s">
        <v>2196</v>
      </c>
      <c r="B39" s="590"/>
      <c r="C39" s="2241" t="e">
        <f>R39</f>
        <v>#DIV/0!</v>
      </c>
      <c r="D39" s="2241"/>
      <c r="E39" s="2241"/>
      <c r="F39" s="2241"/>
      <c r="G39" s="2241"/>
      <c r="H39" s="2241"/>
      <c r="I39" s="2241"/>
      <c r="J39" s="2241"/>
      <c r="K39" s="1420"/>
      <c r="L39" s="1867"/>
      <c r="M39" s="1868"/>
      <c r="N39" s="1868"/>
      <c r="O39" s="1868"/>
      <c r="P39" s="3929" t="str">
        <f>A39</f>
        <v>估价对象XX用房的比较价格（楼面单价，元/平方米）</v>
      </c>
      <c r="Q39" s="3930"/>
      <c r="R39" s="4017" t="e">
        <f>IF(F1="售价",ROUND(IF(D38="简单平均",AVERAGE(R38:W38),R38*F38+T38*H38+V38*J38),0),ROUND(IF(D38="简单平均",AVERAGE(R38:V38),R38*F38+T38*H38+V38*J38),1))</f>
        <v>#DIV/0!</v>
      </c>
      <c r="S39" s="4017"/>
      <c r="T39" s="4017"/>
      <c r="U39" s="4017"/>
      <c r="V39" s="4017"/>
      <c r="W39" s="4017"/>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1" t="str">
        <f>YEAR(C7)&amp;"-"&amp;MONTH(C7)</f>
        <v>2023-11</v>
      </c>
      <c r="D48" s="2283">
        <f>EDATE(C48,-1)</f>
        <v>45200</v>
      </c>
      <c r="E48" s="2283">
        <f t="shared" ref="E48:O48" si="13">EDATE(D48,-1)</f>
        <v>45170</v>
      </c>
      <c r="F48" s="2283">
        <f t="shared" si="13"/>
        <v>45139</v>
      </c>
      <c r="G48" s="2283">
        <f t="shared" si="13"/>
        <v>45108</v>
      </c>
      <c r="H48" s="2283">
        <f t="shared" si="13"/>
        <v>45078</v>
      </c>
      <c r="I48" s="2283">
        <f t="shared" si="13"/>
        <v>45047</v>
      </c>
      <c r="J48" s="2283">
        <f t="shared" si="13"/>
        <v>45017</v>
      </c>
      <c r="K48" s="2283">
        <f t="shared" si="13"/>
        <v>44986</v>
      </c>
      <c r="L48" s="2283">
        <f t="shared" si="13"/>
        <v>44958</v>
      </c>
      <c r="M48" s="2283">
        <f t="shared" si="13"/>
        <v>44927</v>
      </c>
      <c r="N48" s="2283">
        <f t="shared" si="13"/>
        <v>44896</v>
      </c>
      <c r="O48" s="2283">
        <f t="shared" si="13"/>
        <v>44866</v>
      </c>
      <c r="P48" s="1882"/>
      <c r="Q48" s="1883"/>
      <c r="R48" s="1883"/>
      <c r="S48" s="1883"/>
      <c r="T48" s="1883"/>
      <c r="U48" s="1883"/>
      <c r="V48" s="1883"/>
      <c r="W48" s="1883"/>
      <c r="X48" s="1883"/>
      <c r="Y48" s="1883"/>
      <c r="Z48" s="1883"/>
      <c r="AA48" s="1883"/>
      <c r="AB48" s="1883"/>
      <c r="AC48" s="1883"/>
    </row>
    <row r="49" spans="1:29" s="1118" customFormat="1" ht="15">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898" t="s">
        <v>738</v>
      </c>
      <c r="D4" s="3899"/>
      <c r="E4" s="3933" t="s">
        <v>739</v>
      </c>
      <c r="F4" s="3934"/>
      <c r="G4" s="3898" t="s">
        <v>740</v>
      </c>
      <c r="H4" s="3899"/>
      <c r="I4" s="3898" t="s">
        <v>741</v>
      </c>
      <c r="J4" s="3899"/>
      <c r="K4" s="484" t="s">
        <v>742</v>
      </c>
      <c r="L4" s="1856"/>
      <c r="M4" s="1857"/>
      <c r="N4" s="1857"/>
      <c r="O4" s="1857"/>
      <c r="P4" s="3900" t="s">
        <v>743</v>
      </c>
      <c r="Q4" s="3901"/>
      <c r="R4" s="3906" t="s">
        <v>739</v>
      </c>
      <c r="S4" s="3907"/>
      <c r="T4" s="3906" t="s">
        <v>740</v>
      </c>
      <c r="U4" s="3907"/>
      <c r="V4" s="3893" t="s">
        <v>741</v>
      </c>
      <c r="W4" s="3893"/>
      <c r="X4" s="1380"/>
      <c r="Y4" s="3906" t="s">
        <v>743</v>
      </c>
      <c r="Z4" s="3907"/>
      <c r="AA4" s="3895" t="s">
        <v>739</v>
      </c>
      <c r="AB4" s="3896" t="s">
        <v>740</v>
      </c>
      <c r="AC4" s="3895" t="s">
        <v>741</v>
      </c>
    </row>
    <row r="5" spans="1:29" ht="15">
      <c r="A5" s="485"/>
      <c r="B5" s="486"/>
      <c r="C5" s="3914" t="s">
        <v>2190</v>
      </c>
      <c r="D5" s="3915"/>
      <c r="E5" s="3935" t="s">
        <v>2191</v>
      </c>
      <c r="F5" s="3936"/>
      <c r="G5" s="3914" t="s">
        <v>2192</v>
      </c>
      <c r="H5" s="3915"/>
      <c r="I5" s="3914" t="s">
        <v>2193</v>
      </c>
      <c r="J5" s="3915"/>
      <c r="K5" s="484"/>
      <c r="L5" s="1856"/>
      <c r="M5" s="1857"/>
      <c r="N5" s="1857"/>
      <c r="O5" s="1857"/>
      <c r="P5" s="3902"/>
      <c r="Q5" s="3903"/>
      <c r="R5" s="3908"/>
      <c r="S5" s="3909"/>
      <c r="T5" s="3908"/>
      <c r="U5" s="3909"/>
      <c r="V5" s="3893"/>
      <c r="W5" s="3893"/>
      <c r="X5" s="1380"/>
      <c r="Y5" s="3908"/>
      <c r="Z5" s="3909"/>
      <c r="AA5" s="3896"/>
      <c r="AB5" s="3896"/>
      <c r="AC5" s="3896"/>
    </row>
    <row r="6" spans="1:29" ht="15.75" thickBot="1">
      <c r="A6" s="487"/>
      <c r="B6" s="488"/>
      <c r="C6" s="3912" t="s">
        <v>2194</v>
      </c>
      <c r="D6" s="3913"/>
      <c r="E6" s="3931" t="s">
        <v>2194</v>
      </c>
      <c r="F6" s="3932"/>
      <c r="G6" s="3912" t="s">
        <v>2194</v>
      </c>
      <c r="H6" s="3913"/>
      <c r="I6" s="3912" t="s">
        <v>2194</v>
      </c>
      <c r="J6" s="3913"/>
      <c r="K6" s="484" t="s">
        <v>477</v>
      </c>
      <c r="L6" s="1856"/>
      <c r="M6" s="1857"/>
      <c r="N6" s="1857"/>
      <c r="O6" s="1857"/>
      <c r="P6" s="3904"/>
      <c r="Q6" s="3905"/>
      <c r="R6" s="3908"/>
      <c r="S6" s="3909"/>
      <c r="T6" s="3910"/>
      <c r="U6" s="3911"/>
      <c r="V6" s="3893"/>
      <c r="W6" s="3893"/>
      <c r="X6" s="1380"/>
      <c r="Y6" s="3910"/>
      <c r="Z6" s="3911"/>
      <c r="AA6" s="3897"/>
      <c r="AB6" s="3897"/>
      <c r="AC6" s="3897"/>
    </row>
    <row r="7" spans="1:29" s="1118" customFormat="1" ht="15.75" thickBot="1">
      <c r="A7" s="2391"/>
      <c r="B7" s="2398" t="s">
        <v>478</v>
      </c>
      <c r="C7" s="489">
        <f>'数据-取费表'!B2</f>
        <v>45248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2" t="s">
        <v>479</v>
      </c>
      <c r="Q7" s="3924"/>
      <c r="R7" s="1381" t="s">
        <v>5</v>
      </c>
      <c r="S7" s="1382">
        <f t="shared" ref="S7:S14" si="0">F7</f>
        <v>0</v>
      </c>
      <c r="T7" s="1381" t="s">
        <v>5</v>
      </c>
      <c r="U7" s="1382">
        <f t="shared" ref="U7:U14" si="1">H7</f>
        <v>0</v>
      </c>
      <c r="V7" s="1381" t="s">
        <v>5</v>
      </c>
      <c r="W7" s="1382">
        <f t="shared" ref="W7:W14" si="2">J7</f>
        <v>0</v>
      </c>
      <c r="X7" s="1383"/>
      <c r="Y7" s="3922" t="s">
        <v>479</v>
      </c>
      <c r="Z7" s="3923"/>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2" t="s">
        <v>482</v>
      </c>
      <c r="Q8" s="3923"/>
      <c r="R8" s="1381" t="s">
        <v>5</v>
      </c>
      <c r="S8" s="1382">
        <f t="shared" si="0"/>
        <v>0</v>
      </c>
      <c r="T8" s="1381" t="s">
        <v>5</v>
      </c>
      <c r="U8" s="1382">
        <f t="shared" si="1"/>
        <v>0</v>
      </c>
      <c r="V8" s="1381" t="s">
        <v>5</v>
      </c>
      <c r="W8" s="1382">
        <f t="shared" si="2"/>
        <v>0</v>
      </c>
      <c r="X8" s="1383"/>
      <c r="Y8" s="3922" t="s">
        <v>482</v>
      </c>
      <c r="Z8" s="3923"/>
      <c r="AA8" s="1384" t="e">
        <f t="shared" ref="AA8:AA34" si="3">D8/F8</f>
        <v>#DIV/0!</v>
      </c>
      <c r="AB8" s="1384" t="e">
        <f t="shared" ref="AB8:AB34" si="4">D8/H8</f>
        <v>#DIV/0!</v>
      </c>
      <c r="AC8" s="1384"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2" t="s">
        <v>484</v>
      </c>
      <c r="Q9" s="1050" t="str">
        <f t="shared" ref="Q9:Q14" si="6">B9</f>
        <v>用途</v>
      </c>
      <c r="R9" s="1381" t="s">
        <v>5</v>
      </c>
      <c r="S9" s="1382">
        <f t="shared" si="0"/>
        <v>100</v>
      </c>
      <c r="T9" s="1381" t="s">
        <v>5</v>
      </c>
      <c r="U9" s="1382">
        <f t="shared" si="1"/>
        <v>100</v>
      </c>
      <c r="V9" s="1381" t="s">
        <v>5</v>
      </c>
      <c r="W9" s="1382">
        <f t="shared" si="2"/>
        <v>100</v>
      </c>
      <c r="X9" s="1383"/>
      <c r="Y9" s="3834"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3892"/>
      <c r="Q10" s="1050" t="str">
        <f t="shared" si="6"/>
        <v>土地使用年限（年）</v>
      </c>
      <c r="R10" s="1381" t="s">
        <v>5</v>
      </c>
      <c r="S10" s="1382">
        <f t="shared" si="0"/>
        <v>100</v>
      </c>
      <c r="T10" s="1381" t="s">
        <v>5</v>
      </c>
      <c r="U10" s="1382">
        <f t="shared" si="1"/>
        <v>100</v>
      </c>
      <c r="V10" s="1381" t="s">
        <v>5</v>
      </c>
      <c r="W10" s="1382">
        <f t="shared" si="2"/>
        <v>100</v>
      </c>
      <c r="X10" s="1383"/>
      <c r="Y10" s="3834"/>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2"/>
      <c r="Q11" s="1050">
        <f t="shared" si="6"/>
        <v>111</v>
      </c>
      <c r="R11" s="1381" t="s">
        <v>5</v>
      </c>
      <c r="S11" s="1382">
        <f t="shared" si="0"/>
        <v>100</v>
      </c>
      <c r="T11" s="1381" t="s">
        <v>5</v>
      </c>
      <c r="U11" s="1382">
        <f t="shared" si="1"/>
        <v>100</v>
      </c>
      <c r="V11" s="1381" t="s">
        <v>5</v>
      </c>
      <c r="W11" s="1382">
        <f t="shared" si="2"/>
        <v>100</v>
      </c>
      <c r="X11" s="1383"/>
      <c r="Y11" s="3834"/>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2"/>
      <c r="Q12" s="1050">
        <f t="shared" si="6"/>
        <v>111</v>
      </c>
      <c r="R12" s="1381" t="s">
        <v>5</v>
      </c>
      <c r="S12" s="1382">
        <f t="shared" si="0"/>
        <v>100</v>
      </c>
      <c r="T12" s="1381" t="s">
        <v>5</v>
      </c>
      <c r="U12" s="1382">
        <f t="shared" si="1"/>
        <v>100</v>
      </c>
      <c r="V12" s="1381" t="s">
        <v>5</v>
      </c>
      <c r="W12" s="1382">
        <f t="shared" si="2"/>
        <v>100</v>
      </c>
      <c r="X12" s="1383"/>
      <c r="Y12" s="3834"/>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2"/>
      <c r="Q13" s="1050">
        <f t="shared" si="6"/>
        <v>111</v>
      </c>
      <c r="R13" s="1381" t="s">
        <v>5</v>
      </c>
      <c r="S13" s="1382">
        <f t="shared" si="0"/>
        <v>100</v>
      </c>
      <c r="T13" s="1381" t="s">
        <v>5</v>
      </c>
      <c r="U13" s="1382">
        <f t="shared" si="1"/>
        <v>100</v>
      </c>
      <c r="V13" s="1381" t="s">
        <v>5</v>
      </c>
      <c r="W13" s="1382">
        <f t="shared" si="2"/>
        <v>100</v>
      </c>
      <c r="X13" s="1383"/>
      <c r="Y13" s="3834"/>
      <c r="Z13" s="1049">
        <f t="shared" si="7"/>
        <v>111</v>
      </c>
      <c r="AA13" s="1384">
        <f t="shared" si="3"/>
        <v>1</v>
      </c>
      <c r="AB13" s="1384">
        <f t="shared" si="4"/>
        <v>1</v>
      </c>
      <c r="AC13" s="1384">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5" t="s">
        <v>489</v>
      </c>
      <c r="Q14" s="1385" t="str">
        <f t="shared" si="6"/>
        <v>交通便捷度</v>
      </c>
      <c r="R14" s="1386" t="s">
        <v>5</v>
      </c>
      <c r="S14" s="1387">
        <f t="shared" si="0"/>
        <v>100</v>
      </c>
      <c r="T14" s="1386" t="s">
        <v>5</v>
      </c>
      <c r="U14" s="1387">
        <f t="shared" si="1"/>
        <v>100</v>
      </c>
      <c r="V14" s="1386" t="s">
        <v>5</v>
      </c>
      <c r="W14" s="1387">
        <f t="shared" si="2"/>
        <v>100</v>
      </c>
      <c r="X14" s="1380"/>
      <c r="Y14" s="392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6"/>
      <c r="Q15" s="1385"/>
      <c r="R15" s="1386"/>
      <c r="S15" s="1387"/>
      <c r="T15" s="1386"/>
      <c r="U15" s="1387"/>
      <c r="V15" s="1386"/>
      <c r="W15" s="1387"/>
      <c r="X15" s="1380"/>
      <c r="Y15" s="3926"/>
      <c r="Z15" s="1388"/>
      <c r="AA15" s="1389">
        <v>1</v>
      </c>
      <c r="AB15" s="1389">
        <v>1</v>
      </c>
      <c r="AC15" s="1389">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6"/>
      <c r="Q16" s="1385" t="str">
        <f>B16</f>
        <v>公共配套设施</v>
      </c>
      <c r="R16" s="1386" t="s">
        <v>5</v>
      </c>
      <c r="S16" s="1387">
        <f>F16</f>
        <v>100</v>
      </c>
      <c r="T16" s="1386" t="s">
        <v>5</v>
      </c>
      <c r="U16" s="1387">
        <f>H16</f>
        <v>100</v>
      </c>
      <c r="V16" s="1386" t="s">
        <v>5</v>
      </c>
      <c r="W16" s="1387">
        <f>J16</f>
        <v>100</v>
      </c>
      <c r="X16" s="1380"/>
      <c r="Y16" s="392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6"/>
      <c r="Q17" s="1385"/>
      <c r="R17" s="1386"/>
      <c r="S17" s="1387"/>
      <c r="T17" s="1386"/>
      <c r="U17" s="1387"/>
      <c r="V17" s="1386"/>
      <c r="W17" s="1387"/>
      <c r="X17" s="1380"/>
      <c r="Y17" s="3926"/>
      <c r="Z17" s="1388"/>
      <c r="AA17" s="1389">
        <v>1</v>
      </c>
      <c r="AB17" s="1389">
        <v>1</v>
      </c>
      <c r="AC17" s="1389">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6"/>
      <c r="Q18" s="2192" t="str">
        <f>B18</f>
        <v>基础设施水平</v>
      </c>
      <c r="R18" s="1386" t="s">
        <v>5</v>
      </c>
      <c r="S18" s="1387">
        <f>F18</f>
        <v>100</v>
      </c>
      <c r="T18" s="1386" t="s">
        <v>5</v>
      </c>
      <c r="U18" s="1387">
        <f>H18</f>
        <v>100</v>
      </c>
      <c r="V18" s="1386" t="s">
        <v>5</v>
      </c>
      <c r="W18" s="1387">
        <f>J18</f>
        <v>100</v>
      </c>
      <c r="X18" s="2194"/>
      <c r="Y18" s="3926"/>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926"/>
      <c r="Q19" s="2192"/>
      <c r="R19" s="1386"/>
      <c r="S19" s="1387"/>
      <c r="T19" s="1386"/>
      <c r="U19" s="1387"/>
      <c r="V19" s="1386"/>
      <c r="W19" s="1387"/>
      <c r="X19" s="2194"/>
      <c r="Y19" s="3926"/>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6"/>
      <c r="Q20" s="1385" t="str">
        <f>B20</f>
        <v>自然及人文环境</v>
      </c>
      <c r="R20" s="1386" t="s">
        <v>5</v>
      </c>
      <c r="S20" s="1387">
        <f>F20</f>
        <v>100</v>
      </c>
      <c r="T20" s="1386" t="s">
        <v>5</v>
      </c>
      <c r="U20" s="1387">
        <f>H20</f>
        <v>100</v>
      </c>
      <c r="V20" s="1386" t="s">
        <v>5</v>
      </c>
      <c r="W20" s="1387">
        <f>J20</f>
        <v>100</v>
      </c>
      <c r="X20" s="1380"/>
      <c r="Y20" s="392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6"/>
      <c r="Q21" s="1385"/>
      <c r="R21" s="1386"/>
      <c r="S21" s="1387"/>
      <c r="T21" s="1386"/>
      <c r="U21" s="1387"/>
      <c r="V21" s="1386"/>
      <c r="W21" s="1387"/>
      <c r="X21" s="1380"/>
      <c r="Y21" s="392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6"/>
      <c r="Q22" s="1385" t="str">
        <f>B22</f>
        <v>楼层</v>
      </c>
      <c r="R22" s="1386" t="s">
        <v>5</v>
      </c>
      <c r="S22" s="1387">
        <f>F22</f>
        <v>100</v>
      </c>
      <c r="T22" s="1386" t="s">
        <v>5</v>
      </c>
      <c r="U22" s="1387">
        <f>H22</f>
        <v>100</v>
      </c>
      <c r="V22" s="1386" t="s">
        <v>5</v>
      </c>
      <c r="W22" s="1387">
        <f>J22</f>
        <v>100</v>
      </c>
      <c r="X22" s="1380"/>
      <c r="Y22" s="392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6"/>
      <c r="Q23" s="1385">
        <f>B23</f>
        <v>111</v>
      </c>
      <c r="R23" s="1386" t="s">
        <v>5</v>
      </c>
      <c r="S23" s="1387">
        <f>F23</f>
        <v>100</v>
      </c>
      <c r="T23" s="1386" t="s">
        <v>5</v>
      </c>
      <c r="U23" s="1387">
        <f>H23</f>
        <v>100</v>
      </c>
      <c r="V23" s="1386" t="s">
        <v>5</v>
      </c>
      <c r="W23" s="1387">
        <f>J23</f>
        <v>100</v>
      </c>
      <c r="X23" s="1380"/>
      <c r="Y23" s="392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6"/>
      <c r="Q24" s="1385">
        <f t="shared" ref="Q24:Q34" si="8">B24</f>
        <v>111</v>
      </c>
      <c r="R24" s="1386" t="s">
        <v>5</v>
      </c>
      <c r="S24" s="1387">
        <f>F24</f>
        <v>100</v>
      </c>
      <c r="T24" s="1386" t="s">
        <v>5</v>
      </c>
      <c r="U24" s="1387">
        <f>H24</f>
        <v>100</v>
      </c>
      <c r="V24" s="1386" t="s">
        <v>5</v>
      </c>
      <c r="W24" s="1387">
        <f>J24</f>
        <v>100</v>
      </c>
      <c r="X24" s="1380"/>
      <c r="Y24" s="392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6"/>
      <c r="Q25" s="1050">
        <f t="shared" si="8"/>
        <v>111</v>
      </c>
      <c r="R25" s="1381" t="s">
        <v>5</v>
      </c>
      <c r="S25" s="1382">
        <f>F25</f>
        <v>100</v>
      </c>
      <c r="T25" s="1381" t="s">
        <v>5</v>
      </c>
      <c r="U25" s="1382">
        <f>H25</f>
        <v>100</v>
      </c>
      <c r="V25" s="1381" t="s">
        <v>5</v>
      </c>
      <c r="W25" s="1382">
        <f>J25</f>
        <v>100</v>
      </c>
      <c r="X25" s="1383"/>
      <c r="Y25" s="3926"/>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8"/>
      <c r="Q27" s="1414" t="str">
        <f t="shared" si="8"/>
        <v>成新率</v>
      </c>
      <c r="R27" s="1390" t="s">
        <v>5</v>
      </c>
      <c r="S27" s="1391" t="e">
        <f t="shared" si="9"/>
        <v>#N/A</v>
      </c>
      <c r="T27" s="1390" t="s">
        <v>5</v>
      </c>
      <c r="U27" s="1391" t="e">
        <f t="shared" si="10"/>
        <v>#N/A</v>
      </c>
      <c r="V27" s="1390" t="s">
        <v>5</v>
      </c>
      <c r="W27" s="1391" t="e">
        <f t="shared" si="11"/>
        <v>#N/A</v>
      </c>
      <c r="X27" s="1392"/>
      <c r="Y27" s="392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8"/>
      <c r="Q28" s="1385" t="str">
        <f t="shared" si="8"/>
        <v>物业等级</v>
      </c>
      <c r="R28" s="1386" t="s">
        <v>5</v>
      </c>
      <c r="S28" s="1387">
        <f t="shared" si="9"/>
        <v>100</v>
      </c>
      <c r="T28" s="1386" t="s">
        <v>5</v>
      </c>
      <c r="U28" s="1387">
        <f t="shared" si="10"/>
        <v>100</v>
      </c>
      <c r="V28" s="1386" t="s">
        <v>5</v>
      </c>
      <c r="W28" s="1387">
        <f t="shared" si="11"/>
        <v>100</v>
      </c>
      <c r="X28" s="1380"/>
      <c r="Y28" s="392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8"/>
      <c r="Q29" s="1385" t="str">
        <f t="shared" si="8"/>
        <v>有无电梯</v>
      </c>
      <c r="R29" s="1386" t="s">
        <v>5</v>
      </c>
      <c r="S29" s="1387">
        <f t="shared" si="9"/>
        <v>100</v>
      </c>
      <c r="T29" s="1386" t="s">
        <v>5</v>
      </c>
      <c r="U29" s="1387">
        <f t="shared" si="10"/>
        <v>100</v>
      </c>
      <c r="V29" s="1386" t="s">
        <v>5</v>
      </c>
      <c r="W29" s="1387">
        <f t="shared" si="11"/>
        <v>100</v>
      </c>
      <c r="X29" s="1380"/>
      <c r="Y29" s="392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8"/>
      <c r="Q30" s="1385" t="str">
        <f t="shared" si="8"/>
        <v>建筑面积</v>
      </c>
      <c r="R30" s="1386" t="s">
        <v>5</v>
      </c>
      <c r="S30" s="1387" t="e">
        <f t="shared" si="9"/>
        <v>#N/A</v>
      </c>
      <c r="T30" s="1386" t="s">
        <v>5</v>
      </c>
      <c r="U30" s="1387" t="e">
        <f t="shared" si="10"/>
        <v>#N/A</v>
      </c>
      <c r="V30" s="1386" t="s">
        <v>5</v>
      </c>
      <c r="W30" s="1387" t="e">
        <f t="shared" si="11"/>
        <v>#N/A</v>
      </c>
      <c r="X30" s="1380"/>
      <c r="Y30" s="392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8"/>
      <c r="Q31" s="1050" t="str">
        <f t="shared" si="8"/>
        <v>是否封闭</v>
      </c>
      <c r="R31" s="1381" t="s">
        <v>5</v>
      </c>
      <c r="S31" s="1382">
        <f t="shared" si="9"/>
        <v>100</v>
      </c>
      <c r="T31" s="1381" t="s">
        <v>5</v>
      </c>
      <c r="U31" s="1382">
        <f t="shared" si="10"/>
        <v>100</v>
      </c>
      <c r="V31" s="1381" t="s">
        <v>5</v>
      </c>
      <c r="W31" s="1382">
        <f t="shared" si="11"/>
        <v>100</v>
      </c>
      <c r="X31" s="1383"/>
      <c r="Y31" s="392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8" t="s">
        <v>499</v>
      </c>
      <c r="Q32" s="1385">
        <f t="shared" si="8"/>
        <v>111</v>
      </c>
      <c r="R32" s="1386" t="s">
        <v>5</v>
      </c>
      <c r="S32" s="1387">
        <f t="shared" si="9"/>
        <v>100</v>
      </c>
      <c r="T32" s="1386" t="s">
        <v>5</v>
      </c>
      <c r="U32" s="1387">
        <f t="shared" si="10"/>
        <v>100</v>
      </c>
      <c r="V32" s="1386" t="s">
        <v>5</v>
      </c>
      <c r="W32" s="1387">
        <f t="shared" si="11"/>
        <v>100</v>
      </c>
      <c r="X32" s="1380"/>
      <c r="Y32" s="392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8"/>
      <c r="Q33" s="1385">
        <f t="shared" si="8"/>
        <v>111</v>
      </c>
      <c r="R33" s="1386" t="s">
        <v>5</v>
      </c>
      <c r="S33" s="1387">
        <f t="shared" si="9"/>
        <v>100</v>
      </c>
      <c r="T33" s="1386" t="s">
        <v>5</v>
      </c>
      <c r="U33" s="1387">
        <f t="shared" si="10"/>
        <v>100</v>
      </c>
      <c r="V33" s="1386" t="s">
        <v>5</v>
      </c>
      <c r="W33" s="1387">
        <f t="shared" si="11"/>
        <v>100</v>
      </c>
      <c r="X33" s="1380"/>
      <c r="Y33" s="392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8"/>
      <c r="Q34" s="1385">
        <f t="shared" si="8"/>
        <v>111</v>
      </c>
      <c r="R34" s="1386" t="s">
        <v>5</v>
      </c>
      <c r="S34" s="1387">
        <f t="shared" si="9"/>
        <v>100</v>
      </c>
      <c r="T34" s="1386" t="s">
        <v>5</v>
      </c>
      <c r="U34" s="1387">
        <f t="shared" si="10"/>
        <v>100</v>
      </c>
      <c r="V34" s="1386" t="s">
        <v>5</v>
      </c>
      <c r="W34" s="1387">
        <f t="shared" si="11"/>
        <v>100</v>
      </c>
      <c r="X34" s="1380"/>
      <c r="Y34" s="3928"/>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7"/>
      <c r="M35" s="1868"/>
      <c r="N35" s="1857"/>
      <c r="O35" s="1868"/>
      <c r="P35" s="3892" t="str">
        <f>A35</f>
        <v>成交单价（元/平方米）</v>
      </c>
      <c r="Q35" s="3892"/>
      <c r="R35" s="4018">
        <f>E35</f>
        <v>0</v>
      </c>
      <c r="S35" s="4018"/>
      <c r="T35" s="4018">
        <f>G35</f>
        <v>0</v>
      </c>
      <c r="U35" s="4018"/>
      <c r="V35" s="4018">
        <f>I35</f>
        <v>0</v>
      </c>
      <c r="W35" s="4018"/>
      <c r="X35" s="1375"/>
      <c r="Y35" s="1394"/>
      <c r="Z35" s="1375"/>
      <c r="AA35" s="1375"/>
      <c r="AB35" s="1375"/>
      <c r="AC35" s="1375"/>
    </row>
    <row r="36" spans="1:29" ht="15.7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3892" t="str">
        <f>A36</f>
        <v>比较价格（元/平方米）</v>
      </c>
      <c r="Q36" s="3892"/>
      <c r="R36" s="4018" t="e">
        <f>IF(F1="售价",ROUND(PRODUCT(R35,AA7:AA34),0),ROUND(PRODUCT(R35,AA7:AA34),1))</f>
        <v>#DIV/0!</v>
      </c>
      <c r="S36" s="4018"/>
      <c r="T36" s="4018" t="e">
        <f>IF(F1="售价",ROUND(PRODUCT(T35,AB7:AB34),0),ROUND(PRODUCT(T35,AB7:AB34),1))</f>
        <v>#DIV/0!</v>
      </c>
      <c r="U36" s="4018"/>
      <c r="V36" s="4018" t="e">
        <f>IF(F1="售价",ROUND(PRODUCT(V35,AC7:AC34),0),ROUND(PRODUCT(V35,AC7:AC34),1))</f>
        <v>#DIV/0!</v>
      </c>
      <c r="W36" s="4018"/>
      <c r="X36" s="1375"/>
      <c r="Y36" s="1375"/>
      <c r="Z36" s="1375"/>
      <c r="AA36" s="1375"/>
      <c r="AB36" s="1375"/>
      <c r="AC36" s="1375"/>
    </row>
    <row r="37" spans="1:29" ht="15.75" thickBot="1">
      <c r="A37" s="589" t="s">
        <v>2196</v>
      </c>
      <c r="B37" s="590"/>
      <c r="C37" s="2241" t="e">
        <f>R37</f>
        <v>#DIV/0!</v>
      </c>
      <c r="D37" s="2241"/>
      <c r="E37" s="2241"/>
      <c r="F37" s="2241"/>
      <c r="G37" s="2241"/>
      <c r="H37" s="2241"/>
      <c r="I37" s="2241"/>
      <c r="J37" s="2241"/>
      <c r="K37" s="1420"/>
      <c r="L37" s="1867"/>
      <c r="M37" s="1868"/>
      <c r="N37" s="1868"/>
      <c r="O37" s="1868"/>
      <c r="P37" s="3929" t="str">
        <f>A37</f>
        <v>估价对象XX用房的比较价格（楼面单价，元/平方米）</v>
      </c>
      <c r="Q37" s="3930"/>
      <c r="R37" s="4017" t="e">
        <f>IF(F1="售价",ROUND(IF(D36="简单平均",AVERAGE(R36:W36),R36*F36+T36*H36+V36*J36),0),ROUND(IF(D36="简单平均",AVERAGE(R36:V36),R36*F36+T36*H36+V36*J36),1))</f>
        <v>#DIV/0!</v>
      </c>
      <c r="S37" s="4017"/>
      <c r="T37" s="4017"/>
      <c r="U37" s="4017"/>
      <c r="V37" s="4017"/>
      <c r="W37" s="4017"/>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1" t="str">
        <f>YEAR(C7)&amp;"-"&amp;MONTH(C7)</f>
        <v>2023-11</v>
      </c>
      <c r="D46" s="2283">
        <f>EDATE(C46,-1)</f>
        <v>45200</v>
      </c>
      <c r="E46" s="2283">
        <f t="shared" ref="E46:O46" si="13">EDATE(D46,-1)</f>
        <v>45170</v>
      </c>
      <c r="F46" s="2283">
        <f t="shared" si="13"/>
        <v>45139</v>
      </c>
      <c r="G46" s="2283">
        <f t="shared" si="13"/>
        <v>45108</v>
      </c>
      <c r="H46" s="2283">
        <f t="shared" si="13"/>
        <v>45078</v>
      </c>
      <c r="I46" s="2283">
        <f t="shared" si="13"/>
        <v>45047</v>
      </c>
      <c r="J46" s="2283">
        <f t="shared" si="13"/>
        <v>45017</v>
      </c>
      <c r="K46" s="2283">
        <f t="shared" si="13"/>
        <v>44986</v>
      </c>
      <c r="L46" s="2283">
        <f t="shared" si="13"/>
        <v>44958</v>
      </c>
      <c r="M46" s="2283">
        <f t="shared" si="13"/>
        <v>44927</v>
      </c>
      <c r="N46" s="2283">
        <f t="shared" si="13"/>
        <v>44896</v>
      </c>
      <c r="O46" s="2283">
        <f t="shared" si="13"/>
        <v>44866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5" t="s">
        <v>1661</v>
      </c>
      <c r="D1" s="4036"/>
      <c r="E1" s="4036"/>
      <c r="F1" s="4036"/>
      <c r="G1" s="4036"/>
      <c r="H1" s="4036"/>
      <c r="I1" s="4036"/>
      <c r="J1" s="4036"/>
      <c r="K1" s="4036"/>
      <c r="L1" s="4036"/>
      <c r="M1" s="4036"/>
      <c r="N1" s="4036"/>
      <c r="O1" s="4036"/>
      <c r="P1" s="4036"/>
      <c r="Q1" s="4036"/>
      <c r="R1" s="4036"/>
      <c r="S1" s="403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45248</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8" t="s">
        <v>1556</v>
      </c>
      <c r="B1" s="3718"/>
      <c r="C1" s="3718"/>
      <c r="D1" s="3718"/>
      <c r="E1" s="3718"/>
      <c r="F1" s="3718"/>
      <c r="G1" s="3718"/>
      <c r="H1" s="3718"/>
      <c r="I1" s="3718"/>
      <c r="J1" s="3718"/>
      <c r="K1" s="3718"/>
      <c r="L1" s="3718"/>
      <c r="M1" s="3718"/>
      <c r="N1" s="3718"/>
      <c r="O1" s="3718"/>
      <c r="P1" s="3718"/>
      <c r="Q1" s="3718"/>
      <c r="R1" s="3718"/>
    </row>
    <row r="2" spans="1:18">
      <c r="A2" s="1595" t="s">
        <v>1558</v>
      </c>
      <c r="B2" s="1595"/>
      <c r="C2" s="1595"/>
      <c r="D2" s="1595"/>
      <c r="E2" s="1595"/>
      <c r="F2" s="1595"/>
      <c r="G2" s="1595"/>
      <c r="H2" s="1595"/>
      <c r="I2" s="1596"/>
      <c r="J2" s="1596"/>
      <c r="K2" s="1597" t="str">
        <f>"估价期日："&amp;TEXT(项目基本情况!D3,"yyyy年m月d日;;")</f>
        <v>估价期日：2023年11月18日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19" t="s">
        <v>1547</v>
      </c>
      <c r="B3" s="3719" t="s">
        <v>2013</v>
      </c>
      <c r="C3" s="3720" t="s">
        <v>1548</v>
      </c>
      <c r="D3" s="3719" t="s">
        <v>2017</v>
      </c>
      <c r="E3" s="3722" t="s">
        <v>1549</v>
      </c>
      <c r="F3" s="3722"/>
      <c r="G3" s="3722"/>
      <c r="H3" s="3722" t="s">
        <v>1550</v>
      </c>
      <c r="I3" s="3722"/>
      <c r="J3" s="3722"/>
      <c r="K3" s="3720" t="s">
        <v>1551</v>
      </c>
      <c r="L3" s="3720" t="s">
        <v>1552</v>
      </c>
      <c r="M3" s="3719" t="s">
        <v>2014</v>
      </c>
      <c r="N3" s="3721" t="str">
        <f>"（分摊）"&amp;项目基本情况!A17&amp;"国有建设用地使用权面积/㎡"</f>
        <v>（分摊）划拨国有建设用地使用权面积/㎡</v>
      </c>
      <c r="O3" s="3719" t="s">
        <v>1581</v>
      </c>
      <c r="P3" s="3720" t="s">
        <v>1561</v>
      </c>
      <c r="Q3" s="3720" t="s">
        <v>1582</v>
      </c>
      <c r="R3" s="3720" t="s">
        <v>1553</v>
      </c>
    </row>
    <row r="4" spans="1:18" ht="36.75" customHeight="1">
      <c r="A4" s="3719"/>
      <c r="B4" s="3719"/>
      <c r="C4" s="3720"/>
      <c r="D4" s="3719"/>
      <c r="E4" s="2253" t="s">
        <v>1560</v>
      </c>
      <c r="F4" s="2253" t="s">
        <v>2026</v>
      </c>
      <c r="G4" s="2253" t="s">
        <v>1554</v>
      </c>
      <c r="H4" s="2253" t="s">
        <v>1555</v>
      </c>
      <c r="I4" s="2253" t="s">
        <v>2027</v>
      </c>
      <c r="J4" s="2253" t="s">
        <v>1554</v>
      </c>
      <c r="K4" s="3720"/>
      <c r="L4" s="3720"/>
      <c r="M4" s="3719"/>
      <c r="N4" s="3721"/>
      <c r="O4" s="3719"/>
      <c r="P4" s="3720"/>
      <c r="Q4" s="3720"/>
      <c r="R4" s="3720"/>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8671</v>
      </c>
      <c r="Q5" s="1598">
        <f ca="1">结果表!D42</f>
        <v>8671</v>
      </c>
      <c r="R5" s="1599">
        <f ca="1">结果表!C42</f>
        <v>9312</v>
      </c>
    </row>
    <row r="6" spans="1:18">
      <c r="A6" s="3715" t="str">
        <f>IF(项目基本情况!B9="市场价格","——","抵押价格")</f>
        <v>——</v>
      </c>
      <c r="B6" s="3716"/>
      <c r="C6" s="3716"/>
      <c r="D6" s="3716"/>
      <c r="E6" s="3716"/>
      <c r="F6" s="3716"/>
      <c r="G6" s="3716"/>
      <c r="H6" s="3716"/>
      <c r="I6" s="3716"/>
      <c r="J6" s="3716"/>
      <c r="K6" s="3716"/>
      <c r="L6" s="3716"/>
      <c r="M6" s="3716"/>
      <c r="N6" s="3716"/>
      <c r="O6" s="3716"/>
      <c r="P6" s="3716"/>
      <c r="Q6" s="3717"/>
      <c r="R6" s="1600" t="str">
        <f>结果表!O39</f>
        <v>——</v>
      </c>
    </row>
    <row r="7" spans="1:18">
      <c r="A7" s="3715" t="str">
        <f>IF(项目基本情况!B9="市场价格","——",IF(项目基本情况!E8="已注销及未注销","抵押担保权已注销时的抵押价格","——"))</f>
        <v>——</v>
      </c>
      <c r="B7" s="3716"/>
      <c r="C7" s="3716"/>
      <c r="D7" s="3716"/>
      <c r="E7" s="3716"/>
      <c r="F7" s="3716"/>
      <c r="G7" s="3716"/>
      <c r="H7" s="3716"/>
      <c r="I7" s="3716"/>
      <c r="J7" s="3716"/>
      <c r="K7" s="3716"/>
      <c r="L7" s="3716"/>
      <c r="M7" s="3716"/>
      <c r="N7" s="3716"/>
      <c r="O7" s="3716"/>
      <c r="P7" s="3716"/>
      <c r="Q7" s="3717"/>
      <c r="R7" s="1600" t="str">
        <f>结果表!O40</f>
        <v>——</v>
      </c>
    </row>
    <row r="8" spans="1:18">
      <c r="A8" s="3715" t="str">
        <f>IF(项目基本情况!B9="市场价格","——",项目基本情况!E9)</f>
        <v>——</v>
      </c>
      <c r="B8" s="3716"/>
      <c r="C8" s="3716"/>
      <c r="D8" s="3716"/>
      <c r="E8" s="3716"/>
      <c r="F8" s="3716"/>
      <c r="G8" s="3716"/>
      <c r="H8" s="3716"/>
      <c r="I8" s="3716"/>
      <c r="J8" s="3716"/>
      <c r="K8" s="3716"/>
      <c r="L8" s="3716"/>
      <c r="M8" s="3716"/>
      <c r="N8" s="3716"/>
      <c r="O8" s="3716"/>
      <c r="P8" s="3716"/>
      <c r="Q8" s="371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24" t="s">
        <v>1583</v>
      </c>
      <c r="B1" s="3724"/>
      <c r="C1" s="3724"/>
      <c r="D1" s="3724"/>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4"/>
      <c r="C3" s="3724"/>
      <c r="D3" s="3724"/>
    </row>
    <row r="4" spans="1:4" ht="36.75" customHeight="1">
      <c r="A4" s="3724" t="str">
        <f>"3.估价规划限制条件：详见"&amp;项目基本情况!E21&amp;"。"</f>
        <v>3.估价规划限制条件：详见《建设工程规划许可证》[]、《出让合同》[]。</v>
      </c>
      <c r="B4" s="3724"/>
      <c r="C4" s="3724"/>
      <c r="D4" s="3724"/>
    </row>
    <row r="5" spans="1:4">
      <c r="A5" s="3723" t="s">
        <v>1584</v>
      </c>
      <c r="B5" s="3723"/>
      <c r="C5" s="3723"/>
      <c r="D5" s="3723"/>
    </row>
    <row r="6" spans="1:4">
      <c r="A6" s="3724" t="s">
        <v>1562</v>
      </c>
      <c r="B6" s="3724"/>
      <c r="C6" s="3724"/>
      <c r="D6" s="3724"/>
    </row>
    <row r="7" spans="1:4" ht="33" customHeight="1">
      <c r="A7" s="3724" t="s">
        <v>1857</v>
      </c>
      <c r="B7" s="3724"/>
      <c r="C7" s="3724"/>
      <c r="D7" s="3724"/>
    </row>
    <row r="8" spans="1:4" ht="32.25" customHeight="1">
      <c r="A8" s="37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4"/>
      <c r="C8" s="3724"/>
      <c r="D8" s="3724"/>
    </row>
    <row r="9" spans="1:4" ht="33.75" customHeight="1">
      <c r="A9" s="3724" t="str">
        <f>IF(项目基本情况!B8="抵押","3.抵押双方在办理抵押登记手续时，应使用本公司出具的正式《土地估价报告》，特提请报告使用者注意。","——")</f>
        <v>——</v>
      </c>
      <c r="B9" s="3724"/>
      <c r="C9" s="3724"/>
      <c r="D9" s="3724"/>
    </row>
    <row r="10" spans="1:4">
      <c r="A10" s="3724" t="str">
        <f>IF(项目基本情况!B8="抵押","4.估价师所知悉的法定优先受偿款情况为：","——")</f>
        <v>——</v>
      </c>
      <c r="B10" s="3724"/>
      <c r="C10" s="3724"/>
      <c r="D10" s="3724"/>
    </row>
    <row r="11" spans="1:4" ht="37.5" customHeight="1">
      <c r="A11" s="3726" t="str">
        <f>IF(项目基本情况!B8="抵押","（1）"&amp;CONCATENATE(项目基本情况!L24,项目基本情况!L25,项目基本情况!L26),"——")</f>
        <v>——</v>
      </c>
      <c r="B11" s="3726"/>
      <c r="C11" s="3726"/>
      <c r="D11" s="3726"/>
    </row>
    <row r="12" spans="1:4" ht="168" customHeight="1">
      <c r="A12" s="3723" t="s">
        <v>1586</v>
      </c>
      <c r="B12" s="3723"/>
      <c r="C12" s="3723"/>
      <c r="D12" s="3723"/>
    </row>
    <row r="13" spans="1:4">
      <c r="A13" s="3727" t="s">
        <v>2028</v>
      </c>
      <c r="B13" s="3727"/>
      <c r="C13" s="3727"/>
      <c r="D13" s="3727"/>
    </row>
    <row r="14" spans="1:4">
      <c r="A14" s="3726" t="str">
        <f>IF(项目基本情况!B8="抵押","综上，"&amp;结果表!K47,"——")</f>
        <v>——</v>
      </c>
      <c r="B14" s="3726"/>
      <c r="C14" s="3726"/>
      <c r="D14" s="3726"/>
    </row>
    <row r="15" spans="1:4" ht="58.5" customHeight="1">
      <c r="A15" s="37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4"/>
      <c r="C15" s="3724"/>
      <c r="D15" s="3724"/>
    </row>
    <row r="16" spans="1:4" ht="70.5" customHeight="1">
      <c r="A16" s="37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4"/>
      <c r="C16" s="3724"/>
      <c r="D16" s="3724"/>
    </row>
    <row r="17" spans="1:4">
      <c r="A17" s="3724" t="s">
        <v>1984</v>
      </c>
      <c r="B17" s="3724"/>
      <c r="C17" s="3724"/>
      <c r="D17" s="3724"/>
    </row>
    <row r="18" spans="1:4">
      <c r="A18" s="3724" t="s">
        <v>1976</v>
      </c>
      <c r="B18" s="3724"/>
      <c r="C18" s="3724"/>
      <c r="D18" s="3724"/>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24" t="s">
        <v>1981</v>
      </c>
      <c r="B23" s="3724"/>
      <c r="C23" s="3724"/>
      <c r="D23" s="3724"/>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5" t="s">
        <v>27</v>
      </c>
      <c r="B15" s="3736" t="s">
        <v>784</v>
      </c>
      <c r="C15" s="3732"/>
    </row>
    <row r="16" spans="1:7" ht="14.25">
      <c r="A16" s="3735"/>
      <c r="B16" s="3733" t="s">
        <v>28</v>
      </c>
      <c r="C16" s="1070" t="s">
        <v>27</v>
      </c>
    </row>
    <row r="17" spans="1:3" ht="14.25">
      <c r="A17" s="3735"/>
      <c r="B17" s="3733"/>
      <c r="C17" s="1070" t="s">
        <v>29</v>
      </c>
    </row>
    <row r="18" spans="1:3" ht="14.25">
      <c r="A18" s="3735"/>
      <c r="B18" s="3733"/>
      <c r="C18" s="1070" t="s">
        <v>30</v>
      </c>
    </row>
    <row r="19" spans="1:3" ht="14.25">
      <c r="A19" s="3735"/>
      <c r="B19" s="3731" t="s">
        <v>31</v>
      </c>
      <c r="C19" s="3732"/>
    </row>
    <row r="20" spans="1:3" ht="14.25">
      <c r="A20" s="1071" t="s">
        <v>32</v>
      </c>
      <c r="B20" s="1072"/>
      <c r="C20" s="1073"/>
    </row>
    <row r="21" spans="1:3" ht="14.25">
      <c r="A21" s="3734" t="s">
        <v>33</v>
      </c>
      <c r="B21" s="3731" t="s">
        <v>34</v>
      </c>
      <c r="C21" s="3732"/>
    </row>
    <row r="22" spans="1:3" ht="14.25">
      <c r="A22" s="3734"/>
      <c r="B22" s="3731" t="s">
        <v>35</v>
      </c>
      <c r="C22" s="3732"/>
    </row>
    <row r="23" spans="1:3" ht="14.25">
      <c r="A23" s="3734"/>
      <c r="B23" s="3731" t="s">
        <v>36</v>
      </c>
      <c r="C23" s="3732"/>
    </row>
    <row r="24" spans="1:3" ht="14.25">
      <c r="A24" s="3734"/>
      <c r="B24" s="3737" t="s">
        <v>37</v>
      </c>
      <c r="C24" s="1074" t="s">
        <v>775</v>
      </c>
    </row>
    <row r="25" spans="1:3" ht="14.25">
      <c r="A25" s="3734"/>
      <c r="B25" s="3738"/>
      <c r="C25" s="1074" t="s">
        <v>776</v>
      </c>
    </row>
    <row r="26" spans="1:3" ht="14.25">
      <c r="A26" s="3734"/>
      <c r="B26" s="3738"/>
      <c r="C26" s="1074" t="s">
        <v>777</v>
      </c>
    </row>
    <row r="27" spans="1:3" ht="14.25">
      <c r="A27" s="3734"/>
      <c r="B27" s="3738"/>
      <c r="C27" s="1074" t="s">
        <v>778</v>
      </c>
    </row>
    <row r="28" spans="1:3" ht="14.25">
      <c r="A28" s="3734"/>
      <c r="B28" s="3738"/>
      <c r="C28" s="1074" t="s">
        <v>779</v>
      </c>
    </row>
    <row r="29" spans="1:3" ht="14.25">
      <c r="A29" s="3734"/>
      <c r="B29" s="3738"/>
      <c r="C29" s="1074" t="s">
        <v>780</v>
      </c>
    </row>
    <row r="30" spans="1:3" ht="14.25">
      <c r="A30" s="3734"/>
      <c r="B30" s="3738"/>
      <c r="C30" s="1074" t="s">
        <v>781</v>
      </c>
    </row>
    <row r="31" spans="1:3" ht="14.25">
      <c r="A31" s="3734"/>
      <c r="B31" s="3738"/>
      <c r="C31" s="1074" t="s">
        <v>782</v>
      </c>
    </row>
    <row r="32" spans="1:3" ht="14.25">
      <c r="A32" s="3734"/>
      <c r="B32" s="3738"/>
      <c r="C32" s="1074" t="s">
        <v>1181</v>
      </c>
    </row>
    <row r="33" spans="1:3" ht="14.25">
      <c r="A33" s="3734"/>
      <c r="B33" s="3728" t="s">
        <v>1187</v>
      </c>
      <c r="C33" s="1074" t="s">
        <v>1182</v>
      </c>
    </row>
    <row r="34" spans="1:3" ht="14.25">
      <c r="A34" s="3734"/>
      <c r="B34" s="3729"/>
      <c r="C34" s="1079" t="s">
        <v>1183</v>
      </c>
    </row>
    <row r="35" spans="1:3" ht="14.25">
      <c r="A35" s="3734"/>
      <c r="B35" s="3729"/>
      <c r="C35" s="1080" t="s">
        <v>1184</v>
      </c>
    </row>
    <row r="36" spans="1:3" ht="14.25">
      <c r="A36" s="3734"/>
      <c r="B36" s="3729"/>
      <c r="C36" s="1080" t="s">
        <v>1185</v>
      </c>
    </row>
    <row r="37" spans="1:3" ht="14.25">
      <c r="A37" s="3734"/>
      <c r="B37" s="373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45447</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42" t="s">
        <v>1448</v>
      </c>
      <c r="B18" s="3743"/>
      <c r="C18" s="3743"/>
      <c r="D18" s="3743"/>
      <c r="E18" s="3743"/>
      <c r="F18" s="3743"/>
      <c r="G18" s="2776"/>
    </row>
    <row r="19" spans="1:7" ht="20.25" customHeight="1">
      <c r="A19" s="3739" t="s">
        <v>1449</v>
      </c>
      <c r="B19" s="3739"/>
      <c r="C19" s="3740"/>
      <c r="D19" s="3741" t="s">
        <v>1450</v>
      </c>
      <c r="E19" s="3739"/>
      <c r="F19" s="3739"/>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3" t="s">
        <v>2746</v>
      </c>
      <c r="I8" s="7" t="s">
        <v>2753</v>
      </c>
    </row>
    <row r="9" spans="1:23">
      <c r="A9" s="6" t="s">
        <v>77</v>
      </c>
      <c r="B9" s="6" t="s">
        <v>122</v>
      </c>
      <c r="C9" s="1368" t="s">
        <v>1245</v>
      </c>
      <c r="F9" s="7" t="s">
        <v>78</v>
      </c>
      <c r="H9" s="7"/>
      <c r="I9" s="7" t="s">
        <v>2754</v>
      </c>
    </row>
    <row r="10" spans="1:23">
      <c r="A10" s="6" t="s">
        <v>79</v>
      </c>
      <c r="B10" s="6" t="s">
        <v>123</v>
      </c>
      <c r="C10" s="1368" t="s">
        <v>1246</v>
      </c>
      <c r="F10" s="3333"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6" t="s">
        <v>2214</v>
      </c>
      <c r="C18" s="1371"/>
    </row>
    <row r="19" spans="1:3">
      <c r="A19" s="6" t="s">
        <v>88</v>
      </c>
      <c r="B19" s="2546" t="s">
        <v>2221</v>
      </c>
      <c r="C19" s="1371"/>
    </row>
    <row r="20" spans="1:3">
      <c r="A20" s="6" t="s">
        <v>89</v>
      </c>
      <c r="B20" s="2546" t="s">
        <v>2261</v>
      </c>
      <c r="C20" s="1371"/>
    </row>
    <row r="21" spans="1:3">
      <c r="A21" s="6" t="s">
        <v>90</v>
      </c>
      <c r="B21" s="6" t="s">
        <v>2440</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4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11月18日在规划利用条件下、设定土地开发程度为红线外“七通”、宗地内场地，设定用途为的划拨国有建设用地使用权价格。</v>
      </c>
      <c r="D53" s="1558"/>
      <c r="E53" s="1558"/>
    </row>
    <row r="54" spans="1:5">
      <c r="A54" s="374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4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4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4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昌平案例</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比较法-成本</vt:lpstr>
      <vt:lpstr>不动产比较法-工业</vt:lpstr>
      <vt:lpstr>案例（海淀）</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2024-06-04T05:31:40Z</dcterms:modified>
</cp:coreProperties>
</file>